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Ex1.xml" ContentType="application/vnd.ms-office.chartex+xml"/>
  <Override PartName="/xl/charts/style8.xml" ContentType="application/vnd.ms-office.chartstyle+xml"/>
  <Override PartName="/xl/charts/colors8.xml" ContentType="application/vnd.ms-office.chartcolorstyle+xml"/>
  <Override PartName="/xl/charts/chartEx2.xml" ContentType="application/vnd.ms-office.chartex+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9.xml" ContentType="application/vnd.openxmlformats-officedocument.drawingml.chart+xml"/>
  <Override PartName="/xl/charts/style12.xml" ContentType="application/vnd.ms-office.chartstyle+xml"/>
  <Override PartName="/xl/charts/colors12.xml" ContentType="application/vnd.ms-office.chartcolorstyle+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charts/chart14.xml" ContentType="application/vnd.openxmlformats-officedocument.drawingml.chart+xml"/>
  <Override PartName="/xl/charts/style17.xml" ContentType="application/vnd.ms-office.chartstyle+xml"/>
  <Override PartName="/xl/charts/colors17.xml" ContentType="application/vnd.ms-office.chartcolorstyle+xml"/>
  <Override PartName="/xl/charts/chart15.xml" ContentType="application/vnd.openxmlformats-officedocument.drawingml.chart+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Ex4.xml" ContentType="application/vnd.ms-office.chartex+xml"/>
  <Override PartName="/xl/charts/style20.xml" ContentType="application/vnd.ms-office.chartstyle+xml"/>
  <Override PartName="/xl/charts/colors20.xml" ContentType="application/vnd.ms-office.chartcolorstyle+xml"/>
  <Override PartName="/xl/charts/chartEx5.xml" ContentType="application/vnd.ms-office.chartex+xml"/>
  <Override PartName="/xl/charts/style21.xml" ContentType="application/vnd.ms-office.chartstyle+xml"/>
  <Override PartName="/xl/charts/colors21.xml" ContentType="application/vnd.ms-office.chartcolorstyle+xml"/>
  <Override PartName="/xl/charts/chart17.xml" ContentType="application/vnd.openxmlformats-officedocument.drawingml.chart+xml"/>
  <Override PartName="/xl/charts/style22.xml" ContentType="application/vnd.ms-office.chartstyle+xml"/>
  <Override PartName="/xl/charts/colors22.xml" ContentType="application/vnd.ms-office.chartcolorstyle+xml"/>
  <Override PartName="/xl/charts/chart18.xml" ContentType="application/vnd.openxmlformats-officedocument.drawingml.chart+xml"/>
  <Override PartName="/xl/charts/style23.xml" ContentType="application/vnd.ms-office.chartstyle+xml"/>
  <Override PartName="/xl/charts/colors23.xml" ContentType="application/vnd.ms-office.chartcolorstyle+xml"/>
  <Override PartName="/xl/charts/chart19.xml" ContentType="application/vnd.openxmlformats-officedocument.drawingml.chart+xml"/>
  <Override PartName="/xl/charts/style24.xml" ContentType="application/vnd.ms-office.chartstyle+xml"/>
  <Override PartName="/xl/charts/colors24.xml" ContentType="application/vnd.ms-office.chartcolorstyle+xml"/>
  <Override PartName="/xl/charts/chart2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xml" ContentType="application/vnd.openxmlformats-officedocument.drawing+xml"/>
  <Override PartName="/xl/charts/chart21.xml" ContentType="application/vnd.openxmlformats-officedocument.drawingml.chart+xml"/>
  <Override PartName="/xl/charts/style26.xml" ContentType="application/vnd.ms-office.chartstyle+xml"/>
  <Override PartName="/xl/charts/colors26.xml" ContentType="application/vnd.ms-office.chartcolorstyle+xml"/>
  <Override PartName="/xl/charts/chart2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xml" ContentType="application/vnd.openxmlformats-officedocument.drawingml.chartshapes+xml"/>
  <Override PartName="/xl/charts/chart2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xml" ContentType="application/vnd.openxmlformats-officedocument.drawing+xml"/>
  <Override PartName="/xl/charts/chartEx6.xml" ContentType="application/vnd.ms-office.chartex+xml"/>
  <Override PartName="/xl/charts/style29.xml" ContentType="application/vnd.ms-office.chartstyle+xml"/>
  <Override PartName="/xl/charts/colors29.xml" ContentType="application/vnd.ms-office.chartcolorstyle+xml"/>
  <Override PartName="/xl/charts/chartEx7.xml" ContentType="application/vnd.ms-office.chartex+xml"/>
  <Override PartName="/xl/charts/style30.xml" ContentType="application/vnd.ms-office.chartstyle+xml"/>
  <Override PartName="/xl/charts/colors30.xml" ContentType="application/vnd.ms-office.chartcolorstyle+xml"/>
  <Override PartName="/xl/charts/chartEx8.xml" ContentType="application/vnd.ms-office.chartex+xml"/>
  <Override PartName="/xl/charts/style31.xml" ContentType="application/vnd.ms-office.chartstyle+xml"/>
  <Override PartName="/xl/charts/colors31.xml" ContentType="application/vnd.ms-office.chartcolorstyle+xml"/>
  <Override PartName="/xl/charts/chartEx9.xml" ContentType="application/vnd.ms-office.chartex+xml"/>
  <Override PartName="/xl/charts/style32.xml" ContentType="application/vnd.ms-office.chartstyle+xml"/>
  <Override PartName="/xl/charts/colors32.xml" ContentType="application/vnd.ms-office.chartcolorstyle+xml"/>
  <Override PartName="/xl/drawings/drawing5.xml" ContentType="application/vnd.openxmlformats-officedocument.drawing+xml"/>
  <Override PartName="/xl/charts/chart24.xml" ContentType="application/vnd.openxmlformats-officedocument.drawingml.chart+xml"/>
  <Override PartName="/xl/charts/style33.xml" ContentType="application/vnd.ms-office.chartstyle+xml"/>
  <Override PartName="/xl/charts/colors33.xml" ContentType="application/vnd.ms-office.chartcolorstyle+xml"/>
  <Override PartName="/xl/charts/chart25.xml" ContentType="application/vnd.openxmlformats-officedocument.drawingml.chart+xml"/>
  <Override PartName="/xl/charts/style34.xml" ContentType="application/vnd.ms-office.chartstyle+xml"/>
  <Override PartName="/xl/charts/colors34.xml" ContentType="application/vnd.ms-office.chartcolorstyle+xml"/>
  <Override PartName="/xl/charts/chart26.xml" ContentType="application/vnd.openxmlformats-officedocument.drawingml.chart+xml"/>
  <Override PartName="/xl/charts/style35.xml" ContentType="application/vnd.ms-office.chartstyle+xml"/>
  <Override PartName="/xl/charts/colors35.xml" ContentType="application/vnd.ms-office.chartcolorstyle+xml"/>
  <Override PartName="/xl/charts/chart2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xml" ContentType="application/vnd.openxmlformats-officedocument.drawing+xml"/>
  <Override PartName="/xl/charts/chart28.xml" ContentType="application/vnd.openxmlformats-officedocument.drawingml.chart+xml"/>
  <Override PartName="/xl/charts/style37.xml" ContentType="application/vnd.ms-office.chartstyle+xml"/>
  <Override PartName="/xl/charts/colors37.xml" ContentType="application/vnd.ms-office.chartcolorstyle+xml"/>
  <Override PartName="/xl/charts/chart29.xml" ContentType="application/vnd.openxmlformats-officedocument.drawingml.chart+xml"/>
  <Override PartName="/xl/charts/style38.xml" ContentType="application/vnd.ms-office.chartstyle+xml"/>
  <Override PartName="/xl/charts/colors38.xml" ContentType="application/vnd.ms-office.chartcolorstyle+xml"/>
  <Override PartName="/xl/charts/chart30.xml" ContentType="application/vnd.openxmlformats-officedocument.drawingml.chart+xml"/>
  <Override PartName="/xl/charts/style39.xml" ContentType="application/vnd.ms-office.chartstyle+xml"/>
  <Override PartName="/xl/charts/colors39.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harts/chart31.xml" ContentType="application/vnd.openxmlformats-officedocument.drawingml.chart+xml"/>
  <Override PartName="/xl/charts/style40.xml" ContentType="application/vnd.ms-office.chartstyle+xml"/>
  <Override PartName="/xl/charts/colors40.xml" ContentType="application/vnd.ms-office.chartcolorstyle+xml"/>
  <Override PartName="/xl/comments3.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harts/chart32.xml" ContentType="application/vnd.openxmlformats-officedocument.drawingml.chart+xml"/>
  <Override PartName="/xl/charts/style41.xml" ContentType="application/vnd.ms-office.chartstyle+xml"/>
  <Override PartName="/xl/charts/colors41.xml" ContentType="application/vnd.ms-office.chartcolorstyle+xml"/>
  <Override PartName="/xl/charts/chart33.xml" ContentType="application/vnd.openxmlformats-officedocument.drawingml.chart+xml"/>
  <Override PartName="/xl/charts/style42.xml" ContentType="application/vnd.ms-office.chartstyle+xml"/>
  <Override PartName="/xl/charts/colors42.xml" ContentType="application/vnd.ms-office.chartcolorstyle+xml"/>
  <Override PartName="/xl/charts/chart3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xml" ContentType="application/vnd.openxmlformats-officedocument.drawing+xml"/>
  <Override PartName="/xl/comments8.xml" ContentType="application/vnd.openxmlformats-officedocument.spreadsheetml.comments+xml"/>
  <Override PartName="/xl/charts/chart35.xml" ContentType="application/vnd.openxmlformats-officedocument.drawingml.chart+xml"/>
  <Override PartName="/xl/charts/style44.xml" ContentType="application/vnd.ms-office.chartstyle+xml"/>
  <Override PartName="/xl/charts/colors44.xml" ContentType="application/vnd.ms-office.chartcolorstyle+xml"/>
  <Override PartName="/xl/charts/chart3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xml" ContentType="application/vnd.openxmlformats-officedocument.drawing+xml"/>
  <Override PartName="/xl/comments9.xml" ContentType="application/vnd.openxmlformats-officedocument.spreadsheetml.comments+xml"/>
  <Override PartName="/xl/charts/chart37.xml" ContentType="application/vnd.openxmlformats-officedocument.drawingml.chart+xml"/>
  <Override PartName="/xl/charts/style46.xml" ContentType="application/vnd.ms-office.chartstyle+xml"/>
  <Override PartName="/xl/charts/colors46.xml" ContentType="application/vnd.ms-office.chartcolorstyle+xml"/>
  <Override PartName="/xl/charts/chart3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xml" ContentType="application/vnd.openxmlformats-officedocument.drawing+xml"/>
  <Override PartName="/xl/comments10.xml" ContentType="application/vnd.openxmlformats-officedocument.spreadsheetml.comments+xml"/>
  <Override PartName="/xl/charts/chart39.xml" ContentType="application/vnd.openxmlformats-officedocument.drawingml.chart+xml"/>
  <Override PartName="/xl/charts/style48.xml" ContentType="application/vnd.ms-office.chartstyle+xml"/>
  <Override PartName="/xl/charts/colors48.xml" ContentType="application/vnd.ms-office.chartcolorstyle+xml"/>
  <Override PartName="/xl/charts/chart40.xml" ContentType="application/vnd.openxmlformats-officedocument.drawingml.chart+xml"/>
  <Override PartName="/xl/charts/style49.xml" ContentType="application/vnd.ms-office.chartstyle+xml"/>
  <Override PartName="/xl/charts/colors49.xml" ContentType="application/vnd.ms-office.chartcolorstyle+xml"/>
  <Override PartName="/xl/charts/chart41.xml" ContentType="application/vnd.openxmlformats-officedocument.drawingml.chart+xml"/>
  <Override PartName="/xl/charts/style50.xml" ContentType="application/vnd.ms-office.chartstyle+xml"/>
  <Override PartName="/xl/charts/colors50.xml" ContentType="application/vnd.ms-office.chartcolorstyle+xml"/>
  <Override PartName="/xl/charts/chart42.xml" ContentType="application/vnd.openxmlformats-officedocument.drawingml.chart+xml"/>
  <Override PartName="/xl/charts/style51.xml" ContentType="application/vnd.ms-office.chartstyle+xml"/>
  <Override PartName="/xl/charts/colors51.xml" ContentType="application/vnd.ms-office.chartcolorstyle+xml"/>
  <Override PartName="/xl/charts/chart43.xml" ContentType="application/vnd.openxmlformats-officedocument.drawingml.chart+xml"/>
  <Override PartName="/xl/charts/style52.xml" ContentType="application/vnd.ms-office.chartstyle+xml"/>
  <Override PartName="/xl/charts/colors52.xml" ContentType="application/vnd.ms-office.chartcolorstyle+xml"/>
  <Override PartName="/xl/charts/chart44.xml" ContentType="application/vnd.openxmlformats-officedocument.drawingml.chart+xml"/>
  <Override PartName="/xl/charts/style53.xml" ContentType="application/vnd.ms-office.chartstyle+xml"/>
  <Override PartName="/xl/charts/colors53.xml" ContentType="application/vnd.ms-office.chartcolorstyle+xml"/>
  <Override PartName="/xl/charts/chart45.xml" ContentType="application/vnd.openxmlformats-officedocument.drawingml.chart+xml"/>
  <Override PartName="/xl/charts/style54.xml" ContentType="application/vnd.ms-office.chartstyle+xml"/>
  <Override PartName="/xl/charts/colors54.xml" ContentType="application/vnd.ms-office.chartcolorstyle+xml"/>
  <Override PartName="/xl/charts/chart46.xml" ContentType="application/vnd.openxmlformats-officedocument.drawingml.chart+xml"/>
  <Override PartName="/xl/charts/style55.xml" ContentType="application/vnd.ms-office.chartstyle+xml"/>
  <Override PartName="/xl/charts/colors55.xml" ContentType="application/vnd.ms-office.chartcolorstyle+xml"/>
  <Override PartName="/xl/charts/chart47.xml" ContentType="application/vnd.openxmlformats-officedocument.drawingml.chart+xml"/>
  <Override PartName="/xl/charts/style56.xml" ContentType="application/vnd.ms-office.chartstyle+xml"/>
  <Override PartName="/xl/charts/colors56.xml" ContentType="application/vnd.ms-office.chartcolorstyle+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charts/chart48.xml" ContentType="application/vnd.openxmlformats-officedocument.drawingml.chart+xml"/>
  <Override PartName="/xl/charts/style57.xml" ContentType="application/vnd.ms-office.chartstyle+xml"/>
  <Override PartName="/xl/charts/colors57.xml" ContentType="application/vnd.ms-office.chartcolorstyle+xml"/>
  <Override PartName="/xl/charts/chart49.xml" ContentType="application/vnd.openxmlformats-officedocument.drawingml.chart+xml"/>
  <Override PartName="/xl/charts/style58.xml" ContentType="application/vnd.ms-office.chartstyle+xml"/>
  <Override PartName="/xl/charts/colors58.xml" ContentType="application/vnd.ms-office.chartcolorstyle+xml"/>
  <Override PartName="/xl/charts/chart50.xml" ContentType="application/vnd.openxmlformats-officedocument.drawingml.chart+xml"/>
  <Override PartName="/xl/charts/style59.xml" ContentType="application/vnd.ms-office.chartstyle+xml"/>
  <Override PartName="/xl/charts/colors59.xml" ContentType="application/vnd.ms-office.chartcolorstyle+xml"/>
  <Override PartName="/xl/charts/chart51.xml" ContentType="application/vnd.openxmlformats-officedocument.drawingml.chart+xml"/>
  <Override PartName="/xl/charts/style60.xml" ContentType="application/vnd.ms-office.chartstyle+xml"/>
  <Override PartName="/xl/charts/colors60.xml" ContentType="application/vnd.ms-office.chartcolorstyle+xml"/>
  <Override PartName="/xl/charts/chart5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4.xml" ContentType="application/vnd.openxmlformats-officedocument.drawing+xml"/>
  <Override PartName="/xl/comments13.xml" ContentType="application/vnd.openxmlformats-officedocument.spreadsheetml.comments+xml"/>
  <Override PartName="/xl/charts/chart53.xml" ContentType="application/vnd.openxmlformats-officedocument.drawingml.chart+xml"/>
  <Override PartName="/xl/charts/style62.xml" ContentType="application/vnd.ms-office.chartstyle+xml"/>
  <Override PartName="/xl/charts/colors62.xml" ContentType="application/vnd.ms-office.chartcolorstyle+xml"/>
  <Override PartName="/xl/charts/chart54.xml" ContentType="application/vnd.openxmlformats-officedocument.drawingml.chart+xml"/>
  <Override PartName="/xl/charts/style63.xml" ContentType="application/vnd.ms-office.chartstyle+xml"/>
  <Override PartName="/xl/charts/colors63.xml" ContentType="application/vnd.ms-office.chartcolorstyle+xml"/>
  <Override PartName="/xl/charts/chart55.xml" ContentType="application/vnd.openxmlformats-officedocument.drawingml.chart+xml"/>
  <Override PartName="/xl/charts/style64.xml" ContentType="application/vnd.ms-office.chartstyle+xml"/>
  <Override PartName="/xl/charts/colors64.xml" ContentType="application/vnd.ms-office.chartcolorstyle+xml"/>
  <Override PartName="/xl/charts/chart56.xml" ContentType="application/vnd.openxmlformats-officedocument.drawingml.chart+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omments14.xml" ContentType="application/vnd.openxmlformats-officedocument.spreadsheetml.comments+xml"/>
  <Override PartName="/xl/threadedComments/threadedComment4.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threadedComments/threadedComment5.xml" ContentType="application/vnd.ms-excel.threadedcomments+xml"/>
  <Override PartName="/xl/comments17.xml" ContentType="application/vnd.openxmlformats-officedocument.spreadsheetml.comments+xml"/>
  <Override PartName="/xl/threadedComments/threadedComment6.xml" ContentType="application/vnd.ms-excel.threadedcomments+xml"/>
  <Override PartName="/xl/drawings/drawing15.xml" ContentType="application/vnd.openxmlformats-officedocument.drawing+xml"/>
  <Override PartName="/xl/drawings/drawing16.xml" ContentType="application/vnd.openxmlformats-officedocument.drawing+xml"/>
  <Override PartName="/xl/comments18.xml" ContentType="application/vnd.openxmlformats-officedocument.spreadsheetml.comments+xml"/>
  <Override PartName="/xl/threadedComments/threadedComment7.xml" ContentType="application/vnd.ms-excel.threadedcomments+xml"/>
  <Override PartName="/xl/drawings/drawing17.xml" ContentType="application/vnd.openxmlformats-officedocument.drawing+xml"/>
  <Override PartName="/xl/comments19.xml" ContentType="application/vnd.openxmlformats-officedocument.spreadsheetml.comments+xml"/>
  <Override PartName="/xl/threadedComments/threadedComment8.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comments20.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mc:AlternateContent xmlns:mc="http://schemas.openxmlformats.org/markup-compatibility/2006">
    <mc:Choice Requires="x15">
      <x15ac:absPath xmlns:x15ac="http://schemas.microsoft.com/office/spreadsheetml/2010/11/ac" url="https://energyinnovation-my.sharepoint.com/personal/jeff_energyinnovation_org/Documents/Documents/Chronological Docs/2099-9999 Industry Program/2024-2025 World Bank - LBL Paper on East Asia/"/>
    </mc:Choice>
  </mc:AlternateContent>
  <xr:revisionPtr revIDLastSave="711" documentId="8_{09035EB9-AEDF-418E-A2EA-7A9CDDE7B02E}" xr6:coauthVersionLast="47" xr6:coauthVersionMax="47" xr10:uidLastSave="{2BC2EC31-E285-448B-8FB5-82D9158F179A}"/>
  <bookViews>
    <workbookView xWindow="1170" yWindow="1170" windowWidth="23355" windowHeight="22230" tabRatio="623" xr2:uid="{FB4EA34C-C344-4817-9F96-5131B05F9F50}"/>
  </bookViews>
  <sheets>
    <sheet name="About" sheetId="20" r:id="rId1"/>
    <sheet name="Graphs" sheetId="12" r:id="rId2"/>
    <sheet name="Time Series Graphs" sheetId="64" r:id="rId3"/>
    <sheet name="Subindstry Demand Cng Graphs" sheetId="63" r:id="rId4"/>
    <sheet name="Subindustry Color Sort Graphs" sheetId="69" r:id="rId5"/>
    <sheet name="Indifference Curves" sheetId="73" r:id="rId6"/>
    <sheet name="Energy Use Data" sheetId="16" r:id="rId7"/>
    <sheet name="Other Country-Specific Data" sheetId="17" r:id="rId8"/>
    <sheet name="Achivable Interventions" sheetId="55" r:id="rId9"/>
    <sheet name="Calculations" sheetId="1" r:id="rId10"/>
    <sheet name="Unit Conversions" sheetId="3" r:id="rId11"/>
    <sheet name="References" sheetId="5" r:id="rId12"/>
    <sheet name="H2 Production Cost" sheetId="29" r:id="rId13"/>
    <sheet name="Cross-Industry CapEx Factors" sheetId="34" r:id="rId14"/>
    <sheet name="CO2 Process Emis" sheetId="61" r:id="rId15"/>
    <sheet name="Power Sector CapEx Cost-China" sheetId="28" state="hidden" r:id="rId16"/>
    <sheet name="Power Sector CapEx Cost-Indones" sheetId="31" state="hidden" r:id="rId17"/>
    <sheet name="Power Sector CapEx Cost-Vietnam" sheetId="30" state="hidden" r:id="rId18"/>
    <sheet name="Steel Cost Model-China" sheetId="22" r:id="rId19"/>
    <sheet name="Steel Cost Model-Indonesia" sheetId="25" r:id="rId20"/>
    <sheet name="Steel Cost Model-Vietnam" sheetId="54" r:id="rId21"/>
    <sheet name="Cement Cost Model-China" sheetId="23" r:id="rId22"/>
    <sheet name="Cement Capacity-China" sheetId="24" r:id="rId23"/>
    <sheet name="Cement Cost Model-Indonesia" sheetId="26" r:id="rId24"/>
    <sheet name="Cement Capacity-Indonesia" sheetId="27" r:id="rId25"/>
    <sheet name="Cement Cost Model-Vietnam" sheetId="52" r:id="rId26"/>
    <sheet name="Cement Capacity-Vietnam" sheetId="53" r:id="rId27"/>
    <sheet name="CAPEX per GJ" sheetId="50" r:id="rId28"/>
    <sheet name="Technology Shares" sheetId="51" r:id="rId29"/>
    <sheet name="Investment Comparisons" sheetId="62" r:id="rId30"/>
    <sheet name="Industrial CCS Capital Costs" sheetId="48" r:id="rId31"/>
    <sheet name="Other Technical Data" sheetId="21" r:id="rId32"/>
    <sheet name="Temperature Breakdown" sheetId="6" r:id="rId33"/>
    <sheet name="Equip Efficiency by Temperature" sheetId="18" r:id="rId34"/>
    <sheet name="Electrification Potential" sheetId="9" r:id="rId35"/>
    <sheet name="Refining Demand Projection" sheetId="76" r:id="rId36"/>
    <sheet name="CESY 4-3" sheetId="2" r:id="rId37"/>
    <sheet name="CESY 4-13" sheetId="74" r:id="rId38"/>
    <sheet name="MECS T5.2" sheetId="7" r:id="rId39"/>
    <sheet name="Emission Factors Hub" sheetId="11" r:id="rId40"/>
    <sheet name="China Energy Prices" sheetId="8" r:id="rId41"/>
    <sheet name="Vietnam Demand Projections" sheetId="72" r:id="rId42"/>
    <sheet name="Vietnam Energy Prices" sheetId="60" r:id="rId43"/>
    <sheet name="Indonesia Energy Prices" sheetId="66" r:id="rId44"/>
    <sheet name="China steam cost notes" sheetId="15" r:id="rId45"/>
    <sheet name="EPS China Non-Energy Fuel Use" sheetId="19" r:id="rId46"/>
    <sheet name="China Elec Projections" sheetId="67" r:id="rId47"/>
    <sheet name="Indonesia Elec Projections" sheetId="68" r:id="rId48"/>
    <sheet name="Vietnam Elec Data &amp; Projections" sheetId="56" r:id="rId49"/>
    <sheet name="Indonesia Energy Use" sheetId="58" r:id="rId50"/>
    <sheet name="Vietnam Energy Use" sheetId="71" r:id="rId51"/>
    <sheet name="AEO T24 Refining" sheetId="35" r:id="rId52"/>
    <sheet name="AEO T25 Food" sheetId="36" r:id="rId53"/>
    <sheet name="AEO T26 Paper" sheetId="37" r:id="rId54"/>
    <sheet name="AEO T27 Chemicals" sheetId="38" r:id="rId55"/>
    <sheet name="AEO T28 Glass" sheetId="39" r:id="rId56"/>
    <sheet name="AEO T29 Cement" sheetId="40" r:id="rId57"/>
    <sheet name="AEO T30 Steel" sheetId="41" r:id="rId58"/>
    <sheet name="AEO T31 Aluminum" sheetId="42" r:id="rId59"/>
    <sheet name="AEO T32 Metal Prods" sheetId="43" r:id="rId60"/>
    <sheet name="AEO T33 Other Mfg" sheetId="44" r:id="rId61"/>
    <sheet name="AEO T3 Fuel Prices" sheetId="46" r:id="rId62"/>
    <sheet name="AEO T8 Electricity Demand" sheetId="65" r:id="rId63"/>
    <sheet name="U.S. Textiles" sheetId="75" r:id="rId64"/>
  </sheets>
  <definedNames>
    <definedName name="_xlchart.v1.0" hidden="1">Graphs!$A$447:$A$454</definedName>
    <definedName name="_xlchart.v1.1" hidden="1">Graphs!$B$447:$B$454</definedName>
    <definedName name="_xlchart.v1.10" hidden="1">Graphs!$B$205:$B$212</definedName>
    <definedName name="_xlchart.v1.11" hidden="1">'Subindstry Demand Cng Graphs'!$A$3:$A$10</definedName>
    <definedName name="_xlchart.v1.12" hidden="1">'Subindstry Demand Cng Graphs'!$C$3:$C$10</definedName>
    <definedName name="_xlchart.v1.13" hidden="1">'Subindstry Demand Cng Graphs'!$A$47:$A$54</definedName>
    <definedName name="_xlchart.v1.14" hidden="1">'Subindstry Demand Cng Graphs'!$C$47:$C$54</definedName>
    <definedName name="_xlchart.v1.15" hidden="1">'Subindstry Demand Cng Graphs'!$A$91:$A$98</definedName>
    <definedName name="_xlchart.v1.16" hidden="1">'Subindstry Demand Cng Graphs'!$C$91:$C$98</definedName>
    <definedName name="_xlchart.v1.17" hidden="1">'Subindstry Demand Cng Graphs'!$A$136:$A$143</definedName>
    <definedName name="_xlchart.v1.18" hidden="1">'Subindstry Demand Cng Graphs'!$C$136:$C$143</definedName>
    <definedName name="_xlchart.v1.2" hidden="1">Graphs!$A$489:$A$494</definedName>
    <definedName name="_xlchart.v1.3" hidden="1">Graphs!$B$489:$B$494</definedName>
    <definedName name="_xlchart.v1.4" hidden="1">Graphs!$A$563:$A$568</definedName>
    <definedName name="_xlchart.v1.5" hidden="1">Graphs!$B$562</definedName>
    <definedName name="_xlchart.v1.6" hidden="1">Graphs!$B$563:$B$568</definedName>
    <definedName name="_xlchart.v1.7" hidden="1">Graphs!$A$59:$A$66</definedName>
    <definedName name="_xlchart.v1.8" hidden="1">Graphs!$B$59:$B$66</definedName>
    <definedName name="_xlchart.v1.9" hidden="1">Graphs!$A$205:$A$212</definedName>
    <definedName name="base.year">#REF!</definedName>
    <definedName name="CH4GWP" localSheetId="24">#REF!</definedName>
    <definedName name="CH4GWP" localSheetId="23">#REF!</definedName>
    <definedName name="CH4GWP" localSheetId="19">#REF!</definedName>
    <definedName name="CH4GWP">#REF!</definedName>
    <definedName name="coal.past">#REF!</definedName>
    <definedName name="Constants.Density.Diesel" localSheetId="24">#REF!</definedName>
    <definedName name="Constants.Density.Diesel" localSheetId="23">#REF!</definedName>
    <definedName name="Constants.Density.Diesel" localSheetId="19">#REF!</definedName>
    <definedName name="Constants.Density.Diesel">#REF!</definedName>
    <definedName name="Constants.Density.Ethanol" localSheetId="24">#REF!</definedName>
    <definedName name="Constants.Density.Ethanol" localSheetId="23">#REF!</definedName>
    <definedName name="Constants.Density.Ethanol" localSheetId="45">#REF!</definedName>
    <definedName name="Constants.Density.Ethanol" localSheetId="19">#REF!</definedName>
    <definedName name="Constants.Density.Ethanol">#REF!</definedName>
    <definedName name="Constants.Density.JetFuel" localSheetId="24">#REF!</definedName>
    <definedName name="Constants.Density.JetFuel" localSheetId="23">#REF!</definedName>
    <definedName name="Constants.Density.JetFuel" localSheetId="45">#REF!</definedName>
    <definedName name="Constants.Density.JetFuel" localSheetId="19">#REF!</definedName>
    <definedName name="Constants.Density.JetFuel">#REF!</definedName>
    <definedName name="Constants.Density.MotorSpirit" localSheetId="24">#REF!</definedName>
    <definedName name="Constants.Density.MotorSpirit" localSheetId="23">#REF!</definedName>
    <definedName name="Constants.Density.MotorSpirit" localSheetId="45">#REF!</definedName>
    <definedName name="Constants.Density.MotorSpirit" localSheetId="19">#REF!</definedName>
    <definedName name="Constants.Density.MotorSpirit">#REF!</definedName>
    <definedName name="Conversion.to.average.power">#REF!</definedName>
    <definedName name="Conversion.water.L">#REF!</definedName>
    <definedName name="Conversion.water.units">#REF!</definedName>
    <definedName name="Conversions.Area.m2">#REF!</definedName>
    <definedName name="Conversions.Area.Units">#REF!</definedName>
    <definedName name="Conversions.Energy.Joules">#REF!</definedName>
    <definedName name="Conversions.Energy.Units">#REF!</definedName>
    <definedName name="Conversions.Money.GBP">#REF!</definedName>
    <definedName name="Conversions.Money.Units">#REF!</definedName>
    <definedName name="Conversions.Power.Units">#REF!</definedName>
    <definedName name="Conversions.Power.Watts">#REF!</definedName>
    <definedName name="Cost.Capital.Scenario">#REF!</definedName>
    <definedName name="Cost.Finance.Scenario">#REF!</definedName>
    <definedName name="Cost.Fuel.Scenario">#REF!</definedName>
    <definedName name="Cost.Infrastructure.Scenario">#REF!</definedName>
    <definedName name="csp.capacity">#REF!</definedName>
    <definedName name="D" localSheetId="24">#REF!</definedName>
    <definedName name="D" localSheetId="23">#REF!</definedName>
    <definedName name="D" localSheetId="45">#REF!</definedName>
    <definedName name="D" localSheetId="19">#REF!</definedName>
    <definedName name="D">#REF!</definedName>
    <definedName name="discount_factors">#REF!</definedName>
    <definedName name="EF.BlastFurnaceGas.CO2" localSheetId="24">#REF!</definedName>
    <definedName name="EF.BlastFurnaceGas.CO2" localSheetId="23">#REF!</definedName>
    <definedName name="EF.BlastFurnaceGas.CO2" localSheetId="45">#REF!</definedName>
    <definedName name="EF.BlastFurnaceGas.CO2" localSheetId="19">#REF!</definedName>
    <definedName name="EF.BlastFurnaceGas.CO2">#REF!</definedName>
    <definedName name="EF.Diesel.CH4" localSheetId="24">#REF!</definedName>
    <definedName name="EF.Diesel.CH4" localSheetId="23">#REF!</definedName>
    <definedName name="EF.Diesel.CH4" localSheetId="45">#REF!</definedName>
    <definedName name="EF.Diesel.CH4" localSheetId="19">#REF!</definedName>
    <definedName name="EF.Diesel.CH4">#REF!</definedName>
    <definedName name="EF.Diesel.CO2" localSheetId="24">#REF!</definedName>
    <definedName name="EF.Diesel.CO2" localSheetId="23">#REF!</definedName>
    <definedName name="EF.Diesel.CO2" localSheetId="45">#REF!</definedName>
    <definedName name="EF.Diesel.CO2" localSheetId="19">#REF!</definedName>
    <definedName name="EF.Diesel.CO2">#REF!</definedName>
    <definedName name="EF.Diesel.N2O" localSheetId="24">#REF!</definedName>
    <definedName name="EF.Diesel.N2O" localSheetId="23">#REF!</definedName>
    <definedName name="EF.Diesel.N2O" localSheetId="45">#REF!</definedName>
    <definedName name="EF.Diesel.N2O" localSheetId="19">#REF!</definedName>
    <definedName name="EF.Diesel.N2O">#REF!</definedName>
    <definedName name="EF.IndustrialCoal.CH4" localSheetId="24">#REF!</definedName>
    <definedName name="EF.IndustrialCoal.CH4" localSheetId="23">#REF!</definedName>
    <definedName name="EF.IndustrialCoal.CH4" localSheetId="45">#REF!</definedName>
    <definedName name="EF.IndustrialCoal.CH4" localSheetId="19">#REF!</definedName>
    <definedName name="EF.IndustrialCoal.CH4">#REF!</definedName>
    <definedName name="EF.IndustrialCoal.CO2" localSheetId="24">#REF!</definedName>
    <definedName name="EF.IndustrialCoal.CO2" localSheetId="23">#REF!</definedName>
    <definedName name="EF.IndustrialCoal.CO2" localSheetId="45">#REF!</definedName>
    <definedName name="EF.IndustrialCoal.CO2" localSheetId="19">#REF!</definedName>
    <definedName name="EF.IndustrialCoal.CO2">#REF!</definedName>
    <definedName name="EF.IndustrialCoal.N2O" localSheetId="24">#REF!</definedName>
    <definedName name="EF.IndustrialCoal.N2O" localSheetId="23">#REF!</definedName>
    <definedName name="EF.IndustrialCoal.N2O" localSheetId="45">#REF!</definedName>
    <definedName name="EF.IndustrialCoal.N2O" localSheetId="19">#REF!</definedName>
    <definedName name="EF.IndustrialCoal.N2O">#REF!</definedName>
    <definedName name="EF.NaturalGas.CH4" localSheetId="24">#REF!</definedName>
    <definedName name="EF.NaturalGas.CH4" localSheetId="23">#REF!</definedName>
    <definedName name="EF.NaturalGas.CH4" localSheetId="45">#REF!</definedName>
    <definedName name="EF.NaturalGas.CH4" localSheetId="19">#REF!</definedName>
    <definedName name="EF.NaturalGas.CH4">#REF!</definedName>
    <definedName name="EF.NaturalGas.CO2" localSheetId="24">#REF!</definedName>
    <definedName name="EF.NaturalGas.CO2" localSheetId="23">#REF!</definedName>
    <definedName name="EF.NaturalGas.CO2" localSheetId="45">#REF!</definedName>
    <definedName name="EF.NaturalGas.CO2" localSheetId="19">#REF!</definedName>
    <definedName name="EF.NaturalGas.CO2">#REF!</definedName>
    <definedName name="EF.NaturalGas.N2O" localSheetId="24">#REF!</definedName>
    <definedName name="EF.NaturalGas.N2O" localSheetId="23">#REF!</definedName>
    <definedName name="EF.NaturalGas.N2O" localSheetId="45">#REF!</definedName>
    <definedName name="EF.NaturalGas.N2O" localSheetId="19">#REF!</definedName>
    <definedName name="EF.NaturalGas.N2O">#REF!</definedName>
    <definedName name="GBP">#REF!</definedName>
    <definedName name="growth.scenario">#REF!</definedName>
    <definedName name="GWP.CH4">#REF!</definedName>
    <definedName name="GWP.N2O">#REF!</definedName>
    <definedName name="GWPCH4" localSheetId="24">#REF!</definedName>
    <definedName name="GWPCH4" localSheetId="23">#REF!</definedName>
    <definedName name="GWPCH4" localSheetId="19">#REF!</definedName>
    <definedName name="GWPCH4">#REF!</definedName>
    <definedName name="GWPN2O" localSheetId="24">#REF!</definedName>
    <definedName name="GWPN2O" localSheetId="23">#REF!</definedName>
    <definedName name="GWPN2O" localSheetId="19">#REF!</definedName>
    <definedName name="GWPN2O">#REF!</definedName>
    <definedName name="h" localSheetId="24">#REF!</definedName>
    <definedName name="h" localSheetId="23">#REF!</definedName>
    <definedName name="h" localSheetId="45">#REF!</definedName>
    <definedName name="h" localSheetId="19">#REF!</definedName>
    <definedName name="h">#REF!</definedName>
    <definedName name="I.01">#REF!</definedName>
    <definedName name="I.a.scenario">#REF!</definedName>
    <definedName name="I.b.scenario">#REF!</definedName>
    <definedName name="I.b.scenario.efficiency">#REF!</definedName>
    <definedName name="I.c.scenario">#REF!</definedName>
    <definedName name="I.c.scenario.fuelmix">#REF!</definedName>
    <definedName name="II.scenario">#REF!</definedName>
    <definedName name="III.scenario">#REF!</definedName>
    <definedName name="input.choice">#REF!</definedName>
    <definedName name="INR">#REF!</definedName>
    <definedName name="INRb">#REF!</definedName>
    <definedName name="INRCr">#REF!</definedName>
    <definedName name="INRLac">#REF!</definedName>
    <definedName name="INRt">#REF!</definedName>
    <definedName name="IV.a.scenario">#REF!</definedName>
    <definedName name="IV.b.scenario">#REF!</definedName>
    <definedName name="IV.c.1.scenario">#REF!</definedName>
    <definedName name="iv.c.2.scenario">#REF!</definedName>
    <definedName name="IV.d.scenario">#REF!</definedName>
    <definedName name="IV.e.scenario">#REF!</definedName>
    <definedName name="IV.f.scenario" localSheetId="24">#REF!</definedName>
    <definedName name="IV.f.scenario" localSheetId="23">#REF!</definedName>
    <definedName name="IV.f.scenario" localSheetId="19">#REF!</definedName>
    <definedName name="IV.f.scenario">#REF!</definedName>
    <definedName name="IX.a.scenario" localSheetId="24">#REF!</definedName>
    <definedName name="IX.a.scenario" localSheetId="23">#REF!</definedName>
    <definedName name="IX.a.scenario" localSheetId="19">#REF!</definedName>
    <definedName name="IX.a.scenario">#REF!</definedName>
    <definedName name="MGBP">#REF!</definedName>
    <definedName name="Minesize.xv.b">#REF!</definedName>
    <definedName name="N2OGWP" localSheetId="24">#REF!</definedName>
    <definedName name="N2OGWP" localSheetId="23">#REF!</definedName>
    <definedName name="N2OGWP" localSheetId="19">#REF!</definedName>
    <definedName name="N2OGWP">#REF!</definedName>
    <definedName name="nuclear.past" localSheetId="24">#REF!</definedName>
    <definedName name="nuclear.past" localSheetId="23">#REF!</definedName>
    <definedName name="nuclear.past" localSheetId="45">#REF!</definedName>
    <definedName name="nuclear.past" localSheetId="19">#REF!</definedName>
    <definedName name="nuclear.past">#REF!</definedName>
    <definedName name="plantsize.I.b" localSheetId="24">#REF!</definedName>
    <definedName name="plantsize.I.b" localSheetId="23">#REF!</definedName>
    <definedName name="plantsize.I.b" localSheetId="45">#REF!</definedName>
    <definedName name="plantsize.I.b" localSheetId="19">#REF!</definedName>
    <definedName name="plantsize.I.b">#REF!</definedName>
    <definedName name="Plantsize.II" localSheetId="24">#REF!</definedName>
    <definedName name="Plantsize.II" localSheetId="23">#REF!</definedName>
    <definedName name="Plantsize.II" localSheetId="45">#REF!</definedName>
    <definedName name="Plantsize.II" localSheetId="19">#REF!</definedName>
    <definedName name="Plantsize.II">#REF!</definedName>
    <definedName name="Plantsize.III" localSheetId="24">#REF!</definedName>
    <definedName name="Plantsize.III" localSheetId="23">#REF!</definedName>
    <definedName name="Plantsize.III" localSheetId="45">#REF!</definedName>
    <definedName name="Plantsize.III" localSheetId="19">#REF!</definedName>
    <definedName name="Plantsize.III">#REF!</definedName>
    <definedName name="plantsize.iv.a" localSheetId="24">#REF!</definedName>
    <definedName name="plantsize.iv.a" localSheetId="23">#REF!</definedName>
    <definedName name="plantsize.iv.a" localSheetId="45">#REF!</definedName>
    <definedName name="plantsize.iv.a" localSheetId="19">#REF!</definedName>
    <definedName name="plantsize.iv.a">#REF!</definedName>
    <definedName name="plantsize.iv.b" localSheetId="24">#REF!</definedName>
    <definedName name="plantsize.iv.b" localSheetId="23">#REF!</definedName>
    <definedName name="plantsize.iv.b" localSheetId="45">#REF!</definedName>
    <definedName name="plantsize.iv.b" localSheetId="19">#REF!</definedName>
    <definedName name="plantsize.iv.b">#REF!</definedName>
    <definedName name="Plantsize.iv.c.1" localSheetId="24">#REF!</definedName>
    <definedName name="Plantsize.iv.c.1" localSheetId="23">#REF!</definedName>
    <definedName name="Plantsize.iv.c.1" localSheetId="45">#REF!</definedName>
    <definedName name="Plantsize.iv.c.1" localSheetId="19">#REF!</definedName>
    <definedName name="Plantsize.iv.c.1">#REF!</definedName>
    <definedName name="plantsize.iv.c.2" localSheetId="24">#REF!</definedName>
    <definedName name="plantsize.iv.c.2" localSheetId="23">#REF!</definedName>
    <definedName name="plantsize.iv.c.2" localSheetId="45">#REF!</definedName>
    <definedName name="plantsize.iv.c.2" localSheetId="19">#REF!</definedName>
    <definedName name="plantsize.iv.c.2">#REF!</definedName>
    <definedName name="plantsize.iv.d" localSheetId="24">#REF!</definedName>
    <definedName name="plantsize.iv.d" localSheetId="23">#REF!</definedName>
    <definedName name="plantsize.iv.d" localSheetId="45">#REF!</definedName>
    <definedName name="plantsize.iv.d" localSheetId="19">#REF!</definedName>
    <definedName name="plantsize.iv.d">#REF!</definedName>
    <definedName name="predefined.scenario">#REF!</definedName>
    <definedName name="Preferences.AreaUnits">#REF!</definedName>
    <definedName name="preferences.energyunits">#REF!</definedName>
    <definedName name="Preferences.moneyunits">#REF!</definedName>
    <definedName name="Preferences.PowerUnits">#REF!</definedName>
    <definedName name="Preferences.Unit.Energy">#REF!</definedName>
    <definedName name="Preferences.Unit.Power">#REF!</definedName>
    <definedName name="Preferences.waterunit">#REF!</definedName>
    <definedName name="_xlnm.Print_Area" localSheetId="39">'Emission Factors Hub'!$A$1:$L$585</definedName>
    <definedName name="Reliability.scenario" localSheetId="24">#REF!</definedName>
    <definedName name="Reliability.scenario" localSheetId="23">#REF!</definedName>
    <definedName name="Reliability.scenario" localSheetId="45">#REF!</definedName>
    <definedName name="Reliability.scenario" localSheetId="19">#REF!</definedName>
    <definedName name="Reliability.scenario">#REF!</definedName>
    <definedName name="small_hydro.capacity">#REF!</definedName>
    <definedName name="target.year">#REF!</definedName>
    <definedName name="Unit.acre">#REF!</definedName>
    <definedName name="unit.bcm">#REF!</definedName>
    <definedName name="Unit.boe">#REF!</definedName>
    <definedName name="Unit.calorie">#REF!</definedName>
    <definedName name="Unit.day">#REF!</definedName>
    <definedName name="Unit.GJ">#REF!</definedName>
    <definedName name="Unit.GW">#REF!</definedName>
    <definedName name="Unit.GWh">#REF!</definedName>
    <definedName name="Unit.ha">#REF!</definedName>
    <definedName name="Unit.hour">#REF!</definedName>
    <definedName name="Unit.J">#REF!</definedName>
    <definedName name="unit.kcng">#REF!</definedName>
    <definedName name="unit.kgb">#REF!</definedName>
    <definedName name="unit.kgce">#REF!</definedName>
    <definedName name="unit.kghe">#REF!</definedName>
    <definedName name="unit.kglpge">#REF!</definedName>
    <definedName name="Unit.km2">#REF!</definedName>
    <definedName name="Unit.kW">#REF!</definedName>
    <definedName name="Unit.kWh">#REF!</definedName>
    <definedName name="unit.L">#REF!</definedName>
    <definedName name="unit.latfe">#REF!</definedName>
    <definedName name="unit.lcng">#REF!</definedName>
    <definedName name="unit.lde">#REF!</definedName>
    <definedName name="unit.lke">#REF!</definedName>
    <definedName name="unit.lpe">#REF!</definedName>
    <definedName name="Unit.m2">#REF!</definedName>
    <definedName name="Unit.m3">#REF!</definedName>
    <definedName name="unit.MCM">#REF!</definedName>
    <definedName name="Unit.minute">#REF!</definedName>
    <definedName name="Unit.MJ">#REF!</definedName>
    <definedName name="unit.mmbtu">#REF!</definedName>
    <definedName name="unit.mmscm">#REF!</definedName>
    <definedName name="unit.mtcce">#REF!</definedName>
    <definedName name="Unit.Mtce">#REF!</definedName>
    <definedName name="unit.mtde">#REF!</definedName>
    <definedName name="unit.mticce">#REF!</definedName>
    <definedName name="unit.mtice">#REF!</definedName>
    <definedName name="unit.mtle">#REF!</definedName>
    <definedName name="Unit.Mtoe">#REF!</definedName>
    <definedName name="Unit.MW">#REF!</definedName>
    <definedName name="Unit.MWh">#REF!</definedName>
    <definedName name="Unit.PJ">#REF!</definedName>
    <definedName name="unit.scm">#REF!</definedName>
    <definedName name="unit.scmb">#REF!</definedName>
    <definedName name="unit.tce">#REF!</definedName>
    <definedName name="unit.ticce">#REF!</definedName>
    <definedName name="unit.tice">#REF!</definedName>
    <definedName name="Unit.TJ">#REF!</definedName>
    <definedName name="Unit.toe">#REF!</definedName>
    <definedName name="Unit.TWh">#REF!</definedName>
    <definedName name="Unit.W">#REF!</definedName>
    <definedName name="Unit.year">#REF!</definedName>
    <definedName name="USD_Bn">#REF!</definedName>
    <definedName name="USD_mn">#REF!</definedName>
    <definedName name="USD2012_">#REF!</definedName>
    <definedName name="v.a.scenario">#REF!</definedName>
    <definedName name="V.b.scenario">#REF!</definedName>
    <definedName name="V.c.scenario">#REF!</definedName>
    <definedName name="VI.a.scenario">#REF!</definedName>
    <definedName name="VII.a.scenario">#REF!</definedName>
    <definedName name="VII.b.scenario">#REF!</definedName>
    <definedName name="X.a.economy">#REF!</definedName>
    <definedName name="X.a.epi">#REF!</definedName>
    <definedName name="X.a.floorspace">#REF!</definedName>
    <definedName name="X.b.ac">#REF!</definedName>
    <definedName name="X.b.ecbc">#REF!</definedName>
    <definedName name="x.b.floorspace">#REF!</definedName>
    <definedName name="XI.cement.fuel">#REF!</definedName>
    <definedName name="XI.fuelmix">#REF!</definedName>
    <definedName name="XI.scenario">#REF!</definedName>
    <definedName name="XI.steel.fuel">#REF!</definedName>
    <definedName name="XII.a.scenario">#REF!</definedName>
    <definedName name="XII.a.scenario.EVs">#REF!</definedName>
    <definedName name="XII.a.scenario.mode">#REF!</definedName>
    <definedName name="XII.a.scenario.pub_pri">#REF!</definedName>
    <definedName name="XII.b.mode">#REF!</definedName>
    <definedName name="XII.b.scenario">#REF!</definedName>
    <definedName name="XIII.a.chulhas">#REF!</definedName>
    <definedName name="XIII.a.scenario.fuelsplit">#REF!</definedName>
    <definedName name="XIII.b" localSheetId="24">#REF!</definedName>
    <definedName name="XIII.b" localSheetId="23">#REF!</definedName>
    <definedName name="XIII.b" localSheetId="19">#REF!</definedName>
    <definedName name="XIII.b">#REF!</definedName>
    <definedName name="XIV.scenario">#REF!</definedName>
    <definedName name="XIV.scenario.fuelsplit">#REF!</definedName>
    <definedName name="xv.a.scenario">#REF!</definedName>
    <definedName name="xv.b.scenario">#REF!</definedName>
    <definedName name="XV.c.scenario">#REF!</definedName>
    <definedName name="xvi.scenario.fuelspli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26" i="12" l="1"/>
  <c r="D952" i="12"/>
  <c r="D953" i="12"/>
  <c r="D954" i="12"/>
  <c r="D955" i="12"/>
  <c r="D956" i="12"/>
  <c r="D957" i="12"/>
  <c r="D958" i="12"/>
  <c r="D959" i="12"/>
  <c r="D960" i="12"/>
  <c r="D961" i="12"/>
  <c r="D962" i="12"/>
  <c r="D963" i="12"/>
  <c r="D964" i="12"/>
  <c r="D965" i="12"/>
  <c r="D951" i="12"/>
  <c r="C952" i="12"/>
  <c r="C953" i="12"/>
  <c r="C954" i="12"/>
  <c r="C955" i="12"/>
  <c r="C956" i="12"/>
  <c r="C957" i="12"/>
  <c r="C958" i="12"/>
  <c r="C959" i="12"/>
  <c r="C960" i="12"/>
  <c r="C961" i="12"/>
  <c r="C962" i="12"/>
  <c r="C963" i="12"/>
  <c r="C964" i="12"/>
  <c r="C965" i="12"/>
  <c r="C951" i="12"/>
  <c r="B952" i="12"/>
  <c r="B953" i="12"/>
  <c r="B954" i="12"/>
  <c r="B955" i="12"/>
  <c r="B956" i="12"/>
  <c r="B957" i="12"/>
  <c r="B958" i="12"/>
  <c r="B959" i="12"/>
  <c r="B960" i="12"/>
  <c r="B961" i="12"/>
  <c r="B962" i="12"/>
  <c r="B963" i="12"/>
  <c r="B964" i="12"/>
  <c r="B965" i="12"/>
  <c r="B951" i="12"/>
  <c r="C928" i="12"/>
  <c r="D928" i="12"/>
  <c r="E928" i="12"/>
  <c r="F928" i="12"/>
  <c r="G928" i="12"/>
  <c r="H928" i="12"/>
  <c r="I928" i="12"/>
  <c r="J928" i="12"/>
  <c r="C927" i="12"/>
  <c r="D927" i="12"/>
  <c r="E927" i="12"/>
  <c r="F927" i="12"/>
  <c r="G927" i="12"/>
  <c r="H927" i="12"/>
  <c r="I927" i="12"/>
  <c r="J927" i="12"/>
  <c r="D926" i="12"/>
  <c r="E926" i="12"/>
  <c r="F926" i="12"/>
  <c r="G926" i="12"/>
  <c r="H926" i="12"/>
  <c r="I926" i="12"/>
  <c r="J926" i="12"/>
  <c r="B928" i="12"/>
  <c r="B927" i="12"/>
  <c r="B926" i="12"/>
  <c r="H886" i="12"/>
  <c r="G886" i="12"/>
  <c r="F886" i="12"/>
  <c r="E886" i="12"/>
  <c r="D886" i="12"/>
  <c r="C886" i="12"/>
  <c r="B886" i="12"/>
  <c r="H885" i="12"/>
  <c r="G885" i="12"/>
  <c r="F885" i="12"/>
  <c r="E885" i="12"/>
  <c r="D885" i="12"/>
  <c r="C885" i="12"/>
  <c r="B885" i="12"/>
  <c r="H884" i="12"/>
  <c r="G884" i="12"/>
  <c r="F884" i="12"/>
  <c r="E884" i="12"/>
  <c r="D884" i="12"/>
  <c r="C884" i="12"/>
  <c r="B884" i="12"/>
  <c r="D908" i="12" l="1"/>
  <c r="E908" i="12"/>
  <c r="F908" i="12"/>
  <c r="G908" i="12"/>
  <c r="C908" i="12"/>
  <c r="B908" i="12"/>
  <c r="D907" i="12"/>
  <c r="E907" i="12"/>
  <c r="F907" i="12"/>
  <c r="G907" i="12"/>
  <c r="C907" i="12"/>
  <c r="B907" i="12"/>
  <c r="D906" i="12"/>
  <c r="E906" i="12"/>
  <c r="F906" i="12"/>
  <c r="G906" i="12"/>
  <c r="C906" i="12"/>
  <c r="B906" i="12"/>
  <c r="C4" i="17"/>
  <c r="C3" i="17"/>
  <c r="B266" i="12"/>
  <c r="B5" i="17" l="1"/>
  <c r="E157" i="29"/>
  <c r="B174" i="29"/>
  <c r="C174" i="29" s="1"/>
  <c r="D174" i="29" s="1"/>
  <c r="B176" i="29"/>
  <c r="C176" i="29" s="1"/>
  <c r="D176" i="29" s="1"/>
  <c r="B177" i="29"/>
  <c r="C177" i="29" s="1"/>
  <c r="D177" i="29" s="1"/>
  <c r="B178" i="29"/>
  <c r="C178" i="29" s="1"/>
  <c r="D178" i="29" s="1"/>
  <c r="B179" i="29"/>
  <c r="C179" i="29" s="1"/>
  <c r="D179" i="29" s="1"/>
  <c r="B175" i="29"/>
  <c r="C175" i="29" s="1"/>
  <c r="D175" i="29" s="1"/>
  <c r="E7" i="3"/>
  <c r="C157" i="29"/>
  <c r="B140" i="29"/>
  <c r="D137" i="29"/>
  <c r="C137" i="29"/>
  <c r="B137" i="29"/>
  <c r="B139" i="29"/>
  <c r="D134" i="29"/>
  <c r="C134" i="29"/>
  <c r="B134" i="29"/>
  <c r="E99" i="29" l="1"/>
  <c r="C99" i="29"/>
  <c r="E90" i="29"/>
  <c r="C90" i="29"/>
  <c r="B90" i="29"/>
  <c r="E89" i="29"/>
  <c r="C89" i="29"/>
  <c r="B89" i="29"/>
  <c r="E88" i="29"/>
  <c r="C88" i="29"/>
  <c r="B88" i="29"/>
  <c r="B85" i="29"/>
  <c r="C84" i="29"/>
  <c r="B84" i="29"/>
  <c r="E81" i="29"/>
  <c r="C78" i="29"/>
  <c r="C76" i="29"/>
  <c r="E73" i="29"/>
  <c r="D73" i="29"/>
  <c r="C73" i="29"/>
  <c r="B73" i="29"/>
  <c r="C103" i="29" l="1"/>
  <c r="C135" i="29" s="1"/>
  <c r="B103" i="29"/>
  <c r="B135" i="29" s="1"/>
  <c r="E103" i="29"/>
  <c r="D135" i="29" s="1"/>
  <c r="B193" i="29" a="1"/>
  <c r="B193" i="29" s="1"/>
  <c r="B192" i="29" a="1"/>
  <c r="B192" i="29" s="1"/>
  <c r="B188" i="29" a="1"/>
  <c r="B188" i="29" s="1"/>
  <c r="B145" i="29"/>
  <c r="L389" i="1" s="1"/>
  <c r="C21" i="17"/>
  <c r="D21" i="17"/>
  <c r="B21" i="17"/>
  <c r="E69" i="76"/>
  <c r="E70" i="76"/>
  <c r="E68" i="76"/>
  <c r="B43" i="76"/>
  <c r="B83" i="76" s="1"/>
  <c r="B31" i="76"/>
  <c r="B17" i="76"/>
  <c r="B55" i="76"/>
  <c r="B62" i="29"/>
  <c r="K389" i="1" l="1"/>
  <c r="B209" i="71"/>
  <c r="B183" i="71"/>
  <c r="B184" i="71" s="1"/>
  <c r="B185" i="71" s="1"/>
  <c r="B186" i="71" s="1"/>
  <c r="B187" i="71" s="1"/>
  <c r="B190" i="71"/>
  <c r="B204" i="71"/>
  <c r="B203" i="71"/>
  <c r="F9" i="75"/>
  <c r="F10" i="75" s="1"/>
  <c r="B64" i="16" s="1"/>
  <c r="E9" i="75"/>
  <c r="E10" i="75" s="1"/>
  <c r="F64" i="16" s="1"/>
  <c r="D9" i="75"/>
  <c r="D10" i="75" s="1"/>
  <c r="E64" i="16" s="1"/>
  <c r="C9" i="75"/>
  <c r="C10" i="75" s="1"/>
  <c r="I64" i="16" s="1"/>
  <c r="C182" i="17"/>
  <c r="C181" i="17"/>
  <c r="C180" i="17"/>
  <c r="C179" i="17"/>
  <c r="C178" i="17"/>
  <c r="C177" i="17"/>
  <c r="C176" i="17"/>
  <c r="C175" i="17"/>
  <c r="C174" i="17"/>
  <c r="C173" i="17"/>
  <c r="C172" i="17"/>
  <c r="C171" i="17"/>
  <c r="C170" i="17"/>
  <c r="C169" i="17"/>
  <c r="C38" i="68"/>
  <c r="C39" i="68"/>
  <c r="C40" i="68"/>
  <c r="C41" i="68"/>
  <c r="C42" i="68"/>
  <c r="C43" i="68"/>
  <c r="C37" i="68"/>
  <c r="B28" i="68"/>
  <c r="B143" i="58"/>
  <c r="B206" i="71" l="1"/>
  <c r="B214" i="71" s="1"/>
  <c r="B234" i="71" s="1"/>
  <c r="B207" i="71"/>
  <c r="C9" i="68"/>
  <c r="B9" i="68"/>
  <c r="E5" i="68" a="1"/>
  <c r="E5" i="68" s="1"/>
  <c r="F5" i="68" a="1"/>
  <c r="F5" i="68" s="1"/>
  <c r="E6" i="68" a="1"/>
  <c r="E6" i="68" s="1"/>
  <c r="F6" i="68" a="1"/>
  <c r="F6" i="68" s="1"/>
  <c r="E7" i="68" a="1"/>
  <c r="E7" i="68" s="1"/>
  <c r="F7" i="68" a="1"/>
  <c r="F7" i="68" s="1"/>
  <c r="F8" i="68" a="1"/>
  <c r="F8" i="68" s="1"/>
  <c r="F4" i="68" a="1"/>
  <c r="F4" i="68" s="1"/>
  <c r="E4" i="68" a="1"/>
  <c r="E4" i="68" s="1"/>
  <c r="B97" i="64"/>
  <c r="C21" i="68" l="1" a="1"/>
  <c r="C21" i="68" s="1"/>
  <c r="E9" i="68"/>
  <c r="F9" i="68"/>
  <c r="C20" i="68" a="1"/>
  <c r="C20" i="68" s="1"/>
  <c r="C13" i="68" a="1"/>
  <c r="C13" i="68" s="1"/>
  <c r="C19" i="68" a="1"/>
  <c r="C19" i="68" s="1"/>
  <c r="C18" i="68" a="1"/>
  <c r="C18" i="68" s="1"/>
  <c r="C24" i="68" a="1"/>
  <c r="C24" i="68" s="1"/>
  <c r="C23" i="68" a="1"/>
  <c r="C23" i="68" s="1"/>
  <c r="C22" i="68" a="1"/>
  <c r="C22" i="68" s="1"/>
  <c r="B171" i="17"/>
  <c r="B174" i="17"/>
  <c r="B39" i="67"/>
  <c r="B52" i="67" s="1"/>
  <c r="B40" i="67"/>
  <c r="B53" i="67" s="1"/>
  <c r="B172" i="17" s="1"/>
  <c r="B41" i="67"/>
  <c r="B54" i="67" s="1"/>
  <c r="B173" i="17" s="1"/>
  <c r="B42" i="67"/>
  <c r="B55" i="67" s="1"/>
  <c r="B43" i="67"/>
  <c r="B56" i="67" s="1"/>
  <c r="B175" i="17" s="1"/>
  <c r="B44" i="67"/>
  <c r="B45" i="67"/>
  <c r="B38" i="67"/>
  <c r="B51" i="67" s="1"/>
  <c r="B170" i="17" s="1"/>
  <c r="B33" i="67"/>
  <c r="B34" i="67" s="1"/>
  <c r="B7" i="67"/>
  <c r="B14" i="67" s="1"/>
  <c r="B6" i="67"/>
  <c r="B13" i="67" s="1"/>
  <c r="B5" i="67"/>
  <c r="B12" i="67" s="1"/>
  <c r="B57" i="67" s="1"/>
  <c r="B176" i="17" s="1"/>
  <c r="A143" i="64"/>
  <c r="E143" i="64" s="1"/>
  <c r="A144" i="64"/>
  <c r="H144" i="64" s="1"/>
  <c r="A145" i="64"/>
  <c r="C145" i="64" s="1"/>
  <c r="A146" i="64"/>
  <c r="F146" i="64" s="1"/>
  <c r="A147" i="64"/>
  <c r="I147" i="64" s="1"/>
  <c r="A148" i="64"/>
  <c r="D148" i="64" s="1"/>
  <c r="A142" i="64"/>
  <c r="H142" i="64" s="1"/>
  <c r="D143" i="64" l="1"/>
  <c r="K146" i="64"/>
  <c r="J146" i="64"/>
  <c r="B145" i="64"/>
  <c r="M144" i="64"/>
  <c r="I143" i="64"/>
  <c r="L142" i="64"/>
  <c r="G142" i="64"/>
  <c r="C32" i="68"/>
  <c r="C11" i="68" a="1"/>
  <c r="C11" i="68" s="1"/>
  <c r="B137" i="58"/>
  <c r="B144" i="58" s="1"/>
  <c r="C12" i="68" a="1"/>
  <c r="C12" i="68" s="1"/>
  <c r="C17" i="68" a="1"/>
  <c r="C17" i="68" s="1"/>
  <c r="C15" i="68" a="1"/>
  <c r="C15" i="68" s="1"/>
  <c r="C16" i="68" a="1"/>
  <c r="C16" i="68" s="1"/>
  <c r="C14" i="68" a="1"/>
  <c r="C14" i="68" s="1"/>
  <c r="E142" i="64"/>
  <c r="E146" i="64"/>
  <c r="L144" i="64"/>
  <c r="B143" i="64"/>
  <c r="D142" i="64"/>
  <c r="C146" i="64"/>
  <c r="G144" i="64"/>
  <c r="N147" i="64"/>
  <c r="B146" i="64"/>
  <c r="E144" i="64"/>
  <c r="H147" i="64"/>
  <c r="J145" i="64"/>
  <c r="D144" i="64"/>
  <c r="B142" i="64"/>
  <c r="F147" i="64"/>
  <c r="H145" i="64"/>
  <c r="L143" i="64"/>
  <c r="M142" i="64"/>
  <c r="M146" i="64"/>
  <c r="G145" i="64"/>
  <c r="J143" i="64"/>
  <c r="C148" i="64"/>
  <c r="K148" i="64"/>
  <c r="N142" i="64"/>
  <c r="F142" i="64"/>
  <c r="J148" i="64"/>
  <c r="B148" i="64"/>
  <c r="G147" i="64"/>
  <c r="L146" i="64"/>
  <c r="D146" i="64"/>
  <c r="I145" i="64"/>
  <c r="N144" i="64"/>
  <c r="F144" i="64"/>
  <c r="K143" i="64"/>
  <c r="C143" i="64"/>
  <c r="I148" i="64"/>
  <c r="K142" i="64"/>
  <c r="C142" i="64"/>
  <c r="G148" i="64"/>
  <c r="L147" i="64"/>
  <c r="D147" i="64"/>
  <c r="I146" i="64"/>
  <c r="N145" i="64"/>
  <c r="F145" i="64"/>
  <c r="K144" i="64"/>
  <c r="C144" i="64"/>
  <c r="H143" i="64"/>
  <c r="J142" i="64"/>
  <c r="N148" i="64"/>
  <c r="F148" i="64"/>
  <c r="K147" i="64"/>
  <c r="C147" i="64"/>
  <c r="H146" i="64"/>
  <c r="M145" i="64"/>
  <c r="E145" i="64"/>
  <c r="J144" i="64"/>
  <c r="B144" i="64"/>
  <c r="G143" i="64"/>
  <c r="H148" i="64"/>
  <c r="E147" i="64"/>
  <c r="I142" i="64"/>
  <c r="M148" i="64"/>
  <c r="E148" i="64"/>
  <c r="J147" i="64"/>
  <c r="B147" i="64"/>
  <c r="G146" i="64"/>
  <c r="L145" i="64"/>
  <c r="D145" i="64"/>
  <c r="I144" i="64"/>
  <c r="N143" i="64"/>
  <c r="F143" i="64"/>
  <c r="M147" i="64"/>
  <c r="L148" i="64"/>
  <c r="N146" i="64"/>
  <c r="K145" i="64"/>
  <c r="M143" i="64"/>
  <c r="B8" i="67"/>
  <c r="K124" i="17"/>
  <c r="K125" i="17"/>
  <c r="B46" i="29"/>
  <c r="H59" i="16"/>
  <c r="D59" i="16"/>
  <c r="C59" i="16"/>
  <c r="H57" i="16"/>
  <c r="D57" i="16"/>
  <c r="C57" i="16"/>
  <c r="H56" i="16"/>
  <c r="D56" i="16"/>
  <c r="C56" i="16"/>
  <c r="H55" i="16"/>
  <c r="D55" i="16"/>
  <c r="C55" i="16"/>
  <c r="H52" i="16"/>
  <c r="D52" i="16"/>
  <c r="C52" i="16"/>
  <c r="H51" i="16"/>
  <c r="D51" i="16"/>
  <c r="C51" i="16"/>
  <c r="H50" i="16"/>
  <c r="D50" i="16"/>
  <c r="C50" i="16"/>
  <c r="H49" i="16"/>
  <c r="D49" i="16"/>
  <c r="C49" i="16"/>
  <c r="H48" i="16"/>
  <c r="D48" i="16"/>
  <c r="C48" i="16"/>
  <c r="H47" i="16"/>
  <c r="D47" i="16"/>
  <c r="C47" i="16"/>
  <c r="H46" i="16"/>
  <c r="D46" i="16"/>
  <c r="C46" i="16"/>
  <c r="H45" i="16"/>
  <c r="D45" i="16"/>
  <c r="C45" i="16"/>
  <c r="E49" i="56"/>
  <c r="E50" i="56"/>
  <c r="E51" i="56"/>
  <c r="E48" i="56"/>
  <c r="C52" i="56"/>
  <c r="E52" i="56" s="1"/>
  <c r="B52" i="56"/>
  <c r="D161" i="17"/>
  <c r="C7" i="56"/>
  <c r="B20" i="56" s="1"/>
  <c r="D158" i="17" s="1"/>
  <c r="C8" i="56"/>
  <c r="B22" i="56" s="1"/>
  <c r="D160" i="17" s="1"/>
  <c r="C9" i="56"/>
  <c r="B21" i="56" s="1"/>
  <c r="D159" i="17" s="1"/>
  <c r="C12" i="56"/>
  <c r="B26" i="56" s="1"/>
  <c r="D164" i="17" s="1"/>
  <c r="C13" i="56"/>
  <c r="B27" i="56" s="1"/>
  <c r="D165" i="17" s="1"/>
  <c r="C14" i="56"/>
  <c r="B25" i="56" s="1"/>
  <c r="D163" i="17" s="1"/>
  <c r="C15" i="56"/>
  <c r="B28" i="56" s="1"/>
  <c r="D166" i="17" s="1"/>
  <c r="C6" i="56"/>
  <c r="B24" i="56" s="1"/>
  <c r="D162" i="17" s="1"/>
  <c r="C33" i="68" l="1"/>
  <c r="C35" i="68"/>
  <c r="C34" i="68"/>
  <c r="C36" i="68"/>
  <c r="C31" i="68"/>
  <c r="C30" i="68"/>
  <c r="B15" i="67"/>
  <c r="F66" i="30"/>
  <c r="G66" i="30"/>
  <c r="F67" i="30"/>
  <c r="G67" i="30"/>
  <c r="F68" i="30"/>
  <c r="G68" i="30"/>
  <c r="F69" i="30"/>
  <c r="G69" i="30"/>
  <c r="F70" i="30"/>
  <c r="G70" i="30"/>
  <c r="F65" i="30"/>
  <c r="D71" i="30"/>
  <c r="G71" i="30" s="1"/>
  <c r="D65" i="30"/>
  <c r="G50" i="30"/>
  <c r="G51" i="30"/>
  <c r="G52" i="30"/>
  <c r="G53" i="30"/>
  <c r="G54" i="30"/>
  <c r="G49" i="30"/>
  <c r="D55" i="30"/>
  <c r="G55" i="30" s="1"/>
  <c r="F50" i="30"/>
  <c r="F51" i="30"/>
  <c r="F52" i="30"/>
  <c r="F53" i="30"/>
  <c r="F54" i="30"/>
  <c r="F55" i="30"/>
  <c r="C49" i="30"/>
  <c r="F49" i="30" s="1"/>
  <c r="B50" i="67" l="1"/>
  <c r="B169" i="17" s="1"/>
  <c r="B63" i="67"/>
  <c r="B182" i="17" s="1"/>
  <c r="B60" i="67"/>
  <c r="B179" i="17" s="1"/>
  <c r="B58" i="67"/>
  <c r="B177" i="17" s="1"/>
  <c r="B62" i="67"/>
  <c r="B181" i="17" s="1"/>
  <c r="B59" i="67"/>
  <c r="B178" i="17" s="1"/>
  <c r="B61" i="67"/>
  <c r="B180" i="17" s="1"/>
  <c r="G65" i="30"/>
  <c r="F71" i="30"/>
  <c r="F56" i="30"/>
  <c r="I52" i="30" s="1"/>
  <c r="G56" i="30"/>
  <c r="J52" i="30" s="1"/>
  <c r="D89" i="17"/>
  <c r="F72" i="30" l="1"/>
  <c r="I71" i="30"/>
  <c r="G72" i="30"/>
  <c r="J65" i="30"/>
  <c r="K52" i="30"/>
  <c r="B26" i="30" s="1"/>
  <c r="I54" i="30"/>
  <c r="I50" i="30"/>
  <c r="I53" i="30"/>
  <c r="J54" i="30"/>
  <c r="J50" i="30"/>
  <c r="J53" i="30"/>
  <c r="J49" i="30"/>
  <c r="I55" i="30"/>
  <c r="I51" i="30"/>
  <c r="J55" i="30"/>
  <c r="J51" i="30"/>
  <c r="I49" i="30"/>
  <c r="D92" i="17"/>
  <c r="D87" i="17"/>
  <c r="C20" i="72"/>
  <c r="C45" i="72" s="1"/>
  <c r="B26" i="72"/>
  <c r="C7" i="72"/>
  <c r="C8" i="72"/>
  <c r="C42" i="72" s="1"/>
  <c r="C9" i="72"/>
  <c r="C10" i="72"/>
  <c r="C49" i="72" s="1"/>
  <c r="C11" i="72"/>
  <c r="C12" i="72"/>
  <c r="C13" i="72"/>
  <c r="C40" i="72" s="1"/>
  <c r="C14" i="72"/>
  <c r="C46" i="72" s="1"/>
  <c r="C15" i="72"/>
  <c r="C50" i="72" s="1"/>
  <c r="C16" i="72"/>
  <c r="C39" i="72" s="1"/>
  <c r="C17" i="72"/>
  <c r="C53" i="72" s="1"/>
  <c r="C18" i="72"/>
  <c r="C41" i="72" s="1"/>
  <c r="C19" i="72"/>
  <c r="C48" i="72" s="1"/>
  <c r="C6" i="72"/>
  <c r="C43" i="72" s="1"/>
  <c r="C84" i="71"/>
  <c r="F163" i="71"/>
  <c r="F230" i="71" s="1"/>
  <c r="F49" i="16" s="1"/>
  <c r="E165" i="71"/>
  <c r="E232" i="71" s="1"/>
  <c r="E51" i="16" s="1"/>
  <c r="E171" i="71"/>
  <c r="E238" i="71" s="1"/>
  <c r="E57" i="16" s="1"/>
  <c r="F171" i="71"/>
  <c r="F238" i="71" s="1"/>
  <c r="F57" i="16" s="1"/>
  <c r="B163" i="71"/>
  <c r="B230" i="71" s="1"/>
  <c r="B49" i="16" s="1"/>
  <c r="B165" i="71"/>
  <c r="B232" i="71" s="1"/>
  <c r="B51" i="16" s="1"/>
  <c r="B171" i="71"/>
  <c r="B238" i="71" s="1"/>
  <c r="B57" i="16" s="1"/>
  <c r="B266" i="71"/>
  <c r="B265" i="71"/>
  <c r="B264" i="71"/>
  <c r="C57" i="71"/>
  <c r="C58" i="71"/>
  <c r="C59" i="71"/>
  <c r="C60" i="71"/>
  <c r="C61" i="71"/>
  <c r="C62" i="71"/>
  <c r="C63" i="71"/>
  <c r="C64" i="71"/>
  <c r="C65" i="71"/>
  <c r="C66" i="71"/>
  <c r="C67" i="71"/>
  <c r="C68" i="71"/>
  <c r="C69" i="71"/>
  <c r="C70" i="71"/>
  <c r="C71" i="71"/>
  <c r="C72" i="71"/>
  <c r="C73" i="71"/>
  <c r="I142" i="71" s="1"/>
  <c r="I166" i="71" s="1"/>
  <c r="I233" i="71" s="1"/>
  <c r="I52" i="16" s="1"/>
  <c r="C74" i="71"/>
  <c r="C75" i="71"/>
  <c r="I148" i="71" s="1"/>
  <c r="C76" i="71"/>
  <c r="I145" i="71" s="1"/>
  <c r="C77" i="71"/>
  <c r="C78" i="71"/>
  <c r="C79" i="71"/>
  <c r="C80" i="71"/>
  <c r="C81" i="71"/>
  <c r="I146" i="71" s="1"/>
  <c r="C82" i="71"/>
  <c r="C83" i="71"/>
  <c r="C56" i="71"/>
  <c r="B98" i="71"/>
  <c r="K21" i="71"/>
  <c r="K26" i="71" s="1"/>
  <c r="J21" i="71"/>
  <c r="J27" i="71" s="1"/>
  <c r="I21" i="71"/>
  <c r="I26" i="71" s="1"/>
  <c r="H21" i="71"/>
  <c r="H29" i="71" s="1"/>
  <c r="G21" i="71"/>
  <c r="G30" i="71" s="1"/>
  <c r="F21" i="71"/>
  <c r="F31" i="71" s="1"/>
  <c r="E21" i="71"/>
  <c r="E32" i="71" s="1"/>
  <c r="D21" i="71"/>
  <c r="D25" i="71" s="1"/>
  <c r="C21" i="71"/>
  <c r="C26" i="71" s="1"/>
  <c r="B21" i="71"/>
  <c r="B27" i="71" s="1"/>
  <c r="B135" i="71" s="1"/>
  <c r="B159" i="71" s="1"/>
  <c r="B226" i="71" s="1"/>
  <c r="B45" i="16" s="1"/>
  <c r="B51" i="71"/>
  <c r="E139" i="71" s="1"/>
  <c r="E163" i="71" s="1"/>
  <c r="E230" i="71" s="1"/>
  <c r="E49" i="16" s="1"/>
  <c r="C31" i="17"/>
  <c r="C19" i="17"/>
  <c r="C30" i="17"/>
  <c r="C29" i="17"/>
  <c r="C28" i="17"/>
  <c r="C27" i="17"/>
  <c r="C26" i="17"/>
  <c r="J114" i="68"/>
  <c r="J115" i="68" s="1"/>
  <c r="K114" i="68"/>
  <c r="K115" i="68" s="1"/>
  <c r="L114" i="68"/>
  <c r="L115" i="68" s="1"/>
  <c r="M114" i="68"/>
  <c r="M115" i="68" s="1"/>
  <c r="N114" i="68"/>
  <c r="N115" i="68" s="1"/>
  <c r="O114" i="68"/>
  <c r="O115" i="68" s="1"/>
  <c r="I114" i="68"/>
  <c r="I115" i="68" s="1"/>
  <c r="C118" i="68" s="1" a="1"/>
  <c r="C118" i="68" s="1"/>
  <c r="J111" i="68"/>
  <c r="J112" i="68" s="1"/>
  <c r="K111" i="68"/>
  <c r="K112" i="68" s="1"/>
  <c r="L111" i="68"/>
  <c r="L112" i="68" s="1"/>
  <c r="M111" i="68"/>
  <c r="M112" i="68" s="1"/>
  <c r="N111" i="68"/>
  <c r="N112" i="68" s="1"/>
  <c r="O111" i="68"/>
  <c r="O112" i="68" s="1"/>
  <c r="I111" i="68"/>
  <c r="I112" i="68" s="1"/>
  <c r="D169" i="17"/>
  <c r="D170" i="17"/>
  <c r="D171" i="17"/>
  <c r="D172" i="17"/>
  <c r="D173" i="17"/>
  <c r="D174" i="17"/>
  <c r="D175" i="17"/>
  <c r="E41" i="56"/>
  <c r="D182" i="17" s="1"/>
  <c r="E35" i="56"/>
  <c r="D176" i="17" s="1"/>
  <c r="D37" i="56"/>
  <c r="E37" i="56" s="1"/>
  <c r="D178" i="17" s="1"/>
  <c r="D38" i="56"/>
  <c r="E38" i="56" s="1"/>
  <c r="D179" i="17" s="1"/>
  <c r="D39" i="56"/>
  <c r="E39" i="56" s="1"/>
  <c r="D180" i="17" s="1"/>
  <c r="D40" i="56"/>
  <c r="E40" i="56" s="1"/>
  <c r="D181" i="17" s="1"/>
  <c r="D36" i="56"/>
  <c r="E36" i="56" s="1"/>
  <c r="D177" i="17" s="1"/>
  <c r="E182" i="17"/>
  <c r="E180" i="17"/>
  <c r="E181" i="17"/>
  <c r="E179" i="17"/>
  <c r="E178" i="17"/>
  <c r="E177" i="17"/>
  <c r="E176" i="17"/>
  <c r="C21" i="66"/>
  <c r="C25" i="66" s="1"/>
  <c r="E175" i="17"/>
  <c r="E174" i="17"/>
  <c r="E173" i="17"/>
  <c r="E172" i="17"/>
  <c r="E171" i="17"/>
  <c r="E170" i="17"/>
  <c r="E169" i="17"/>
  <c r="D97" i="64"/>
  <c r="E97" i="64"/>
  <c r="F97" i="64"/>
  <c r="G97" i="64"/>
  <c r="H97" i="64"/>
  <c r="I97" i="64"/>
  <c r="J97" i="64"/>
  <c r="K97" i="64"/>
  <c r="L97" i="64"/>
  <c r="C97" i="64"/>
  <c r="A99" i="64"/>
  <c r="B99" i="64" s="1"/>
  <c r="A100" i="64"/>
  <c r="B100" i="64" s="1"/>
  <c r="A101" i="64"/>
  <c r="B101" i="64" s="1"/>
  <c r="A102" i="64"/>
  <c r="B102" i="64" s="1"/>
  <c r="A103" i="64"/>
  <c r="B103" i="64" s="1"/>
  <c r="A104" i="64"/>
  <c r="B104" i="64" s="1"/>
  <c r="A98" i="64"/>
  <c r="B98" i="64" s="1"/>
  <c r="B220" i="71" l="1"/>
  <c r="B239" i="71" s="1"/>
  <c r="B219" i="71"/>
  <c r="B235" i="71" s="1"/>
  <c r="I104" i="64"/>
  <c r="I103" i="64"/>
  <c r="I102" i="64"/>
  <c r="K101" i="64"/>
  <c r="E100" i="64"/>
  <c r="G99" i="64"/>
  <c r="J98" i="64"/>
  <c r="K176" i="17"/>
  <c r="G54" i="64" s="1"/>
  <c r="K102" i="64"/>
  <c r="C102" i="64"/>
  <c r="C101" i="64"/>
  <c r="D101" i="64"/>
  <c r="H99" i="64"/>
  <c r="C58" i="16"/>
  <c r="B58" i="16"/>
  <c r="D58" i="16"/>
  <c r="B269" i="71"/>
  <c r="D53" i="16" s="1"/>
  <c r="B270" i="71"/>
  <c r="I99" i="64"/>
  <c r="C100" i="64"/>
  <c r="J99" i="64"/>
  <c r="C99" i="64"/>
  <c r="F100" i="64"/>
  <c r="C119" i="68" a="1"/>
  <c r="C119" i="68" s="1"/>
  <c r="K98" i="64"/>
  <c r="L101" i="64"/>
  <c r="D98" i="64"/>
  <c r="G100" i="64"/>
  <c r="E98" i="64"/>
  <c r="B119" i="68" a="1"/>
  <c r="B119" i="68" s="1"/>
  <c r="C103" i="64"/>
  <c r="L98" i="64"/>
  <c r="J102" i="64"/>
  <c r="J69" i="30"/>
  <c r="J70" i="30"/>
  <c r="J68" i="30"/>
  <c r="J66" i="30"/>
  <c r="J71" i="30"/>
  <c r="K71" i="30" s="1"/>
  <c r="J67" i="30"/>
  <c r="I66" i="30"/>
  <c r="I70" i="30"/>
  <c r="I68" i="30"/>
  <c r="I65" i="30"/>
  <c r="K65" i="30" s="1"/>
  <c r="C23" i="30" s="1"/>
  <c r="I67" i="30"/>
  <c r="K67" i="30" s="1"/>
  <c r="C25" i="30" s="1"/>
  <c r="I69" i="30"/>
  <c r="K69" i="30" s="1"/>
  <c r="C27" i="30" s="1"/>
  <c r="K55" i="30"/>
  <c r="K53" i="30"/>
  <c r="B27" i="30" s="1"/>
  <c r="K51" i="30"/>
  <c r="B25" i="30" s="1"/>
  <c r="K54" i="30"/>
  <c r="B28" i="30" s="1"/>
  <c r="K49" i="30"/>
  <c r="B23" i="30" s="1"/>
  <c r="K50" i="30"/>
  <c r="B24" i="30" s="1"/>
  <c r="C51" i="72"/>
  <c r="C44" i="72"/>
  <c r="C52" i="72"/>
  <c r="C47" i="72"/>
  <c r="I143" i="71"/>
  <c r="I167" i="71" s="1"/>
  <c r="I135" i="71"/>
  <c r="I159" i="71" s="1"/>
  <c r="I226" i="71" s="1"/>
  <c r="I45" i="16" s="1"/>
  <c r="I136" i="71"/>
  <c r="I160" i="71" s="1"/>
  <c r="I227" i="71" s="1"/>
  <c r="I46" i="16" s="1"/>
  <c r="I149" i="71"/>
  <c r="I173" i="71" s="1"/>
  <c r="I240" i="71" s="1"/>
  <c r="I59" i="16" s="1"/>
  <c r="I147" i="71"/>
  <c r="I171" i="71" s="1"/>
  <c r="I238" i="71" s="1"/>
  <c r="I57" i="16" s="1"/>
  <c r="I138" i="71"/>
  <c r="I162" i="71" s="1"/>
  <c r="I229" i="71" s="1"/>
  <c r="I48" i="16" s="1"/>
  <c r="I137" i="71"/>
  <c r="I161" i="71" s="1"/>
  <c r="I228" i="71" s="1"/>
  <c r="I47" i="16" s="1"/>
  <c r="I144" i="71"/>
  <c r="I168" i="71" s="1"/>
  <c r="I172" i="71"/>
  <c r="I170" i="71"/>
  <c r="I237" i="71" s="1"/>
  <c r="I56" i="16" s="1"/>
  <c r="I169" i="71"/>
  <c r="I236" i="71" s="1"/>
  <c r="I55" i="16" s="1"/>
  <c r="B118" i="68" a="1"/>
  <c r="B118" i="68" s="1"/>
  <c r="K169" i="17" s="1"/>
  <c r="F54" i="64" s="1"/>
  <c r="F34" i="71"/>
  <c r="F142" i="71" s="1"/>
  <c r="F166" i="71" s="1"/>
  <c r="F233" i="71" s="1"/>
  <c r="F52" i="16" s="1"/>
  <c r="K31" i="71"/>
  <c r="H30" i="71"/>
  <c r="H25" i="71"/>
  <c r="I38" i="71"/>
  <c r="I246" i="71" s="1"/>
  <c r="I247" i="71" s="1"/>
  <c r="I29" i="71"/>
  <c r="H34" i="71"/>
  <c r="H32" i="71"/>
  <c r="D37" i="71"/>
  <c r="I27" i="71"/>
  <c r="F36" i="71"/>
  <c r="F27" i="71"/>
  <c r="F135" i="71" s="1"/>
  <c r="F159" i="71" s="1"/>
  <c r="F226" i="71" s="1"/>
  <c r="F45" i="16" s="1"/>
  <c r="I36" i="71"/>
  <c r="G34" i="71"/>
  <c r="G32" i="71"/>
  <c r="D30" i="71"/>
  <c r="G27" i="71"/>
  <c r="H38" i="71"/>
  <c r="H246" i="71" s="1"/>
  <c r="H247" i="71" s="1"/>
  <c r="B252" i="71" s="1"/>
  <c r="D5" i="17" s="1"/>
  <c r="E36" i="71"/>
  <c r="I33" i="71"/>
  <c r="I31" i="71"/>
  <c r="E29" i="71"/>
  <c r="E27" i="71"/>
  <c r="D38" i="71"/>
  <c r="D246" i="71" s="1"/>
  <c r="D247" i="71" s="1"/>
  <c r="I35" i="71"/>
  <c r="H33" i="71"/>
  <c r="H31" i="71"/>
  <c r="D29" i="71"/>
  <c r="H26" i="71"/>
  <c r="I37" i="71"/>
  <c r="G35" i="71"/>
  <c r="G33" i="71"/>
  <c r="G31" i="71"/>
  <c r="I28" i="71"/>
  <c r="G26" i="71"/>
  <c r="H37" i="71"/>
  <c r="F35" i="71"/>
  <c r="F146" i="71" s="1"/>
  <c r="F170" i="71" s="1"/>
  <c r="F237" i="71" s="1"/>
  <c r="F56" i="16" s="1"/>
  <c r="F33" i="71"/>
  <c r="F145" i="71" s="1"/>
  <c r="F169" i="71" s="1"/>
  <c r="F236" i="71" s="1"/>
  <c r="F55" i="16" s="1"/>
  <c r="C31" i="71"/>
  <c r="F28" i="71"/>
  <c r="F136" i="71" s="1"/>
  <c r="F160" i="71" s="1"/>
  <c r="F227" i="71" s="1"/>
  <c r="F46" i="16" s="1"/>
  <c r="F26" i="71"/>
  <c r="E37" i="71"/>
  <c r="E35" i="71"/>
  <c r="I32" i="71"/>
  <c r="I30" i="71"/>
  <c r="E28" i="71"/>
  <c r="I25" i="71"/>
  <c r="B34" i="71"/>
  <c r="B142" i="71" s="1"/>
  <c r="B166" i="71" s="1"/>
  <c r="B233" i="71" s="1"/>
  <c r="B52" i="16" s="1"/>
  <c r="B33" i="71"/>
  <c r="B145" i="71" s="1"/>
  <c r="B169" i="71" s="1"/>
  <c r="B236" i="71" s="1"/>
  <c r="B55" i="16" s="1"/>
  <c r="C30" i="71"/>
  <c r="B32" i="71"/>
  <c r="B143" i="71" s="1"/>
  <c r="B167" i="71" s="1"/>
  <c r="C37" i="71"/>
  <c r="K36" i="71"/>
  <c r="D35" i="71"/>
  <c r="J29" i="71"/>
  <c r="D27" i="71"/>
  <c r="B30" i="71"/>
  <c r="B138" i="71" s="1"/>
  <c r="B162" i="71" s="1"/>
  <c r="B229" i="71" s="1"/>
  <c r="B48" i="16" s="1"/>
  <c r="J36" i="71"/>
  <c r="C35" i="71"/>
  <c r="E33" i="71"/>
  <c r="D26" i="71"/>
  <c r="B36" i="71"/>
  <c r="B28" i="71"/>
  <c r="B136" i="71" s="1"/>
  <c r="B160" i="71" s="1"/>
  <c r="B227" i="71" s="1"/>
  <c r="B46" i="16" s="1"/>
  <c r="F38" i="71"/>
  <c r="F246" i="71" s="1"/>
  <c r="F247" i="71" s="1"/>
  <c r="B251" i="71" s="1"/>
  <c r="D4" i="17" s="1"/>
  <c r="G37" i="71"/>
  <c r="H36" i="71"/>
  <c r="J34" i="71"/>
  <c r="K33" i="71"/>
  <c r="C33" i="71"/>
  <c r="D32" i="71"/>
  <c r="E31" i="71"/>
  <c r="F30" i="71"/>
  <c r="F138" i="71" s="1"/>
  <c r="F162" i="71" s="1"/>
  <c r="F229" i="71" s="1"/>
  <c r="F48" i="16" s="1"/>
  <c r="G29" i="71"/>
  <c r="H28" i="71"/>
  <c r="J26" i="71"/>
  <c r="K25" i="71"/>
  <c r="C25" i="71"/>
  <c r="B26" i="71"/>
  <c r="J32" i="71"/>
  <c r="K38" i="71"/>
  <c r="K246" i="71" s="1"/>
  <c r="K247" i="71" s="1"/>
  <c r="J31" i="71"/>
  <c r="K37" i="71"/>
  <c r="J30" i="71"/>
  <c r="K29" i="71"/>
  <c r="D28" i="71"/>
  <c r="B25" i="71"/>
  <c r="B31" i="71"/>
  <c r="B140" i="71" s="1"/>
  <c r="B164" i="71" s="1"/>
  <c r="B231" i="71" s="1"/>
  <c r="B50" i="16" s="1"/>
  <c r="J37" i="71"/>
  <c r="C36" i="71"/>
  <c r="E34" i="71"/>
  <c r="K28" i="71"/>
  <c r="C28" i="71"/>
  <c r="E26" i="71"/>
  <c r="B38" i="71"/>
  <c r="B246" i="71" s="1"/>
  <c r="B247" i="71" s="1"/>
  <c r="B250" i="71" s="1"/>
  <c r="K35" i="71"/>
  <c r="D34" i="71"/>
  <c r="F32" i="71"/>
  <c r="J28" i="71"/>
  <c r="K27" i="71"/>
  <c r="C27" i="71"/>
  <c r="B37" i="71"/>
  <c r="B149" i="71" s="1"/>
  <c r="B173" i="71" s="1"/>
  <c r="B240" i="71" s="1"/>
  <c r="B59" i="16" s="1"/>
  <c r="B29" i="71"/>
  <c r="B137" i="71" s="1"/>
  <c r="B161" i="71" s="1"/>
  <c r="B228" i="71" s="1"/>
  <c r="B47" i="16" s="1"/>
  <c r="G38" i="71"/>
  <c r="G246" i="71" s="1"/>
  <c r="G247" i="71" s="1"/>
  <c r="J35" i="71"/>
  <c r="K34" i="71"/>
  <c r="B35" i="71"/>
  <c r="B146" i="71" s="1"/>
  <c r="B170" i="71" s="1"/>
  <c r="B237" i="71" s="1"/>
  <c r="B56" i="16" s="1"/>
  <c r="E38" i="71"/>
  <c r="E246" i="71" s="1"/>
  <c r="E247" i="71" s="1"/>
  <c r="F37" i="71"/>
  <c r="F149" i="71" s="1"/>
  <c r="F173" i="71" s="1"/>
  <c r="F240" i="71" s="1"/>
  <c r="F59" i="16" s="1"/>
  <c r="G36" i="71"/>
  <c r="H35" i="71"/>
  <c r="I34" i="71"/>
  <c r="J33" i="71"/>
  <c r="K32" i="71"/>
  <c r="C32" i="71"/>
  <c r="D31" i="71"/>
  <c r="E30" i="71"/>
  <c r="F29" i="71"/>
  <c r="F137" i="71" s="1"/>
  <c r="F161" i="71" s="1"/>
  <c r="F228" i="71" s="1"/>
  <c r="F47" i="16" s="1"/>
  <c r="G28" i="71"/>
  <c r="H27" i="71"/>
  <c r="J25" i="71"/>
  <c r="C38" i="71"/>
  <c r="C246" i="71" s="1"/>
  <c r="C247" i="71" s="1"/>
  <c r="K30" i="71"/>
  <c r="J38" i="71"/>
  <c r="J246" i="71" s="1"/>
  <c r="J247" i="71" s="1"/>
  <c r="D36" i="71"/>
  <c r="C29" i="71"/>
  <c r="G25" i="71"/>
  <c r="F25" i="71"/>
  <c r="E25" i="71"/>
  <c r="C34" i="71"/>
  <c r="D33" i="71"/>
  <c r="C98" i="64"/>
  <c r="F98" i="64"/>
  <c r="G98" i="64"/>
  <c r="H98" i="64"/>
  <c r="I98" i="64"/>
  <c r="K99" i="64"/>
  <c r="D99" i="64"/>
  <c r="L99" i="64"/>
  <c r="E99" i="64"/>
  <c r="F99" i="64"/>
  <c r="I100" i="64"/>
  <c r="J100" i="64"/>
  <c r="K100" i="64"/>
  <c r="D100" i="64"/>
  <c r="L100" i="64"/>
  <c r="H100" i="64"/>
  <c r="E101" i="64"/>
  <c r="G101" i="64"/>
  <c r="H101" i="64"/>
  <c r="I101" i="64"/>
  <c r="J101" i="64"/>
  <c r="F101" i="64"/>
  <c r="E102" i="64"/>
  <c r="F102" i="64"/>
  <c r="G102" i="64"/>
  <c r="L102" i="64"/>
  <c r="H102" i="64"/>
  <c r="D102" i="64"/>
  <c r="J103" i="64"/>
  <c r="K103" i="64"/>
  <c r="F103" i="64"/>
  <c r="G103" i="64"/>
  <c r="D103" i="64"/>
  <c r="H103" i="64"/>
  <c r="L103" i="64"/>
  <c r="E103" i="64"/>
  <c r="K104" i="64"/>
  <c r="J104" i="64"/>
  <c r="L104" i="64"/>
  <c r="E104" i="64"/>
  <c r="D104" i="64"/>
  <c r="F104" i="64"/>
  <c r="G104" i="64"/>
  <c r="C104" i="64"/>
  <c r="H104" i="64"/>
  <c r="A55" i="64"/>
  <c r="A56" i="64"/>
  <c r="A57" i="64"/>
  <c r="A58" i="64"/>
  <c r="A59" i="64"/>
  <c r="A60" i="64"/>
  <c r="A54" i="64"/>
  <c r="A14" i="64"/>
  <c r="B14" i="64"/>
  <c r="F137" i="63"/>
  <c r="F48" i="63"/>
  <c r="H14" i="26"/>
  <c r="H15" i="26" s="1"/>
  <c r="P137" i="23"/>
  <c r="H37" i="23"/>
  <c r="B38" i="23"/>
  <c r="P157" i="23" s="1"/>
  <c r="H14" i="23"/>
  <c r="B14" i="23"/>
  <c r="O132" i="23" s="1"/>
  <c r="F15" i="23"/>
  <c r="B15" i="52"/>
  <c r="F15" i="52" s="1"/>
  <c r="I31" i="52" s="1"/>
  <c r="B14" i="52"/>
  <c r="G111" i="52" s="1"/>
  <c r="T25" i="52"/>
  <c r="E52" i="52"/>
  <c r="F31" i="52"/>
  <c r="B14" i="54"/>
  <c r="B54" i="16" l="1"/>
  <c r="D54" i="16"/>
  <c r="G58" i="16"/>
  <c r="H58" i="16"/>
  <c r="G53" i="16"/>
  <c r="H53" i="16"/>
  <c r="B53" i="16"/>
  <c r="C53" i="16"/>
  <c r="G54" i="16"/>
  <c r="H54" i="16"/>
  <c r="C54" i="16"/>
  <c r="C120" i="68"/>
  <c r="K178" i="17" s="1"/>
  <c r="G56" i="64" s="1"/>
  <c r="C122" i="68"/>
  <c r="K180" i="17" s="1"/>
  <c r="G58" i="64" s="1"/>
  <c r="C123" i="68"/>
  <c r="K181" i="17" s="1"/>
  <c r="G59" i="64" s="1"/>
  <c r="C124" i="68"/>
  <c r="K182" i="17" s="1"/>
  <c r="G60" i="64" s="1"/>
  <c r="C121" i="68"/>
  <c r="K179" i="17" s="1"/>
  <c r="G57" i="64" s="1"/>
  <c r="K170" i="17"/>
  <c r="F55" i="64" s="1"/>
  <c r="B120" i="68"/>
  <c r="K171" i="17" s="1"/>
  <c r="F56" i="64" s="1"/>
  <c r="K177" i="17"/>
  <c r="G55" i="64" s="1"/>
  <c r="D54" i="64"/>
  <c r="D3" i="17"/>
  <c r="B123" i="68"/>
  <c r="K174" i="17" s="1"/>
  <c r="F59" i="64" s="1"/>
  <c r="B124" i="68"/>
  <c r="K175" i="17" s="1"/>
  <c r="F60" i="64" s="1"/>
  <c r="H111" i="52"/>
  <c r="B122" i="68"/>
  <c r="K173" i="17" s="1"/>
  <c r="F58" i="64" s="1"/>
  <c r="B35" i="30"/>
  <c r="K68" i="30"/>
  <c r="C26" i="30" s="1"/>
  <c r="K70" i="30"/>
  <c r="C28" i="30" s="1"/>
  <c r="B121" i="68"/>
  <c r="K172" i="17" s="1"/>
  <c r="F57" i="64" s="1"/>
  <c r="K66" i="30"/>
  <c r="C24" i="30" s="1"/>
  <c r="E138" i="71"/>
  <c r="E162" i="71" s="1"/>
  <c r="E229" i="71" s="1"/>
  <c r="E48" i="16" s="1"/>
  <c r="E140" i="71"/>
  <c r="E164" i="71" s="1"/>
  <c r="E231" i="71" s="1"/>
  <c r="E50" i="16" s="1"/>
  <c r="E149" i="71"/>
  <c r="E173" i="71" s="1"/>
  <c r="E240" i="71" s="1"/>
  <c r="E59" i="16" s="1"/>
  <c r="E137" i="71"/>
  <c r="E161" i="71" s="1"/>
  <c r="E228" i="71" s="1"/>
  <c r="E47" i="16" s="1"/>
  <c r="E145" i="71"/>
  <c r="E169" i="71" s="1"/>
  <c r="E236" i="71" s="1"/>
  <c r="E55" i="16" s="1"/>
  <c r="E136" i="71"/>
  <c r="E160" i="71" s="1"/>
  <c r="E227" i="71" s="1"/>
  <c r="E46" i="16" s="1"/>
  <c r="E146" i="71"/>
  <c r="E170" i="71" s="1"/>
  <c r="E237" i="71" s="1"/>
  <c r="E56" i="16" s="1"/>
  <c r="B148" i="71"/>
  <c r="B172" i="71" s="1"/>
  <c r="B144" i="71"/>
  <c r="B168" i="71" s="1"/>
  <c r="E142" i="71"/>
  <c r="E166" i="71" s="1"/>
  <c r="E233" i="71" s="1"/>
  <c r="E52" i="16" s="1"/>
  <c r="F143" i="71"/>
  <c r="F167" i="71" s="1"/>
  <c r="F148" i="71"/>
  <c r="F172" i="71" s="1"/>
  <c r="F144" i="71"/>
  <c r="F168" i="71" s="1"/>
  <c r="E143" i="71"/>
  <c r="E167" i="71" s="1"/>
  <c r="E148" i="71"/>
  <c r="E172" i="71" s="1"/>
  <c r="E144" i="71"/>
  <c r="E168" i="71" s="1"/>
  <c r="E135" i="71"/>
  <c r="E159" i="71" s="1"/>
  <c r="E226" i="71" s="1"/>
  <c r="E45" i="16" s="1"/>
  <c r="C54" i="64"/>
  <c r="B54" i="64"/>
  <c r="B59" i="64"/>
  <c r="C59" i="64"/>
  <c r="B58" i="64"/>
  <c r="C58" i="64"/>
  <c r="B57" i="64"/>
  <c r="C57" i="64"/>
  <c r="C60" i="64"/>
  <c r="B60" i="64"/>
  <c r="B56" i="64"/>
  <c r="C56" i="64"/>
  <c r="C55" i="64"/>
  <c r="B55" i="64"/>
  <c r="O137" i="23"/>
  <c r="B37" i="23"/>
  <c r="O157" i="23" s="1"/>
  <c r="I14" i="23"/>
  <c r="H15" i="23"/>
  <c r="I14" i="52"/>
  <c r="E31" i="52" s="1"/>
  <c r="G31" i="52" s="1"/>
  <c r="F14" i="52"/>
  <c r="D59" i="64" l="1"/>
  <c r="D58" i="64"/>
  <c r="D56" i="64"/>
  <c r="D57" i="64"/>
  <c r="D60" i="64"/>
  <c r="D55" i="64"/>
  <c r="B13" i="25"/>
  <c r="E14" i="17" l="1"/>
  <c r="D14" i="17"/>
  <c r="C14" i="17"/>
  <c r="B14" i="17"/>
  <c r="K14" i="17" s="1"/>
  <c r="B620" i="1" s="1"/>
  <c r="B23" i="34"/>
  <c r="D119" i="17" l="1"/>
  <c r="D110" i="17"/>
  <c r="D118" i="17"/>
  <c r="D117" i="17"/>
  <c r="D109" i="17"/>
  <c r="D108" i="17"/>
  <c r="D114" i="17"/>
  <c r="D105" i="17"/>
  <c r="D111" i="17" s="1"/>
  <c r="E55" i="17"/>
  <c r="A791" i="12"/>
  <c r="C134" i="17"/>
  <c r="D120" i="17" l="1"/>
  <c r="D106" i="17"/>
  <c r="D107" i="17"/>
  <c r="D116" i="17"/>
  <c r="D115" i="17"/>
  <c r="I142" i="25"/>
  <c r="H142" i="25"/>
  <c r="B13" i="22" l="1"/>
  <c r="D30" i="22" s="1"/>
  <c r="D39" i="22" s="1"/>
  <c r="D60" i="25" l="1"/>
  <c r="D31" i="3"/>
  <c r="C65" i="25"/>
  <c r="B30" i="25" l="1"/>
  <c r="B39" i="25" s="1"/>
  <c r="C42" i="3" l="1"/>
  <c r="D25" i="3"/>
  <c r="C37" i="3"/>
  <c r="C34" i="3"/>
  <c r="D22" i="3"/>
  <c r="D23" i="3" s="1"/>
  <c r="A32" i="3" l="1"/>
  <c r="C35" i="3" s="1"/>
  <c r="D27" i="3"/>
  <c r="C39" i="3"/>
  <c r="C40" i="3" s="1"/>
  <c r="C43" i="3"/>
  <c r="D29" i="3"/>
  <c r="D30" i="3" s="1"/>
  <c r="D32" i="3"/>
  <c r="E56" i="52"/>
  <c r="G63" i="26"/>
  <c r="S23" i="26" s="1"/>
  <c r="H117" i="26"/>
  <c r="G117" i="26"/>
  <c r="G169" i="26" s="1"/>
  <c r="H121" i="26"/>
  <c r="H120" i="26"/>
  <c r="H119" i="26"/>
  <c r="G121" i="26"/>
  <c r="G120" i="26"/>
  <c r="G119" i="26"/>
  <c r="E56" i="26"/>
  <c r="G58" i="26" s="1"/>
  <c r="H222" i="23"/>
  <c r="G222" i="23"/>
  <c r="G220" i="23"/>
  <c r="G221" i="23"/>
  <c r="G173" i="23"/>
  <c r="G172" i="23"/>
  <c r="G171" i="23"/>
  <c r="H218" i="23"/>
  <c r="H221" i="23"/>
  <c r="H220" i="23"/>
  <c r="H171" i="23"/>
  <c r="H172" i="23"/>
  <c r="E79" i="23"/>
  <c r="E70" i="23"/>
  <c r="H169" i="23"/>
  <c r="J27" i="26" l="1"/>
  <c r="F27" i="26"/>
  <c r="G63" i="52" l="1"/>
  <c r="S23" i="52" s="1"/>
  <c r="O45" i="23" l="1"/>
  <c r="E66" i="23"/>
  <c r="T25" i="26"/>
  <c r="I15" i="23"/>
  <c r="T25" i="23"/>
  <c r="B84" i="21" l="1"/>
  <c r="B81" i="21"/>
  <c r="B65" i="21"/>
  <c r="B66" i="21" s="1"/>
  <c r="B67" i="21" s="1"/>
  <c r="C185" i="17"/>
  <c r="E185" i="17"/>
  <c r="K185" i="17"/>
  <c r="B61" i="21"/>
  <c r="B62" i="21" s="1"/>
  <c r="B55" i="21"/>
  <c r="B56" i="21" s="1"/>
  <c r="B86" i="21" l="1"/>
  <c r="B87" i="21" s="1"/>
  <c r="B601" i="1" s="1"/>
  <c r="B68" i="21"/>
  <c r="B73" i="21" s="1"/>
  <c r="B74" i="21" s="1"/>
  <c r="B40" i="21"/>
  <c r="B41" i="21"/>
  <c r="B39" i="21"/>
  <c r="K158" i="17"/>
  <c r="K159" i="17"/>
  <c r="K160" i="17"/>
  <c r="K161" i="17"/>
  <c r="K166" i="17"/>
  <c r="K162" i="17"/>
  <c r="K163" i="17"/>
  <c r="K165" i="17"/>
  <c r="K164" i="17"/>
  <c r="F293" i="23"/>
  <c r="F292" i="23"/>
  <c r="H292" i="23" s="1"/>
  <c r="J292" i="23" s="1"/>
  <c r="F297" i="23"/>
  <c r="F281" i="23"/>
  <c r="H281" i="23" s="1"/>
  <c r="J281" i="23" s="1"/>
  <c r="F286" i="23"/>
  <c r="F282" i="23"/>
  <c r="F294" i="23"/>
  <c r="F295" i="23"/>
  <c r="H173" i="23"/>
  <c r="H174" i="23" s="1"/>
  <c r="F246" i="23"/>
  <c r="F244" i="23"/>
  <c r="F245" i="23"/>
  <c r="F243" i="23"/>
  <c r="H243" i="23" s="1"/>
  <c r="J243" i="23" s="1"/>
  <c r="F248" i="23"/>
  <c r="F232" i="23"/>
  <c r="H232" i="23" s="1"/>
  <c r="J232" i="23" s="1"/>
  <c r="F237" i="23"/>
  <c r="F236" i="23"/>
  <c r="F233" i="23"/>
  <c r="H223" i="23"/>
  <c r="F296" i="23" s="1"/>
  <c r="G223" i="23"/>
  <c r="F285" i="23" s="1"/>
  <c r="F283" i="23"/>
  <c r="F284" i="23"/>
  <c r="N185" i="23"/>
  <c r="N186" i="23"/>
  <c r="N187" i="23"/>
  <c r="N188" i="23"/>
  <c r="N189" i="23"/>
  <c r="N190" i="23"/>
  <c r="N184" i="23"/>
  <c r="G174" i="23"/>
  <c r="F234" i="23"/>
  <c r="F235" i="23"/>
  <c r="G181" i="23"/>
  <c r="G179" i="23"/>
  <c r="G126" i="26"/>
  <c r="G178" i="23" s="1"/>
  <c r="K118" i="52"/>
  <c r="L117" i="52"/>
  <c r="L118" i="52"/>
  <c r="G129" i="52"/>
  <c r="G127" i="52"/>
  <c r="G126" i="52"/>
  <c r="G179" i="26"/>
  <c r="I179" i="26" s="1"/>
  <c r="K179" i="26" s="1"/>
  <c r="G184" i="26"/>
  <c r="G181" i="26"/>
  <c r="G168" i="26"/>
  <c r="I168" i="26" s="1"/>
  <c r="G173" i="26"/>
  <c r="I99" i="26"/>
  <c r="L118" i="26"/>
  <c r="K118" i="26"/>
  <c r="L117" i="26"/>
  <c r="G129" i="26"/>
  <c r="G127" i="26"/>
  <c r="H244" i="23" l="1"/>
  <c r="H282" i="23"/>
  <c r="H293" i="23"/>
  <c r="J293" i="23" s="1"/>
  <c r="K168" i="26"/>
  <c r="I169" i="26"/>
  <c r="K169" i="26" s="1"/>
  <c r="H283" i="23"/>
  <c r="J283" i="23" s="1"/>
  <c r="H284" i="23"/>
  <c r="H285" i="23" s="1"/>
  <c r="H286" i="23" s="1"/>
  <c r="J282" i="23"/>
  <c r="G128" i="52"/>
  <c r="B70" i="21"/>
  <c r="B71" i="21" s="1"/>
  <c r="B600" i="1" s="1"/>
  <c r="H233" i="23"/>
  <c r="J233" i="23" s="1"/>
  <c r="H245" i="23"/>
  <c r="J244" i="23"/>
  <c r="G128" i="26"/>
  <c r="G180" i="23"/>
  <c r="F247" i="23"/>
  <c r="H294" i="23" l="1"/>
  <c r="J286" i="23"/>
  <c r="H246" i="23"/>
  <c r="J245" i="23"/>
  <c r="H234" i="23"/>
  <c r="J285" i="23"/>
  <c r="J294" i="23" l="1"/>
  <c r="H295" i="23"/>
  <c r="J284" i="23"/>
  <c r="J234" i="23"/>
  <c r="H235" i="23"/>
  <c r="H247" i="23"/>
  <c r="J246" i="23"/>
  <c r="J295" i="23" l="1"/>
  <c r="H296" i="23"/>
  <c r="J235" i="23"/>
  <c r="H236" i="23"/>
  <c r="H248" i="23"/>
  <c r="J248" i="23" s="1"/>
  <c r="J247" i="23"/>
  <c r="G171" i="26"/>
  <c r="G180" i="26"/>
  <c r="I180" i="26" s="1"/>
  <c r="G122" i="26"/>
  <c r="G172" i="26" s="1"/>
  <c r="G182" i="26"/>
  <c r="G170" i="26"/>
  <c r="I170" i="26" s="1"/>
  <c r="K170" i="26" s="1"/>
  <c r="H122" i="26"/>
  <c r="G183" i="26" s="1"/>
  <c r="I77" i="16"/>
  <c r="F77" i="16"/>
  <c r="E77" i="16"/>
  <c r="G77" i="16" l="1"/>
  <c r="B117" i="71" s="1"/>
  <c r="C117" i="71" s="1"/>
  <c r="B104" i="71"/>
  <c r="C104" i="71" s="1"/>
  <c r="I171" i="26"/>
  <c r="K171" i="26" s="1"/>
  <c r="B77" i="16"/>
  <c r="J64" i="16"/>
  <c r="J296" i="23"/>
  <c r="H297" i="23"/>
  <c r="J297" i="23" s="1"/>
  <c r="K180" i="26"/>
  <c r="I181" i="26"/>
  <c r="I172" i="26"/>
  <c r="J236" i="23"/>
  <c r="H237" i="23"/>
  <c r="J237" i="23" s="1"/>
  <c r="E31" i="17"/>
  <c r="E30" i="17"/>
  <c r="E29" i="17"/>
  <c r="E27" i="17"/>
  <c r="E28" i="17"/>
  <c r="E26" i="17"/>
  <c r="E25" i="17"/>
  <c r="E24" i="17"/>
  <c r="E23" i="17"/>
  <c r="E22" i="17"/>
  <c r="E21" i="17"/>
  <c r="E20" i="17"/>
  <c r="E19" i="17"/>
  <c r="E17" i="17"/>
  <c r="J77" i="16" l="1"/>
  <c r="I182" i="26"/>
  <c r="K181" i="26"/>
  <c r="K172" i="26"/>
  <c r="I173" i="26"/>
  <c r="K173" i="26" s="1"/>
  <c r="I137" i="54"/>
  <c r="H137" i="54"/>
  <c r="I183" i="26" l="1"/>
  <c r="K182" i="26"/>
  <c r="P115" i="12"/>
  <c r="B48" i="58"/>
  <c r="B43" i="58"/>
  <c r="C79" i="58" s="1"/>
  <c r="B44" i="58"/>
  <c r="D82" i="58" s="1"/>
  <c r="B45" i="58"/>
  <c r="B46" i="58" s="1"/>
  <c r="B47" i="58"/>
  <c r="G83" i="58" s="1"/>
  <c r="B49" i="58"/>
  <c r="I81" i="58" s="1"/>
  <c r="B50" i="58"/>
  <c r="J84" i="58" s="1"/>
  <c r="B51" i="58"/>
  <c r="B54" i="58" s="1"/>
  <c r="B52" i="58"/>
  <c r="L82" i="58" s="1"/>
  <c r="B53" i="58"/>
  <c r="M85" i="58" s="1"/>
  <c r="D35" i="58"/>
  <c r="D36" i="58" s="1"/>
  <c r="E35" i="58"/>
  <c r="E36" i="58" s="1"/>
  <c r="F35" i="58"/>
  <c r="F36" i="58" s="1"/>
  <c r="G35" i="58"/>
  <c r="G36" i="58" s="1"/>
  <c r="H35" i="58"/>
  <c r="H36" i="58" s="1"/>
  <c r="I35" i="58"/>
  <c r="I36" i="58" s="1"/>
  <c r="J35" i="58"/>
  <c r="J36" i="58" s="1"/>
  <c r="K35" i="58"/>
  <c r="K36" i="58" s="1"/>
  <c r="L35" i="58"/>
  <c r="L36" i="58" s="1"/>
  <c r="M35" i="58"/>
  <c r="M36" i="58" s="1"/>
  <c r="N35" i="58"/>
  <c r="N36" i="58" s="1"/>
  <c r="C35" i="58"/>
  <c r="B59" i="58"/>
  <c r="B60" i="58" s="1"/>
  <c r="B61" i="58" s="1"/>
  <c r="B62" i="58" s="1"/>
  <c r="B63" i="58" s="1"/>
  <c r="B64" i="58" s="1"/>
  <c r="B65" i="58" s="1"/>
  <c r="B66" i="58" s="1"/>
  <c r="B67" i="58" s="1"/>
  <c r="B68" i="58" s="1"/>
  <c r="B69" i="58" s="1"/>
  <c r="B70" i="58" s="1"/>
  <c r="B71" i="58" s="1"/>
  <c r="B72" i="58" s="1"/>
  <c r="B77" i="58" s="1"/>
  <c r="B78" i="58" s="1"/>
  <c r="B79" i="58" s="1"/>
  <c r="B80" i="58" s="1"/>
  <c r="B81" i="58" s="1"/>
  <c r="B82" i="58" s="1"/>
  <c r="B83" i="58" s="1"/>
  <c r="B84" i="58" s="1"/>
  <c r="B85" i="58" s="1"/>
  <c r="B7" i="58"/>
  <c r="B8" i="58" s="1"/>
  <c r="B9" i="58" s="1"/>
  <c r="B10" i="58" s="1"/>
  <c r="B11" i="58" s="1"/>
  <c r="B12" i="58" s="1"/>
  <c r="B13" i="58" s="1"/>
  <c r="B14" i="58" s="1"/>
  <c r="B15" i="58" s="1"/>
  <c r="B16" i="58" s="1"/>
  <c r="B17" i="58" s="1"/>
  <c r="B18" i="58" s="1"/>
  <c r="B19" i="58" s="1"/>
  <c r="B20" i="58" s="1"/>
  <c r="B25" i="58" s="1"/>
  <c r="B26" i="58" s="1"/>
  <c r="B27" i="58" s="1"/>
  <c r="B28" i="58" s="1"/>
  <c r="B29" i="58" s="1"/>
  <c r="B30" i="58" s="1"/>
  <c r="B31" i="58" s="1"/>
  <c r="B32" i="58" s="1"/>
  <c r="B33" i="58" s="1"/>
  <c r="C36" i="58" l="1"/>
  <c r="B138" i="58"/>
  <c r="B145" i="58" s="1"/>
  <c r="I184" i="26"/>
  <c r="K184" i="26" s="1"/>
  <c r="K183" i="26"/>
  <c r="D156" i="58"/>
  <c r="H78" i="58"/>
  <c r="D160" i="58"/>
  <c r="D161" i="58"/>
  <c r="D159" i="58"/>
  <c r="D158" i="58"/>
  <c r="B182" i="58" s="1"/>
  <c r="B193" i="58" s="1"/>
  <c r="B34" i="16" s="1"/>
  <c r="D157" i="58"/>
  <c r="E85" i="58"/>
  <c r="K79" i="58"/>
  <c r="C61" i="58"/>
  <c r="C69" i="58"/>
  <c r="L80" i="58"/>
  <c r="G61" i="58"/>
  <c r="L72" i="58"/>
  <c r="K72" i="58"/>
  <c r="D79" i="58"/>
  <c r="L60" i="58"/>
  <c r="C81" i="58"/>
  <c r="D76" i="58"/>
  <c r="D59" i="58"/>
  <c r="G69" i="58"/>
  <c r="H76" i="58"/>
  <c r="D64" i="58"/>
  <c r="D74" i="58"/>
  <c r="G81" i="58"/>
  <c r="H64" i="58"/>
  <c r="H74" i="58"/>
  <c r="D84" i="58"/>
  <c r="H72" i="58"/>
  <c r="D67" i="58"/>
  <c r="C76" i="58"/>
  <c r="H84" i="58"/>
  <c r="I78" i="58"/>
  <c r="J69" i="58"/>
  <c r="I59" i="58"/>
  <c r="J61" i="58"/>
  <c r="L64" i="58"/>
  <c r="L67" i="58"/>
  <c r="K69" i="58"/>
  <c r="D73" i="58"/>
  <c r="L74" i="58"/>
  <c r="K76" i="58"/>
  <c r="I79" i="58"/>
  <c r="J81" i="58"/>
  <c r="L84" i="58"/>
  <c r="K74" i="58"/>
  <c r="L59" i="58"/>
  <c r="K61" i="58"/>
  <c r="C65" i="58"/>
  <c r="D68" i="58"/>
  <c r="H71" i="58"/>
  <c r="G73" i="58"/>
  <c r="D75" i="58"/>
  <c r="L76" i="58"/>
  <c r="L79" i="58"/>
  <c r="K81" i="58"/>
  <c r="C85" i="58"/>
  <c r="I66" i="58"/>
  <c r="I67" i="58"/>
  <c r="K84" i="58"/>
  <c r="N79" i="58"/>
  <c r="D60" i="58"/>
  <c r="H63" i="58"/>
  <c r="G65" i="58"/>
  <c r="G68" i="58"/>
  <c r="I71" i="58"/>
  <c r="H73" i="58"/>
  <c r="G75" i="58"/>
  <c r="C77" i="58"/>
  <c r="D80" i="58"/>
  <c r="H83" i="58"/>
  <c r="G85" i="58"/>
  <c r="G58" i="58"/>
  <c r="G60" i="58"/>
  <c r="I63" i="58"/>
  <c r="K65" i="58"/>
  <c r="H68" i="58"/>
  <c r="C72" i="58"/>
  <c r="L73" i="58"/>
  <c r="H75" i="58"/>
  <c r="G77" i="58"/>
  <c r="G80" i="58"/>
  <c r="I83" i="58"/>
  <c r="K85" i="58"/>
  <c r="K64" i="58"/>
  <c r="I58" i="58"/>
  <c r="H60" i="58"/>
  <c r="C64" i="58"/>
  <c r="L68" i="58"/>
  <c r="D72" i="58"/>
  <c r="C74" i="58"/>
  <c r="L75" i="58"/>
  <c r="K77" i="58"/>
  <c r="H80" i="58"/>
  <c r="C84" i="58"/>
  <c r="M62" i="58"/>
  <c r="E70" i="58"/>
  <c r="M59" i="58"/>
  <c r="E67" i="58"/>
  <c r="M79" i="58"/>
  <c r="C58" i="58"/>
  <c r="K58" i="58"/>
  <c r="I60" i="58"/>
  <c r="D61" i="58"/>
  <c r="L61" i="58"/>
  <c r="G62" i="58"/>
  <c r="J63" i="58"/>
  <c r="E64" i="58"/>
  <c r="M64" i="58"/>
  <c r="H65" i="58"/>
  <c r="C66" i="58"/>
  <c r="K66" i="58"/>
  <c r="I68" i="58"/>
  <c r="D69" i="58"/>
  <c r="L69" i="58"/>
  <c r="G70" i="58"/>
  <c r="J71" i="58"/>
  <c r="E72" i="58"/>
  <c r="M72" i="58"/>
  <c r="I73" i="58"/>
  <c r="E74" i="58"/>
  <c r="M74" i="58"/>
  <c r="I75" i="58"/>
  <c r="E76" i="58"/>
  <c r="M76" i="58"/>
  <c r="H77" i="58"/>
  <c r="C78" i="58"/>
  <c r="K78" i="58"/>
  <c r="I80" i="58"/>
  <c r="D81" i="58"/>
  <c r="L81" i="58"/>
  <c r="G82" i="58"/>
  <c r="J83" i="58"/>
  <c r="E84" i="58"/>
  <c r="M84" i="58"/>
  <c r="H85" i="58"/>
  <c r="M82" i="58"/>
  <c r="E59" i="58"/>
  <c r="J66" i="58"/>
  <c r="J78" i="58"/>
  <c r="D58" i="58"/>
  <c r="L58" i="58"/>
  <c r="G59" i="58"/>
  <c r="J60" i="58"/>
  <c r="E61" i="58"/>
  <c r="M61" i="58"/>
  <c r="H62" i="58"/>
  <c r="C63" i="58"/>
  <c r="K63" i="58"/>
  <c r="I65" i="58"/>
  <c r="D66" i="58"/>
  <c r="L66" i="58"/>
  <c r="G67" i="58"/>
  <c r="J68" i="58"/>
  <c r="E69" i="58"/>
  <c r="M69" i="58"/>
  <c r="H70" i="58"/>
  <c r="C71" i="58"/>
  <c r="K71" i="58"/>
  <c r="J73" i="58"/>
  <c r="J75" i="58"/>
  <c r="N76" i="58"/>
  <c r="I77" i="58"/>
  <c r="D78" i="58"/>
  <c r="L78" i="58"/>
  <c r="G79" i="58"/>
  <c r="J80" i="58"/>
  <c r="E81" i="58"/>
  <c r="M81" i="58"/>
  <c r="H82" i="58"/>
  <c r="C83" i="58"/>
  <c r="K83" i="58"/>
  <c r="I85" i="58"/>
  <c r="E82" i="58"/>
  <c r="J58" i="58"/>
  <c r="M67" i="58"/>
  <c r="E79" i="58"/>
  <c r="E58" i="58"/>
  <c r="M58" i="58"/>
  <c r="H59" i="58"/>
  <c r="C60" i="58"/>
  <c r="K60" i="58"/>
  <c r="I62" i="58"/>
  <c r="D63" i="58"/>
  <c r="L63" i="58"/>
  <c r="G64" i="58"/>
  <c r="J65" i="58"/>
  <c r="E66" i="58"/>
  <c r="M66" i="58"/>
  <c r="H67" i="58"/>
  <c r="C68" i="58"/>
  <c r="K68" i="58"/>
  <c r="I70" i="58"/>
  <c r="D71" i="58"/>
  <c r="L71" i="58"/>
  <c r="G72" i="58"/>
  <c r="C73" i="58"/>
  <c r="K73" i="58"/>
  <c r="G74" i="58"/>
  <c r="C75" i="58"/>
  <c r="K75" i="58"/>
  <c r="G76" i="58"/>
  <c r="J77" i="58"/>
  <c r="E78" i="58"/>
  <c r="M78" i="58"/>
  <c r="H79" i="58"/>
  <c r="C80" i="58"/>
  <c r="K80" i="58"/>
  <c r="N81" i="58"/>
  <c r="I82" i="58"/>
  <c r="D83" i="58"/>
  <c r="L83" i="58"/>
  <c r="G84" i="58"/>
  <c r="J85" i="58"/>
  <c r="E63" i="58"/>
  <c r="J70" i="58"/>
  <c r="M71" i="58"/>
  <c r="J82" i="58"/>
  <c r="M83" i="58"/>
  <c r="J59" i="58"/>
  <c r="E60" i="58"/>
  <c r="M60" i="58"/>
  <c r="H61" i="58"/>
  <c r="C62" i="58"/>
  <c r="K62" i="58"/>
  <c r="I64" i="58"/>
  <c r="D65" i="58"/>
  <c r="L65" i="58"/>
  <c r="G66" i="58"/>
  <c r="J67" i="58"/>
  <c r="E68" i="58"/>
  <c r="M68" i="58"/>
  <c r="H69" i="58"/>
  <c r="C70" i="58"/>
  <c r="K70" i="58"/>
  <c r="N71" i="58"/>
  <c r="I72" i="58"/>
  <c r="E73" i="58"/>
  <c r="M73" i="58"/>
  <c r="I74" i="58"/>
  <c r="E75" i="58"/>
  <c r="M75" i="58"/>
  <c r="I76" i="58"/>
  <c r="D77" i="58"/>
  <c r="L77" i="58"/>
  <c r="G78" i="58"/>
  <c r="J79" i="58"/>
  <c r="E80" i="58"/>
  <c r="M80" i="58"/>
  <c r="H81" i="58"/>
  <c r="C82" i="58"/>
  <c r="K82" i="58"/>
  <c r="N83" i="58"/>
  <c r="I84" i="58"/>
  <c r="D85" i="58"/>
  <c r="L85" i="58"/>
  <c r="E62" i="58"/>
  <c r="M70" i="58"/>
  <c r="J62" i="58"/>
  <c r="M63" i="58"/>
  <c r="E71" i="58"/>
  <c r="N78" i="58"/>
  <c r="E83" i="58"/>
  <c r="H58" i="58"/>
  <c r="C59" i="58"/>
  <c r="K59" i="58"/>
  <c r="I61" i="58"/>
  <c r="D62" i="58"/>
  <c r="L62" i="58"/>
  <c r="G63" i="58"/>
  <c r="J64" i="58"/>
  <c r="E65" i="58"/>
  <c r="M65" i="58"/>
  <c r="H66" i="58"/>
  <c r="C67" i="58"/>
  <c r="K67" i="58"/>
  <c r="N68" i="58"/>
  <c r="I69" i="58"/>
  <c r="D70" i="58"/>
  <c r="L70" i="58"/>
  <c r="G71" i="58"/>
  <c r="J72" i="58"/>
  <c r="N73" i="58"/>
  <c r="J74" i="58"/>
  <c r="N75" i="58"/>
  <c r="J76" i="58"/>
  <c r="E77" i="58"/>
  <c r="M77" i="58"/>
  <c r="N82" i="58" l="1"/>
  <c r="N59" i="58"/>
  <c r="N74" i="58"/>
  <c r="N61" i="58"/>
  <c r="N72" i="58"/>
  <c r="N60" i="58"/>
  <c r="N84" i="58"/>
  <c r="N63" i="58"/>
  <c r="N67" i="58"/>
  <c r="N66" i="58"/>
  <c r="N69" i="58"/>
  <c r="N64" i="58"/>
  <c r="N80" i="58"/>
  <c r="N85" i="58"/>
  <c r="N65" i="58"/>
  <c r="N77" i="58"/>
  <c r="N58" i="58"/>
  <c r="N62" i="58"/>
  <c r="N70" i="58"/>
  <c r="F80" i="58"/>
  <c r="F75" i="58"/>
  <c r="F73" i="58"/>
  <c r="F68" i="58"/>
  <c r="F60" i="58"/>
  <c r="C110" i="58" s="1" a="1"/>
  <c r="C110" i="58" s="1"/>
  <c r="C187" i="58" s="1"/>
  <c r="C28" i="16" s="1"/>
  <c r="F66" i="58"/>
  <c r="F65" i="58"/>
  <c r="F83" i="58"/>
  <c r="F71" i="58"/>
  <c r="F63" i="58"/>
  <c r="F78" i="58"/>
  <c r="F58" i="58"/>
  <c r="B110" i="58" s="1" a="1"/>
  <c r="B110" i="58" s="1"/>
  <c r="B187" i="58" s="1"/>
  <c r="B28" i="16" s="1"/>
  <c r="F81" i="58"/>
  <c r="F69" i="58"/>
  <c r="F61" i="58"/>
  <c r="F85" i="58"/>
  <c r="F84" i="58"/>
  <c r="F76" i="58"/>
  <c r="F74" i="58"/>
  <c r="F72" i="58"/>
  <c r="F64" i="58"/>
  <c r="F62" i="58"/>
  <c r="F77" i="58"/>
  <c r="F79" i="58"/>
  <c r="F67" i="58"/>
  <c r="F59" i="58"/>
  <c r="F82" i="58"/>
  <c r="F70" i="58"/>
  <c r="H112" i="58" l="1" a="1"/>
  <c r="H112" i="58" s="1"/>
  <c r="H189" i="58" s="1"/>
  <c r="H30" i="16" s="1"/>
  <c r="B111" i="58" a="1"/>
  <c r="B111" i="58" s="1"/>
  <c r="B188" i="58" s="1"/>
  <c r="B29" i="16" s="1"/>
  <c r="G122" i="58" a="1"/>
  <c r="G122" i="58" s="1"/>
  <c r="G199" i="58" s="1"/>
  <c r="G40" i="16" s="1"/>
  <c r="C121" i="58" a="1"/>
  <c r="C121" i="58" s="1"/>
  <c r="C198" i="58" s="1"/>
  <c r="C39" i="16" s="1"/>
  <c r="H115" i="58" a="1"/>
  <c r="H115" i="58" s="1"/>
  <c r="H192" i="58" s="1"/>
  <c r="H33" i="16" s="1"/>
  <c r="E110" i="58" a="1"/>
  <c r="E110" i="58" s="1"/>
  <c r="E187" i="58" s="1"/>
  <c r="E28" i="16" s="1"/>
  <c r="F112" i="58" a="1"/>
  <c r="F112" i="58" s="1"/>
  <c r="F189" i="58" s="1"/>
  <c r="F30" i="16" s="1"/>
  <c r="B119" i="58" a="1"/>
  <c r="B119" i="58" s="1"/>
  <c r="B196" i="58" s="1"/>
  <c r="B37" i="16" s="1"/>
  <c r="G115" i="58" a="1"/>
  <c r="G115" i="58" s="1"/>
  <c r="G192" i="58" s="1"/>
  <c r="G33" i="16" s="1"/>
  <c r="D119" i="58" a="1"/>
  <c r="D119" i="58" s="1"/>
  <c r="D196" i="58" s="1"/>
  <c r="D37" i="16" s="1"/>
  <c r="D120" i="58" a="1"/>
  <c r="D120" i="58" s="1"/>
  <c r="D197" i="58" s="1"/>
  <c r="D38" i="16" s="1"/>
  <c r="I112" i="58" a="1"/>
  <c r="I112" i="58" s="1"/>
  <c r="I121" i="58" a="1"/>
  <c r="I121" i="58" s="1"/>
  <c r="F119" i="58" a="1"/>
  <c r="F119" i="58" s="1"/>
  <c r="F196" i="58" s="1"/>
  <c r="F37" i="16" s="1"/>
  <c r="C114" i="58" a="1"/>
  <c r="C114" i="58" s="1"/>
  <c r="C191" i="58" s="1"/>
  <c r="C32" i="16" s="1"/>
  <c r="B120" i="58" a="1"/>
  <c r="B120" i="58" s="1"/>
  <c r="B197" i="58" s="1"/>
  <c r="B38" i="16" s="1"/>
  <c r="H114" i="58" a="1"/>
  <c r="H114" i="58" s="1"/>
  <c r="H191" i="58" s="1"/>
  <c r="H32" i="16" s="1"/>
  <c r="G114" i="58" a="1"/>
  <c r="G114" i="58" s="1"/>
  <c r="G191" i="58" s="1"/>
  <c r="G32" i="16" s="1"/>
  <c r="C113" i="58" a="1"/>
  <c r="C113" i="58" s="1"/>
  <c r="C190" i="58" s="1"/>
  <c r="C31" i="16" s="1"/>
  <c r="B115" i="58" a="1"/>
  <c r="B115" i="58" s="1"/>
  <c r="B192" i="58" s="1"/>
  <c r="B33" i="16" s="1"/>
  <c r="C109" i="58" a="1"/>
  <c r="C109" i="58" s="1"/>
  <c r="C186" i="58" s="1"/>
  <c r="C27" i="16" s="1"/>
  <c r="H109" i="58" a="1"/>
  <c r="H109" i="58" s="1"/>
  <c r="H186" i="58" s="1"/>
  <c r="H27" i="16" s="1"/>
  <c r="H117" i="58" a="1"/>
  <c r="H117" i="58" s="1"/>
  <c r="H194" i="58" s="1"/>
  <c r="H35" i="16" s="1"/>
  <c r="G113" i="58" a="1"/>
  <c r="G113" i="58" s="1"/>
  <c r="G190" i="58" s="1"/>
  <c r="G31" i="16" s="1"/>
  <c r="F116" i="58" a="1"/>
  <c r="F116" i="58" s="1"/>
  <c r="F193" i="58" s="1"/>
  <c r="F34" i="16" s="1"/>
  <c r="I118" i="58" a="1"/>
  <c r="I118" i="58" s="1"/>
  <c r="D112" i="58" a="1"/>
  <c r="D112" i="58" s="1"/>
  <c r="D189" i="58" s="1"/>
  <c r="D30" i="16" s="1"/>
  <c r="F118" i="58" a="1"/>
  <c r="F118" i="58" s="1"/>
  <c r="F195" i="58" s="1"/>
  <c r="F36" i="16" s="1"/>
  <c r="D118" i="58" a="1"/>
  <c r="D118" i="58" s="1"/>
  <c r="D195" i="58" s="1"/>
  <c r="D36" i="16" s="1"/>
  <c r="C112" i="58" a="1"/>
  <c r="C112" i="58" s="1"/>
  <c r="C189" i="58" s="1"/>
  <c r="C30" i="16" s="1"/>
  <c r="E119" i="58" a="1"/>
  <c r="E119" i="58" s="1"/>
  <c r="E196" i="58" s="1"/>
  <c r="E37" i="16" s="1"/>
  <c r="B114" i="58" a="1"/>
  <c r="B114" i="58" s="1"/>
  <c r="B191" i="58" s="1"/>
  <c r="B32" i="16" s="1"/>
  <c r="G118" i="58" a="1"/>
  <c r="G118" i="58" s="1"/>
  <c r="G195" i="58" s="1"/>
  <c r="G36" i="16" s="1"/>
  <c r="I113" i="58" a="1"/>
  <c r="I113" i="58" s="1"/>
  <c r="I116" i="58" a="1"/>
  <c r="I116" i="58" s="1"/>
  <c r="F120" i="58" a="1"/>
  <c r="F120" i="58" s="1"/>
  <c r="F197" i="58" s="1"/>
  <c r="F38" i="16" s="1"/>
  <c r="F109" i="58" a="1"/>
  <c r="F109" i="58" s="1"/>
  <c r="F186" i="58" s="1"/>
  <c r="F27" i="16" s="1"/>
  <c r="I111" i="58" a="1"/>
  <c r="I111" i="58" s="1"/>
  <c r="E109" i="58" a="1"/>
  <c r="E109" i="58" s="1"/>
  <c r="E186" i="58" s="1"/>
  <c r="E27" i="16" s="1"/>
  <c r="I117" i="58" a="1"/>
  <c r="I117" i="58" s="1"/>
  <c r="B121" i="58" a="1"/>
  <c r="B121" i="58" s="1"/>
  <c r="B198" i="58" s="1"/>
  <c r="B39" i="16" s="1"/>
  <c r="B113" i="58" a="1"/>
  <c r="B113" i="58" s="1"/>
  <c r="B190" i="58" s="1"/>
  <c r="B31" i="16" s="1"/>
  <c r="F122" i="58" a="1"/>
  <c r="F122" i="58" s="1"/>
  <c r="F199" i="58" s="1"/>
  <c r="F40" i="16" s="1"/>
  <c r="G109" i="58" a="1"/>
  <c r="G109" i="58" s="1"/>
  <c r="G186" i="58" s="1"/>
  <c r="G27" i="16" s="1"/>
  <c r="G123" i="58" a="1"/>
  <c r="G123" i="58" s="1"/>
  <c r="G200" i="58" s="1"/>
  <c r="G41" i="16" s="1"/>
  <c r="G120" i="58" a="1"/>
  <c r="G120" i="58" s="1"/>
  <c r="G197" i="58" s="1"/>
  <c r="G38" i="16" s="1"/>
  <c r="C117" i="58" a="1"/>
  <c r="C117" i="58" s="1"/>
  <c r="F115" i="58" a="1"/>
  <c r="F115" i="58" s="1"/>
  <c r="F192" i="58" s="1"/>
  <c r="F33" i="16" s="1"/>
  <c r="D110" i="58" a="1"/>
  <c r="D110" i="58" s="1"/>
  <c r="D187" i="58" s="1"/>
  <c r="D28" i="16" s="1"/>
  <c r="C123" i="58" a="1"/>
  <c r="C123" i="58" s="1"/>
  <c r="C200" i="58" s="1"/>
  <c r="C41" i="16" s="1"/>
  <c r="C122" i="58" a="1"/>
  <c r="C122" i="58" s="1"/>
  <c r="C199" i="58" s="1"/>
  <c r="C40" i="16" s="1"/>
  <c r="H122" i="58" a="1"/>
  <c r="H122" i="58" s="1"/>
  <c r="H199" i="58" s="1"/>
  <c r="H40" i="16" s="1"/>
  <c r="E117" i="58" a="1"/>
  <c r="E117" i="58" s="1"/>
  <c r="E194" i="58" s="1"/>
  <c r="E35" i="16" s="1"/>
  <c r="B112" i="58" a="1"/>
  <c r="B112" i="58" s="1"/>
  <c r="B189" i="58" s="1"/>
  <c r="B30" i="16" s="1"/>
  <c r="E114" i="58" a="1"/>
  <c r="E114" i="58" s="1"/>
  <c r="E191" i="58" s="1"/>
  <c r="E32" i="16" s="1"/>
  <c r="G111" i="58" a="1"/>
  <c r="G111" i="58" s="1"/>
  <c r="G188" i="58" s="1"/>
  <c r="G29" i="16" s="1"/>
  <c r="D115" i="58" a="1"/>
  <c r="D115" i="58" s="1"/>
  <c r="D192" i="58" s="1"/>
  <c r="D33" i="16" s="1"/>
  <c r="E113" i="58" a="1"/>
  <c r="E113" i="58" s="1"/>
  <c r="E190" i="58" s="1"/>
  <c r="E31" i="16" s="1"/>
  <c r="G110" i="58" a="1"/>
  <c r="G110" i="58" s="1"/>
  <c r="G187" i="58" s="1"/>
  <c r="G28" i="16" s="1"/>
  <c r="F110" i="58" a="1"/>
  <c r="F110" i="58" s="1"/>
  <c r="F187" i="58" s="1"/>
  <c r="F28" i="16" s="1"/>
  <c r="E123" i="58" a="1"/>
  <c r="E123" i="58" s="1"/>
  <c r="E200" i="58" s="1"/>
  <c r="E41" i="16" s="1"/>
  <c r="I115" i="58" a="1"/>
  <c r="I115" i="58" s="1"/>
  <c r="H119" i="58" a="1"/>
  <c r="H119" i="58" s="1"/>
  <c r="H196" i="58" s="1"/>
  <c r="H37" i="16" s="1"/>
  <c r="E112" i="58" a="1"/>
  <c r="E112" i="58" s="1"/>
  <c r="E189" i="58" s="1"/>
  <c r="E30" i="16" s="1"/>
  <c r="I119" i="58" a="1"/>
  <c r="I119" i="58" s="1"/>
  <c r="B123" i="58" a="1"/>
  <c r="B123" i="58" s="1"/>
  <c r="B200" i="58" s="1"/>
  <c r="B41" i="16" s="1"/>
  <c r="G121" i="58" a="1"/>
  <c r="G121" i="58" s="1"/>
  <c r="G198" i="58" s="1"/>
  <c r="G39" i="16" s="1"/>
  <c r="G112" i="58" a="1"/>
  <c r="G112" i="58" s="1"/>
  <c r="G189" i="58" s="1"/>
  <c r="G30" i="16" s="1"/>
  <c r="F123" i="58" a="1"/>
  <c r="F123" i="58" s="1"/>
  <c r="F200" i="58" s="1"/>
  <c r="F41" i="16" s="1"/>
  <c r="I114" i="58" a="1"/>
  <c r="I114" i="58" s="1"/>
  <c r="B109" i="58" a="1"/>
  <c r="B109" i="58" s="1"/>
  <c r="B186" i="58" s="1"/>
  <c r="B27" i="16" s="1"/>
  <c r="C115" i="58" a="1"/>
  <c r="C115" i="58" s="1"/>
  <c r="C192" i="58" s="1"/>
  <c r="C33" i="16" s="1"/>
  <c r="C120" i="58" a="1"/>
  <c r="C120" i="58" s="1"/>
  <c r="C197" i="58" s="1"/>
  <c r="C38" i="16" s="1"/>
  <c r="B122" i="58" a="1"/>
  <c r="B122" i="58" s="1"/>
  <c r="B199" i="58" s="1"/>
  <c r="B40" i="16" s="1"/>
  <c r="H116" i="58" a="1"/>
  <c r="H116" i="58" s="1"/>
  <c r="H193" i="58" s="1"/>
  <c r="H34" i="16" s="1"/>
  <c r="E111" i="58" a="1"/>
  <c r="E111" i="58" s="1"/>
  <c r="E188" i="58" s="1"/>
  <c r="E29" i="16" s="1"/>
  <c r="D123" i="58" a="1"/>
  <c r="D123" i="58" s="1"/>
  <c r="D200" i="58" s="1"/>
  <c r="D41" i="16" s="1"/>
  <c r="B117" i="58" a="1"/>
  <c r="B117" i="58" s="1"/>
  <c r="F111" i="58" a="1"/>
  <c r="F111" i="58" s="1"/>
  <c r="F188" i="58" s="1"/>
  <c r="F29" i="16" s="1"/>
  <c r="H118" i="58" a="1"/>
  <c r="H118" i="58" s="1"/>
  <c r="H195" i="58" s="1"/>
  <c r="H36" i="16" s="1"/>
  <c r="E122" i="58" a="1"/>
  <c r="E122" i="58" s="1"/>
  <c r="E199" i="58" s="1"/>
  <c r="E40" i="16" s="1"/>
  <c r="C111" i="58" a="1"/>
  <c r="C111" i="58" s="1"/>
  <c r="C188" i="58" s="1"/>
  <c r="C29" i="16" s="1"/>
  <c r="D116" i="58" a="1"/>
  <c r="D116" i="58" s="1"/>
  <c r="D193" i="58" s="1"/>
  <c r="D34" i="16" s="1"/>
  <c r="B118" i="58" a="1"/>
  <c r="B118" i="58" s="1"/>
  <c r="D113" i="58" a="1"/>
  <c r="D113" i="58" s="1"/>
  <c r="D190" i="58" s="1"/>
  <c r="D31" i="16" s="1"/>
  <c r="E118" i="58" a="1"/>
  <c r="E118" i="58" s="1"/>
  <c r="E195" i="58" s="1"/>
  <c r="E36" i="16" s="1"/>
  <c r="H111" i="58" a="1"/>
  <c r="H111" i="58" s="1"/>
  <c r="H188" i="58" s="1"/>
  <c r="H29" i="16" s="1"/>
  <c r="D117" i="58" a="1"/>
  <c r="D117" i="58" s="1"/>
  <c r="D194" i="58" s="1"/>
  <c r="D35" i="16" s="1"/>
  <c r="H121" i="58" a="1"/>
  <c r="H121" i="58" s="1"/>
  <c r="H198" i="58" s="1"/>
  <c r="H39" i="16" s="1"/>
  <c r="G119" i="58" a="1"/>
  <c r="G119" i="58" s="1"/>
  <c r="G196" i="58" s="1"/>
  <c r="G37" i="16" s="1"/>
  <c r="I123" i="58" a="1"/>
  <c r="I123" i="58" s="1"/>
  <c r="D122" i="58" a="1"/>
  <c r="D122" i="58" s="1"/>
  <c r="D199" i="58" s="1"/>
  <c r="D40" i="16" s="1"/>
  <c r="D114" i="58" a="1"/>
  <c r="D114" i="58" s="1"/>
  <c r="D191" i="58" s="1"/>
  <c r="D32" i="16" s="1"/>
  <c r="G116" i="58" a="1"/>
  <c r="G116" i="58" s="1"/>
  <c r="G193" i="58" s="1"/>
  <c r="G34" i="16" s="1"/>
  <c r="I122" i="58" a="1"/>
  <c r="I122" i="58" s="1"/>
  <c r="C118" i="58" a="1"/>
  <c r="C118" i="58" s="1"/>
  <c r="C195" i="58" s="1"/>
  <c r="C36" i="16" s="1"/>
  <c r="E121" i="58" a="1"/>
  <c r="E121" i="58" s="1"/>
  <c r="E198" i="58" s="1"/>
  <c r="E39" i="16" s="1"/>
  <c r="B116" i="58" a="1"/>
  <c r="B116" i="58" s="1"/>
  <c r="H110" i="58" a="1"/>
  <c r="H110" i="58" s="1"/>
  <c r="H187" i="58" s="1"/>
  <c r="H28" i="16" s="1"/>
  <c r="H123" i="58" a="1"/>
  <c r="H123" i="58" s="1"/>
  <c r="H200" i="58" s="1"/>
  <c r="H41" i="16" s="1"/>
  <c r="C119" i="58" a="1"/>
  <c r="C119" i="58" s="1"/>
  <c r="C196" i="58" s="1"/>
  <c r="C37" i="16" s="1"/>
  <c r="F117" i="58" a="1"/>
  <c r="F117" i="58" s="1"/>
  <c r="F194" i="58" s="1"/>
  <c r="F35" i="16" s="1"/>
  <c r="H113" i="58" a="1"/>
  <c r="H113" i="58" s="1"/>
  <c r="H190" i="58" s="1"/>
  <c r="H31" i="16" s="1"/>
  <c r="D109" i="58" a="1"/>
  <c r="D109" i="58" s="1"/>
  <c r="D186" i="58" s="1"/>
  <c r="D27" i="16" s="1"/>
  <c r="I110" i="58" a="1"/>
  <c r="I110" i="58" s="1"/>
  <c r="D111" i="58" a="1"/>
  <c r="D111" i="58" s="1"/>
  <c r="D188" i="58" s="1"/>
  <c r="D29" i="16" s="1"/>
  <c r="E116" i="58" a="1"/>
  <c r="E116" i="58" s="1"/>
  <c r="E193" i="58" s="1"/>
  <c r="E34" i="16" s="1"/>
  <c r="F114" i="58" a="1"/>
  <c r="F114" i="58" s="1"/>
  <c r="F191" i="58" s="1"/>
  <c r="F32" i="16" s="1"/>
  <c r="E120" i="58" a="1"/>
  <c r="E120" i="58" s="1"/>
  <c r="E197" i="58" s="1"/>
  <c r="E38" i="16" s="1"/>
  <c r="G117" i="58" a="1"/>
  <c r="G117" i="58" s="1"/>
  <c r="G194" i="58" s="1"/>
  <c r="G35" i="16" s="1"/>
  <c r="D121" i="58" a="1"/>
  <c r="D121" i="58" s="1"/>
  <c r="D198" i="58" s="1"/>
  <c r="D39" i="16" s="1"/>
  <c r="I120" i="58" a="1"/>
  <c r="I120" i="58" s="1"/>
  <c r="F113" i="58" a="1"/>
  <c r="F113" i="58" s="1"/>
  <c r="F190" i="58" s="1"/>
  <c r="F31" i="16" s="1"/>
  <c r="I109" i="58" a="1"/>
  <c r="I109" i="58" s="1"/>
  <c r="F121" i="58" a="1"/>
  <c r="F121" i="58" s="1"/>
  <c r="F198" i="58" s="1"/>
  <c r="F39" i="16" s="1"/>
  <c r="C116" i="58" a="1"/>
  <c r="C116" i="58" s="1"/>
  <c r="C193" i="58" s="1"/>
  <c r="C34" i="16" s="1"/>
  <c r="H120" i="58" a="1"/>
  <c r="H120" i="58" s="1"/>
  <c r="H197" i="58" s="1"/>
  <c r="H38" i="16" s="1"/>
  <c r="E115" i="58" a="1"/>
  <c r="E115" i="58" s="1"/>
  <c r="E192" i="58" s="1"/>
  <c r="E33" i="16" s="1"/>
  <c r="I191" i="58" l="1"/>
  <c r="I32" i="16" s="1"/>
  <c r="J32" i="16" s="1"/>
  <c r="I192" i="58"/>
  <c r="I33" i="16" s="1"/>
  <c r="J33" i="16" s="1"/>
  <c r="I188" i="58"/>
  <c r="I29" i="16" s="1"/>
  <c r="J29" i="16" s="1"/>
  <c r="I198" i="58"/>
  <c r="I39" i="16" s="1"/>
  <c r="J39" i="16" s="1"/>
  <c r="I197" i="58"/>
  <c r="I38" i="16" s="1"/>
  <c r="J38" i="16" s="1"/>
  <c r="I189" i="58"/>
  <c r="I30" i="16" s="1"/>
  <c r="J30" i="16" s="1"/>
  <c r="I194" i="58"/>
  <c r="I35" i="16" s="1"/>
  <c r="I199" i="58"/>
  <c r="I40" i="16" s="1"/>
  <c r="J40" i="16" s="1"/>
  <c r="I200" i="58"/>
  <c r="I41" i="16" s="1"/>
  <c r="J41" i="16" s="1"/>
  <c r="I193" i="58"/>
  <c r="I34" i="16" s="1"/>
  <c r="J34" i="16" s="1"/>
  <c r="I186" i="58"/>
  <c r="I190" i="58"/>
  <c r="I31" i="16" s="1"/>
  <c r="J31" i="16" s="1"/>
  <c r="I195" i="58"/>
  <c r="I36" i="16" s="1"/>
  <c r="I187" i="58"/>
  <c r="I28" i="16" s="1"/>
  <c r="J28" i="16" s="1"/>
  <c r="I196" i="58"/>
  <c r="I37" i="16" s="1"/>
  <c r="J37" i="16" s="1"/>
  <c r="B164" i="58"/>
  <c r="B165" i="58"/>
  <c r="B195" i="58" s="1"/>
  <c r="B36" i="16" s="1"/>
  <c r="I13" i="23"/>
  <c r="F13" i="23"/>
  <c r="B52" i="28"/>
  <c r="I27" i="16" l="1"/>
  <c r="J27" i="16" s="1"/>
  <c r="J36" i="16"/>
  <c r="C25" i="23"/>
  <c r="I100" i="26"/>
  <c r="J100" i="26"/>
  <c r="I101" i="26"/>
  <c r="J101" i="26"/>
  <c r="I102" i="26"/>
  <c r="J102" i="26"/>
  <c r="I103" i="26"/>
  <c r="J103" i="26"/>
  <c r="I104" i="26"/>
  <c r="J104" i="26"/>
  <c r="I105" i="26"/>
  <c r="J105" i="26"/>
  <c r="J99" i="26"/>
  <c r="K26" i="50"/>
  <c r="J26" i="50"/>
  <c r="I157" i="23"/>
  <c r="J157" i="23"/>
  <c r="I158" i="23"/>
  <c r="J158" i="23"/>
  <c r="I159" i="23"/>
  <c r="J159" i="23"/>
  <c r="I160" i="23"/>
  <c r="J160" i="23"/>
  <c r="I161" i="23"/>
  <c r="J161" i="23"/>
  <c r="I162" i="23"/>
  <c r="J162" i="23"/>
  <c r="J156" i="23"/>
  <c r="I156" i="23"/>
  <c r="K126" i="25"/>
  <c r="J126" i="25"/>
  <c r="K125" i="25"/>
  <c r="J125" i="25"/>
  <c r="K123" i="22" l="1"/>
  <c r="J123" i="22"/>
  <c r="K122" i="22"/>
  <c r="J122" i="22"/>
  <c r="J137" i="23"/>
  <c r="J138" i="23"/>
  <c r="J139" i="23"/>
  <c r="J140" i="23"/>
  <c r="J141" i="23"/>
  <c r="J142" i="23"/>
  <c r="J136" i="23"/>
  <c r="I137" i="23"/>
  <c r="I138" i="23"/>
  <c r="I139" i="23"/>
  <c r="I140" i="23"/>
  <c r="I141" i="23"/>
  <c r="I142" i="23"/>
  <c r="I136" i="23"/>
  <c r="J51" i="50"/>
  <c r="K54" i="50"/>
  <c r="J55" i="50"/>
  <c r="J56" i="50"/>
  <c r="K129" i="54"/>
  <c r="K130" i="54" s="1"/>
  <c r="J129" i="54"/>
  <c r="J130" i="54" s="1"/>
  <c r="K30" i="50"/>
  <c r="K31" i="50"/>
  <c r="K35" i="50"/>
  <c r="J32" i="50"/>
  <c r="K128" i="25" l="1"/>
  <c r="J128" i="25"/>
  <c r="K7" i="50"/>
  <c r="J4" i="50"/>
  <c r="I9" i="50"/>
  <c r="I3" i="50"/>
  <c r="I4" i="50"/>
  <c r="I5" i="50"/>
  <c r="I6" i="50"/>
  <c r="I7" i="50"/>
  <c r="I8" i="50"/>
  <c r="I2" i="50"/>
  <c r="K125" i="22"/>
  <c r="J124" i="22"/>
  <c r="J125" i="22" s="1"/>
  <c r="I126" i="22" l="1"/>
  <c r="H123" i="22"/>
  <c r="G695" i="12" l="1"/>
  <c r="B324" i="12"/>
  <c r="C87" i="17"/>
  <c r="C85" i="17"/>
  <c r="C83" i="17"/>
  <c r="C92" i="17"/>
  <c r="C48" i="17"/>
  <c r="D55" i="17"/>
  <c r="N20" i="55" a="1"/>
  <c r="N20" i="55" s="1"/>
  <c r="K17" i="55" a="1"/>
  <c r="K17" i="55" s="1"/>
  <c r="K18" i="55" a="1"/>
  <c r="K18" i="55" s="1"/>
  <c r="K19" i="55" a="1"/>
  <c r="K19" i="55" s="1"/>
  <c r="K20" i="55" a="1"/>
  <c r="K20" i="55" s="1"/>
  <c r="K21" i="55" a="1"/>
  <c r="K21" i="55" s="1"/>
  <c r="K22" i="55" a="1"/>
  <c r="K22" i="55" s="1"/>
  <c r="O19" i="55" a="1"/>
  <c r="O19" i="55" s="1"/>
  <c r="M20" i="55" a="1"/>
  <c r="M20" i="55" s="1"/>
  <c r="N19" i="55" a="1"/>
  <c r="N19" i="55" s="1"/>
  <c r="L18" i="55" a="1"/>
  <c r="L18" i="55" s="1"/>
  <c r="M18" i="55" a="1"/>
  <c r="M18" i="55" s="1"/>
  <c r="N18" i="55" a="1"/>
  <c r="N18" i="55" s="1"/>
  <c r="O18" i="55" a="1"/>
  <c r="O18" i="55" s="1"/>
  <c r="P18" i="55" a="1"/>
  <c r="P18" i="55" s="1"/>
  <c r="Q18" i="55" a="1"/>
  <c r="Q18" i="55" s="1"/>
  <c r="L19" i="55" a="1"/>
  <c r="L19" i="55" s="1"/>
  <c r="M19" i="55" a="1"/>
  <c r="M19" i="55" s="1"/>
  <c r="P19" i="55" a="1"/>
  <c r="P19" i="55" s="1"/>
  <c r="Q19" i="55" a="1"/>
  <c r="Q19" i="55" s="1"/>
  <c r="L20" i="55" a="1"/>
  <c r="L20" i="55" s="1"/>
  <c r="O20" i="55" a="1"/>
  <c r="O20" i="55" s="1"/>
  <c r="P20" i="55" a="1"/>
  <c r="P20" i="55" s="1"/>
  <c r="Q20" i="55" a="1"/>
  <c r="Q20" i="55" s="1"/>
  <c r="L21" i="55" a="1"/>
  <c r="L21" i="55" s="1"/>
  <c r="M21" i="55" a="1"/>
  <c r="M21" i="55" s="1"/>
  <c r="N21" i="55" a="1"/>
  <c r="N21" i="55" s="1"/>
  <c r="O21" i="55" a="1"/>
  <c r="O21" i="55" s="1"/>
  <c r="P21" i="55" a="1"/>
  <c r="P21" i="55" s="1"/>
  <c r="Q21" i="55" a="1"/>
  <c r="Q21" i="55" s="1"/>
  <c r="L22" i="55" a="1"/>
  <c r="L22" i="55" s="1"/>
  <c r="M22" i="55" a="1"/>
  <c r="M22" i="55" s="1"/>
  <c r="N22" i="55" a="1"/>
  <c r="N22" i="55" s="1"/>
  <c r="O22" i="55" a="1"/>
  <c r="O22" i="55" s="1"/>
  <c r="P22" i="55" a="1"/>
  <c r="P22" i="55" s="1"/>
  <c r="Q22" i="55" a="1"/>
  <c r="Q22" i="55" s="1"/>
  <c r="L17" i="55" a="1"/>
  <c r="L17" i="55" s="1"/>
  <c r="M17" i="55" a="1"/>
  <c r="M17" i="55" s="1"/>
  <c r="N17" i="55" a="1"/>
  <c r="N17" i="55" s="1"/>
  <c r="O17" i="55" a="1"/>
  <c r="O17" i="55" s="1"/>
  <c r="P17" i="55" a="1"/>
  <c r="P17" i="55" s="1"/>
  <c r="Q17" i="55" a="1"/>
  <c r="Q17" i="55" s="1"/>
  <c r="F24" i="1"/>
  <c r="C25" i="1"/>
  <c r="C26" i="1"/>
  <c r="C27" i="1"/>
  <c r="C28" i="1"/>
  <c r="C29" i="1"/>
  <c r="C30" i="1"/>
  <c r="C31" i="1"/>
  <c r="C32" i="1"/>
  <c r="C33" i="1"/>
  <c r="C34" i="1"/>
  <c r="C35" i="1"/>
  <c r="C36" i="1"/>
  <c r="C37" i="1"/>
  <c r="C38" i="1"/>
  <c r="C39" i="1"/>
  <c r="B578" i="1"/>
  <c r="B163" i="29" s="1"/>
  <c r="D69" i="17"/>
  <c r="D70" i="17"/>
  <c r="D71" i="17"/>
  <c r="D72" i="17"/>
  <c r="D73" i="17"/>
  <c r="D74" i="17"/>
  <c r="D68" i="17"/>
  <c r="C21" i="51"/>
  <c r="D21" i="51"/>
  <c r="C22" i="51"/>
  <c r="D22" i="51"/>
  <c r="C23" i="51"/>
  <c r="D23" i="51"/>
  <c r="C24" i="51"/>
  <c r="D24" i="51"/>
  <c r="C25" i="51"/>
  <c r="D25" i="51"/>
  <c r="C26" i="51"/>
  <c r="D26" i="51"/>
  <c r="C27" i="51"/>
  <c r="D27" i="51"/>
  <c r="B22" i="51"/>
  <c r="B23" i="51"/>
  <c r="B24" i="51"/>
  <c r="B25" i="51"/>
  <c r="B26" i="51"/>
  <c r="B27" i="51"/>
  <c r="B21" i="51"/>
  <c r="A21" i="51"/>
  <c r="A22" i="51"/>
  <c r="A23" i="51"/>
  <c r="A24" i="51"/>
  <c r="A25" i="51"/>
  <c r="A26" i="51"/>
  <c r="A27" i="51"/>
  <c r="A20" i="51"/>
  <c r="E165" i="29" l="1"/>
  <c r="E166" i="29" s="1"/>
  <c r="E167" i="29" s="1"/>
  <c r="E169" i="29" s="1"/>
  <c r="C165" i="29"/>
  <c r="C166" i="29" s="1"/>
  <c r="C167" i="29" s="1"/>
  <c r="C169" i="29" s="1"/>
  <c r="R20" i="55"/>
  <c r="R18" i="55"/>
  <c r="R22" i="55"/>
  <c r="R21" i="55"/>
  <c r="R19" i="55"/>
  <c r="R17" i="55"/>
  <c r="C73" i="54"/>
  <c r="D32" i="54"/>
  <c r="D33" i="54"/>
  <c r="D34" i="54"/>
  <c r="D35" i="54"/>
  <c r="D36" i="54"/>
  <c r="D37" i="54"/>
  <c r="D47" i="54" s="1"/>
  <c r="D31" i="54"/>
  <c r="D41" i="54" s="1"/>
  <c r="C32" i="54"/>
  <c r="C33" i="54"/>
  <c r="C34" i="54"/>
  <c r="C35" i="54"/>
  <c r="C36" i="54"/>
  <c r="C37" i="54"/>
  <c r="C31" i="54"/>
  <c r="B31" i="54"/>
  <c r="B32" i="54"/>
  <c r="B33" i="54"/>
  <c r="B34" i="54"/>
  <c r="B35" i="54"/>
  <c r="B36" i="54"/>
  <c r="B37" i="54"/>
  <c r="H26" i="54"/>
  <c r="I26" i="54" s="1"/>
  <c r="I23" i="54"/>
  <c r="H23" i="54"/>
  <c r="G26" i="54"/>
  <c r="G23" i="54"/>
  <c r="G24" i="54" s="1"/>
  <c r="G22" i="54"/>
  <c r="G20" i="54"/>
  <c r="H20" i="54" s="1"/>
  <c r="C27" i="54"/>
  <c r="D27" i="54"/>
  <c r="I126" i="54" l="1"/>
  <c r="H21" i="54"/>
  <c r="J126" i="54"/>
  <c r="J127" i="54" s="1"/>
  <c r="I24" i="54"/>
  <c r="I25" i="54" s="1"/>
  <c r="K128" i="54"/>
  <c r="K131" i="54" s="1"/>
  <c r="K132" i="54" s="1"/>
  <c r="G27" i="54"/>
  <c r="H16" i="54" s="1"/>
  <c r="H24" i="54"/>
  <c r="J128" i="54"/>
  <c r="J131" i="54" s="1"/>
  <c r="J132" i="54" s="1"/>
  <c r="C38" i="54"/>
  <c r="I20" i="54"/>
  <c r="K126" i="54" s="1"/>
  <c r="K127" i="54" s="1"/>
  <c r="D38" i="54"/>
  <c r="D48" i="54" s="1"/>
  <c r="B38" i="54"/>
  <c r="H27" i="54" l="1"/>
  <c r="I16" i="54" s="1"/>
  <c r="I21" i="54"/>
  <c r="I27" i="54" s="1"/>
  <c r="J16" i="54" s="1"/>
  <c r="B27" i="54"/>
  <c r="C6" i="54"/>
  <c r="B46" i="54" s="1"/>
  <c r="D67" i="54"/>
  <c r="C127" i="54"/>
  <c r="B106" i="54"/>
  <c r="B107" i="54" s="1"/>
  <c r="C107" i="54" s="1"/>
  <c r="B104" i="54"/>
  <c r="C77" i="54"/>
  <c r="D77" i="54" s="1"/>
  <c r="C74" i="54"/>
  <c r="D69" i="54"/>
  <c r="D68" i="54"/>
  <c r="D65" i="54"/>
  <c r="D64" i="54"/>
  <c r="D60" i="54"/>
  <c r="C60" i="54"/>
  <c r="D46" i="54"/>
  <c r="I128" i="54" s="1"/>
  <c r="D43" i="54"/>
  <c r="D188" i="17" s="1"/>
  <c r="J17" i="54"/>
  <c r="I17" i="54"/>
  <c r="H17" i="54"/>
  <c r="H18" i="54" s="1"/>
  <c r="C7" i="54" l="1"/>
  <c r="C67" i="54" s="1"/>
  <c r="C82" i="54"/>
  <c r="D82" i="54" s="1"/>
  <c r="I18" i="54"/>
  <c r="C140" i="54" s="1"/>
  <c r="C44" i="54"/>
  <c r="H131" i="54" s="1"/>
  <c r="J18" i="54"/>
  <c r="D140" i="54" s="1"/>
  <c r="C69" i="54"/>
  <c r="C84" i="54" s="1"/>
  <c r="D84" i="54" s="1"/>
  <c r="D91" i="54" s="1"/>
  <c r="D127" i="54" s="1"/>
  <c r="M128" i="54" s="1"/>
  <c r="K51" i="50" s="1"/>
  <c r="C64" i="54"/>
  <c r="C79" i="54" s="1"/>
  <c r="D79" i="54" s="1"/>
  <c r="B47" i="54"/>
  <c r="B42" i="54"/>
  <c r="B41" i="54"/>
  <c r="C66" i="54"/>
  <c r="C81" i="54" s="1"/>
  <c r="C70" i="54"/>
  <c r="B48" i="54"/>
  <c r="C47" i="54"/>
  <c r="C41" i="54"/>
  <c r="H126" i="54" s="1"/>
  <c r="C45" i="54"/>
  <c r="H132" i="54" s="1"/>
  <c r="C46" i="54"/>
  <c r="H128" i="54" s="1"/>
  <c r="C42" i="54"/>
  <c r="C68" i="54"/>
  <c r="C83" i="54" s="1"/>
  <c r="C85" i="54" s="1"/>
  <c r="D85" i="54" s="1"/>
  <c r="D95" i="54" s="1"/>
  <c r="D131" i="54" s="1"/>
  <c r="C43" i="54"/>
  <c r="I130" i="54" s="1"/>
  <c r="C63" i="54"/>
  <c r="C78" i="54" s="1"/>
  <c r="D78" i="54" s="1"/>
  <c r="D44" i="54"/>
  <c r="I131" i="54" s="1"/>
  <c r="D70" i="54"/>
  <c r="D66" i="54"/>
  <c r="D42" i="54"/>
  <c r="D45" i="54"/>
  <c r="I132" i="54" s="1"/>
  <c r="D63" i="54"/>
  <c r="D89" i="54" s="1"/>
  <c r="D81" i="54"/>
  <c r="B44" i="54"/>
  <c r="B45" i="54"/>
  <c r="B43" i="54"/>
  <c r="C106" i="54"/>
  <c r="B102" i="54"/>
  <c r="C102" i="54"/>
  <c r="O28" i="52"/>
  <c r="N26" i="52"/>
  <c r="O25" i="52"/>
  <c r="N23" i="52"/>
  <c r="O23" i="52" s="1"/>
  <c r="O22" i="52"/>
  <c r="O20" i="52"/>
  <c r="R24" i="52"/>
  <c r="R22" i="52"/>
  <c r="R21" i="52"/>
  <c r="R20" i="52"/>
  <c r="B36" i="53"/>
  <c r="B35" i="53"/>
  <c r="F20" i="53"/>
  <c r="F19" i="53"/>
  <c r="F18" i="53"/>
  <c r="F17" i="53"/>
  <c r="D13" i="53"/>
  <c r="C13" i="53"/>
  <c r="D11" i="53"/>
  <c r="C11" i="53"/>
  <c r="I90" i="52"/>
  <c r="H90" i="52"/>
  <c r="C35" i="30"/>
  <c r="D38" i="29"/>
  <c r="I13" i="52"/>
  <c r="I15" i="52"/>
  <c r="F13" i="52"/>
  <c r="P16" i="52"/>
  <c r="P15" i="52"/>
  <c r="N16" i="52"/>
  <c r="O14" i="52"/>
  <c r="O15" i="52" s="1"/>
  <c r="N15" i="52" s="1"/>
  <c r="P13" i="52"/>
  <c r="R13" i="52" s="1"/>
  <c r="N17" i="52"/>
  <c r="F6" i="52"/>
  <c r="G91" i="52"/>
  <c r="G92" i="52" s="1"/>
  <c r="B74" i="52"/>
  <c r="B75" i="52" s="1"/>
  <c r="C75" i="52" s="1"/>
  <c r="B73" i="52"/>
  <c r="C59" i="52"/>
  <c r="B59" i="52"/>
  <c r="G64" i="52"/>
  <c r="S24" i="52" s="1"/>
  <c r="E51" i="52"/>
  <c r="E50" i="52"/>
  <c r="E49" i="52"/>
  <c r="E48" i="52"/>
  <c r="E47" i="52"/>
  <c r="E45" i="52"/>
  <c r="E44" i="52"/>
  <c r="E43" i="52"/>
  <c r="F22" i="52" s="1"/>
  <c r="F23" i="52" s="1"/>
  <c r="E40" i="52"/>
  <c r="D36" i="52"/>
  <c r="C36" i="52"/>
  <c r="C23" i="52"/>
  <c r="B23" i="52"/>
  <c r="C48" i="54" l="1"/>
  <c r="C65" i="54"/>
  <c r="C80" i="54" s="1"/>
  <c r="D80" i="54" s="1"/>
  <c r="O26" i="52"/>
  <c r="J26" i="52" s="1"/>
  <c r="F26" i="52"/>
  <c r="J25" i="52"/>
  <c r="F25" i="52"/>
  <c r="J22" i="52"/>
  <c r="J23" i="52" s="1"/>
  <c r="C94" i="54"/>
  <c r="C130" i="54" s="1"/>
  <c r="L131" i="54" s="1"/>
  <c r="J54" i="50" s="1"/>
  <c r="J31" i="52"/>
  <c r="K31" i="52" s="1"/>
  <c r="L31" i="52" s="1"/>
  <c r="C104" i="52" s="1"/>
  <c r="B5" i="53"/>
  <c r="B37" i="53" s="1"/>
  <c r="B39" i="53" s="1"/>
  <c r="E22" i="52" s="1"/>
  <c r="I91" i="52"/>
  <c r="I92" i="52" s="1"/>
  <c r="I127" i="54"/>
  <c r="D194" i="17"/>
  <c r="I103" i="52"/>
  <c r="I105" i="52"/>
  <c r="I99" i="52"/>
  <c r="I101" i="52"/>
  <c r="I102" i="52"/>
  <c r="I100" i="52"/>
  <c r="I104" i="52"/>
  <c r="J105" i="52"/>
  <c r="J99" i="52"/>
  <c r="J101" i="52"/>
  <c r="J102" i="52"/>
  <c r="J100" i="52"/>
  <c r="J104" i="52"/>
  <c r="J103" i="52"/>
  <c r="C93" i="54"/>
  <c r="C129" i="54" s="1"/>
  <c r="H130" i="54"/>
  <c r="H129" i="54"/>
  <c r="I129" i="54"/>
  <c r="B4" i="53"/>
  <c r="E25" i="53" s="1"/>
  <c r="C90" i="54"/>
  <c r="C126" i="54" s="1"/>
  <c r="H127" i="54"/>
  <c r="G62" i="52"/>
  <c r="S22" i="52" s="1"/>
  <c r="D83" i="54"/>
  <c r="D94" i="54" s="1"/>
  <c r="D130" i="54" s="1"/>
  <c r="D92" i="54"/>
  <c r="D128" i="54" s="1"/>
  <c r="D93" i="54"/>
  <c r="D129" i="54" s="1"/>
  <c r="M130" i="54" s="1"/>
  <c r="K53" i="50" s="1"/>
  <c r="D90" i="54"/>
  <c r="D126" i="54" s="1"/>
  <c r="C89" i="54"/>
  <c r="D125" i="54"/>
  <c r="M126" i="54" s="1"/>
  <c r="K49" i="50" s="1"/>
  <c r="C88" i="54"/>
  <c r="C92" i="54"/>
  <c r="C128" i="54" s="1"/>
  <c r="D88" i="54"/>
  <c r="C108" i="54"/>
  <c r="C103" i="54"/>
  <c r="C109" i="54"/>
  <c r="D118" i="54" s="1"/>
  <c r="D135" i="54" s="1"/>
  <c r="B103" i="54"/>
  <c r="B108" i="54"/>
  <c r="B109" i="54"/>
  <c r="G59" i="52"/>
  <c r="S20" i="52" s="1"/>
  <c r="G60" i="52"/>
  <c r="S21" i="52" s="1"/>
  <c r="G58" i="52"/>
  <c r="F27" i="52" s="1"/>
  <c r="I28" i="52"/>
  <c r="R25" i="52"/>
  <c r="H105" i="52"/>
  <c r="H91" i="52"/>
  <c r="H92" i="52" s="1"/>
  <c r="C74" i="52"/>
  <c r="G61" i="52"/>
  <c r="C25" i="52"/>
  <c r="A12" i="51"/>
  <c r="B12" i="51"/>
  <c r="C12" i="51"/>
  <c r="D12" i="51"/>
  <c r="E12" i="51"/>
  <c r="A13" i="51"/>
  <c r="B13" i="51"/>
  <c r="C13" i="51"/>
  <c r="D13" i="51"/>
  <c r="E13" i="51"/>
  <c r="A14" i="51"/>
  <c r="B14" i="51"/>
  <c r="C14" i="51"/>
  <c r="D14" i="51"/>
  <c r="E14" i="51"/>
  <c r="A15" i="51"/>
  <c r="B15" i="51"/>
  <c r="C15" i="51"/>
  <c r="D15" i="51"/>
  <c r="E15" i="51"/>
  <c r="A16" i="51"/>
  <c r="B16" i="51"/>
  <c r="C16" i="51"/>
  <c r="D16" i="51"/>
  <c r="E16" i="51"/>
  <c r="C3" i="51"/>
  <c r="D3" i="51"/>
  <c r="E3" i="51"/>
  <c r="B4" i="51"/>
  <c r="C4" i="51"/>
  <c r="D4" i="51"/>
  <c r="E4" i="51"/>
  <c r="B5" i="51"/>
  <c r="C5" i="51"/>
  <c r="D5" i="51"/>
  <c r="E5" i="51"/>
  <c r="B6" i="51"/>
  <c r="D6" i="51"/>
  <c r="E6" i="51"/>
  <c r="B7" i="51"/>
  <c r="D7" i="51"/>
  <c r="E7" i="51"/>
  <c r="B8" i="51"/>
  <c r="C8" i="51"/>
  <c r="D8" i="51"/>
  <c r="E8" i="51"/>
  <c r="A4" i="51"/>
  <c r="A5" i="51"/>
  <c r="A6" i="51"/>
  <c r="A7" i="51"/>
  <c r="A8" i="51"/>
  <c r="A3" i="51"/>
  <c r="I91" i="26"/>
  <c r="I92" i="26" s="1"/>
  <c r="H91" i="26"/>
  <c r="H92" i="26" s="1"/>
  <c r="G91" i="26"/>
  <c r="G92" i="26" s="1"/>
  <c r="I150" i="23"/>
  <c r="I151" i="23" s="1"/>
  <c r="H150" i="23"/>
  <c r="H151" i="23" s="1"/>
  <c r="G150" i="23"/>
  <c r="G151" i="23" s="1"/>
  <c r="I130" i="23"/>
  <c r="I131" i="23" s="1"/>
  <c r="H130" i="23"/>
  <c r="H131" i="23" s="1"/>
  <c r="G130" i="23"/>
  <c r="G131" i="23" s="1"/>
  <c r="H18" i="25"/>
  <c r="H19" i="25" s="1"/>
  <c r="J18" i="22"/>
  <c r="J19" i="22" s="1"/>
  <c r="I18" i="22"/>
  <c r="I19" i="22" s="1"/>
  <c r="D136" i="22" s="1"/>
  <c r="H18" i="22"/>
  <c r="H19" i="22" s="1"/>
  <c r="C136" i="22" s="1"/>
  <c r="E28" i="52" l="1"/>
  <c r="L129" i="54"/>
  <c r="J52" i="50" s="1"/>
  <c r="L130" i="54"/>
  <c r="J53" i="50" s="1"/>
  <c r="D27" i="53"/>
  <c r="D25" i="53"/>
  <c r="B25" i="53"/>
  <c r="L127" i="54"/>
  <c r="J50" i="50" s="1"/>
  <c r="H138" i="54"/>
  <c r="H140" i="54" s="1"/>
  <c r="B76" i="48" s="1"/>
  <c r="M127" i="54"/>
  <c r="K50" i="50" s="1"/>
  <c r="I138" i="54"/>
  <c r="I140" i="54" s="1"/>
  <c r="C76" i="48" s="1"/>
  <c r="G105" i="52"/>
  <c r="B104" i="52"/>
  <c r="D136" i="17"/>
  <c r="D137" i="17"/>
  <c r="M132" i="54"/>
  <c r="K55" i="50" s="1"/>
  <c r="E23" i="52"/>
  <c r="G23" i="52" s="1"/>
  <c r="B94" i="52" s="1"/>
  <c r="G100" i="52"/>
  <c r="C25" i="53"/>
  <c r="M129" i="54"/>
  <c r="K52" i="50" s="1"/>
  <c r="D96" i="54"/>
  <c r="C118" i="54"/>
  <c r="C135" i="54" s="1"/>
  <c r="C117" i="54"/>
  <c r="C134" i="54" s="1"/>
  <c r="D117" i="54"/>
  <c r="D134" i="54" s="1"/>
  <c r="C95" i="54"/>
  <c r="C131" i="54" s="1"/>
  <c r="C125" i="54"/>
  <c r="L126" i="54" s="1"/>
  <c r="J49" i="50" s="1"/>
  <c r="D133" i="17" s="1"/>
  <c r="S25" i="52"/>
  <c r="F20" i="52" s="1"/>
  <c r="J20" i="52" s="1"/>
  <c r="J27" i="52"/>
  <c r="B6" i="53"/>
  <c r="B29" i="53" s="1"/>
  <c r="F36" i="52"/>
  <c r="I36" i="52" s="1"/>
  <c r="C72" i="52" s="1"/>
  <c r="C76" i="52" s="1"/>
  <c r="G22" i="52"/>
  <c r="B93" i="52" s="1"/>
  <c r="E27" i="53"/>
  <c r="C27" i="53"/>
  <c r="B27" i="53"/>
  <c r="I27" i="52"/>
  <c r="H103" i="52" s="1"/>
  <c r="D193" i="17" s="1"/>
  <c r="D199" i="17" s="1"/>
  <c r="I26" i="52"/>
  <c r="H102" i="52" s="1"/>
  <c r="I25" i="52"/>
  <c r="H101" i="52" s="1"/>
  <c r="E26" i="52"/>
  <c r="E36" i="52"/>
  <c r="H36" i="52" s="1"/>
  <c r="B72" i="52" s="1"/>
  <c r="E27" i="52"/>
  <c r="G103" i="52" s="1"/>
  <c r="E25" i="52"/>
  <c r="G101" i="52" s="1"/>
  <c r="D48" i="48"/>
  <c r="D49" i="48"/>
  <c r="D50" i="48"/>
  <c r="D47" i="48"/>
  <c r="B30" i="48"/>
  <c r="B33" i="48" s="1"/>
  <c r="B35" i="48" s="1"/>
  <c r="B14" i="48"/>
  <c r="B8" i="48"/>
  <c r="B9" i="48" s="1"/>
  <c r="B11" i="48" s="1"/>
  <c r="B16" i="48"/>
  <c r="J290" i="1"/>
  <c r="J291" i="1"/>
  <c r="J292" i="1"/>
  <c r="B513" i="1" s="1"/>
  <c r="J295" i="1"/>
  <c r="J299" i="1"/>
  <c r="J300" i="1"/>
  <c r="J301" i="1"/>
  <c r="J302" i="1"/>
  <c r="J303" i="1"/>
  <c r="J289" i="1"/>
  <c r="B197" i="17"/>
  <c r="B198" i="17"/>
  <c r="L251" i="1"/>
  <c r="L290" i="1" s="1"/>
  <c r="L350" i="1" s="1"/>
  <c r="L252" i="1"/>
  <c r="L291" i="1" s="1"/>
  <c r="L253" i="1"/>
  <c r="L292" i="1" s="1"/>
  <c r="L352" i="1" s="1"/>
  <c r="L256" i="1"/>
  <c r="L295" i="1" s="1"/>
  <c r="L355" i="1" s="1"/>
  <c r="L260" i="1"/>
  <c r="L299" i="1" s="1"/>
  <c r="L261" i="1"/>
  <c r="L300" i="1" s="1"/>
  <c r="L360" i="1" s="1"/>
  <c r="L262" i="1"/>
  <c r="L263" i="1"/>
  <c r="L302" i="1" s="1"/>
  <c r="L362" i="1" s="1"/>
  <c r="L264" i="1"/>
  <c r="L303" i="1" s="1"/>
  <c r="L363" i="1" s="1"/>
  <c r="M324" i="12" s="1"/>
  <c r="L250" i="1"/>
  <c r="L289" i="1" s="1"/>
  <c r="K250" i="1"/>
  <c r="K289" i="1" s="1"/>
  <c r="K349" i="1" s="1"/>
  <c r="K251" i="1"/>
  <c r="K290" i="1" s="1"/>
  <c r="K350" i="1" s="1"/>
  <c r="K252" i="1"/>
  <c r="K253" i="1"/>
  <c r="K254" i="1"/>
  <c r="K293" i="1" s="1"/>
  <c r="K353" i="1" s="1"/>
  <c r="K255" i="1"/>
  <c r="K256" i="1"/>
  <c r="K295" i="1" s="1"/>
  <c r="K355" i="1" s="1"/>
  <c r="K257" i="1"/>
  <c r="K296" i="1" s="1"/>
  <c r="K356" i="1" s="1"/>
  <c r="K258" i="1"/>
  <c r="K297" i="1" s="1"/>
  <c r="K357" i="1" s="1"/>
  <c r="K259" i="1"/>
  <c r="K298" i="1" s="1"/>
  <c r="K358" i="1" s="1"/>
  <c r="K260" i="1"/>
  <c r="K261" i="1"/>
  <c r="K300" i="1" s="1"/>
  <c r="K360" i="1" s="1"/>
  <c r="K262" i="1"/>
  <c r="K301" i="1" s="1"/>
  <c r="K361" i="1" s="1"/>
  <c r="K263" i="1"/>
  <c r="K264" i="1"/>
  <c r="K303" i="1" s="1"/>
  <c r="K363" i="1" s="1"/>
  <c r="L324" i="12" s="1"/>
  <c r="J251" i="1"/>
  <c r="J252" i="1"/>
  <c r="J253" i="1"/>
  <c r="J254" i="1"/>
  <c r="J255" i="1"/>
  <c r="J256" i="1"/>
  <c r="J257" i="1"/>
  <c r="J258" i="1"/>
  <c r="J259" i="1"/>
  <c r="J260" i="1"/>
  <c r="J261" i="1"/>
  <c r="J262" i="1"/>
  <c r="J263" i="1"/>
  <c r="J264" i="1"/>
  <c r="J250" i="1"/>
  <c r="C192" i="17"/>
  <c r="C198" i="17" s="1"/>
  <c r="D192" i="17"/>
  <c r="D198" i="17" s="1"/>
  <c r="E192" i="17"/>
  <c r="E198" i="17" s="1"/>
  <c r="E199" i="17"/>
  <c r="D200" i="17"/>
  <c r="E200" i="17"/>
  <c r="C195" i="17"/>
  <c r="C201" i="17" s="1"/>
  <c r="D195" i="17"/>
  <c r="D201" i="17" s="1"/>
  <c r="E195" i="17"/>
  <c r="E201" i="17" s="1"/>
  <c r="D191" i="17"/>
  <c r="D197" i="17" s="1"/>
  <c r="E191" i="17"/>
  <c r="E197" i="17" s="1"/>
  <c r="C191" i="17"/>
  <c r="C197" i="17" s="1"/>
  <c r="B201" i="17"/>
  <c r="J21" i="1"/>
  <c r="K16" i="12" s="1"/>
  <c r="K21" i="1"/>
  <c r="L16" i="12" s="1"/>
  <c r="L21" i="1"/>
  <c r="M16" i="12" s="1"/>
  <c r="E121" i="17"/>
  <c r="E118" i="17"/>
  <c r="E117" i="17"/>
  <c r="E115" i="17"/>
  <c r="E114" i="17"/>
  <c r="E112" i="17"/>
  <c r="E109" i="17"/>
  <c r="E108" i="17"/>
  <c r="E106" i="17"/>
  <c r="E105" i="17"/>
  <c r="E6" i="17"/>
  <c r="E5" i="17"/>
  <c r="E4" i="17"/>
  <c r="E3" i="17"/>
  <c r="I76" i="16"/>
  <c r="G76" i="16"/>
  <c r="F76" i="16"/>
  <c r="E76" i="16"/>
  <c r="I75" i="16"/>
  <c r="G75" i="16"/>
  <c r="B115" i="71" s="1"/>
  <c r="C115" i="71" s="1"/>
  <c r="F75" i="16"/>
  <c r="E75" i="16"/>
  <c r="I74" i="16"/>
  <c r="G74" i="16"/>
  <c r="F74" i="16"/>
  <c r="E74" i="16"/>
  <c r="I73" i="16"/>
  <c r="G73" i="16"/>
  <c r="B113" i="71" s="1"/>
  <c r="C113" i="71" s="1"/>
  <c r="F73" i="16"/>
  <c r="E73" i="16"/>
  <c r="I72" i="16"/>
  <c r="G72" i="16"/>
  <c r="F72" i="16"/>
  <c r="E72" i="16"/>
  <c r="I71" i="16"/>
  <c r="G71" i="16"/>
  <c r="B111" i="71" s="1"/>
  <c r="C111" i="71" s="1"/>
  <c r="F71" i="16"/>
  <c r="E71" i="16"/>
  <c r="I70" i="16"/>
  <c r="G70" i="16"/>
  <c r="F70" i="16"/>
  <c r="E70" i="16"/>
  <c r="I69" i="16"/>
  <c r="G69" i="16"/>
  <c r="F69" i="16"/>
  <c r="E69" i="16"/>
  <c r="I68" i="16"/>
  <c r="G68" i="16"/>
  <c r="F68" i="16"/>
  <c r="E68" i="16"/>
  <c r="I67" i="16"/>
  <c r="C86" i="71" s="1"/>
  <c r="I139" i="71" s="1"/>
  <c r="I163" i="71" s="1"/>
  <c r="I230" i="71" s="1"/>
  <c r="I49" i="16" s="1"/>
  <c r="G67" i="16"/>
  <c r="B107" i="71" s="1"/>
  <c r="C107" i="71" s="1"/>
  <c r="F67" i="16"/>
  <c r="E67" i="16"/>
  <c r="I66" i="16"/>
  <c r="G66" i="16"/>
  <c r="F66" i="16"/>
  <c r="E66" i="16"/>
  <c r="I65" i="16"/>
  <c r="G65" i="16"/>
  <c r="B105" i="71" s="1"/>
  <c r="C105" i="71" s="1"/>
  <c r="F65" i="16"/>
  <c r="E65" i="16"/>
  <c r="I63" i="16"/>
  <c r="G63" i="16"/>
  <c r="F63" i="16"/>
  <c r="E63" i="16"/>
  <c r="C71" i="16"/>
  <c r="B76" i="16"/>
  <c r="B75" i="16"/>
  <c r="J75" i="16" s="1"/>
  <c r="B74" i="16"/>
  <c r="B73" i="16"/>
  <c r="B72" i="16"/>
  <c r="B71" i="16"/>
  <c r="B70" i="16"/>
  <c r="B69" i="16"/>
  <c r="B68" i="16"/>
  <c r="B67" i="16"/>
  <c r="B66" i="16"/>
  <c r="B65" i="16"/>
  <c r="B63" i="16"/>
  <c r="E206" i="17"/>
  <c r="E205" i="17"/>
  <c r="E204" i="17"/>
  <c r="B25" i="21"/>
  <c r="B24" i="21"/>
  <c r="L226" i="1"/>
  <c r="M20" i="12" s="1"/>
  <c r="K226" i="1"/>
  <c r="L20" i="12" s="1"/>
  <c r="J226" i="1"/>
  <c r="K20" i="12" s="1"/>
  <c r="L206" i="1"/>
  <c r="M19" i="12" s="1"/>
  <c r="K206" i="1"/>
  <c r="L19" i="12" s="1"/>
  <c r="J206" i="1"/>
  <c r="K19" i="12" s="1"/>
  <c r="L99" i="1"/>
  <c r="M18" i="12" s="1"/>
  <c r="K99" i="1"/>
  <c r="L18" i="12" s="1"/>
  <c r="J99" i="1"/>
  <c r="K18" i="12" s="1"/>
  <c r="B18" i="34"/>
  <c r="C18" i="34"/>
  <c r="D18" i="34"/>
  <c r="E18" i="34"/>
  <c r="F18" i="34"/>
  <c r="G18" i="34"/>
  <c r="H18" i="34"/>
  <c r="I18" i="34"/>
  <c r="J18" i="34"/>
  <c r="K18" i="34"/>
  <c r="C19" i="34"/>
  <c r="D19" i="34"/>
  <c r="E19" i="34"/>
  <c r="F19" i="34"/>
  <c r="G19" i="34"/>
  <c r="H19" i="34"/>
  <c r="I19" i="34"/>
  <c r="J19" i="34"/>
  <c r="K19" i="34"/>
  <c r="C20" i="34"/>
  <c r="D20" i="34"/>
  <c r="E20" i="34"/>
  <c r="F20" i="34"/>
  <c r="G20" i="34"/>
  <c r="H20" i="34"/>
  <c r="I20" i="34"/>
  <c r="J20" i="34"/>
  <c r="K20" i="34"/>
  <c r="C21" i="34"/>
  <c r="D21" i="34"/>
  <c r="E21" i="34"/>
  <c r="F21" i="34"/>
  <c r="G21" i="34"/>
  <c r="H21" i="34"/>
  <c r="I21" i="34"/>
  <c r="J21" i="34"/>
  <c r="K21" i="34"/>
  <c r="C22" i="34"/>
  <c r="D22" i="34"/>
  <c r="E22" i="34"/>
  <c r="F22" i="34"/>
  <c r="G22" i="34"/>
  <c r="H22" i="34"/>
  <c r="I22" i="34"/>
  <c r="J22" i="34"/>
  <c r="K22" i="34"/>
  <c r="C23" i="34"/>
  <c r="D23" i="34"/>
  <c r="E23" i="34"/>
  <c r="F23" i="34"/>
  <c r="G23" i="34"/>
  <c r="H23" i="34"/>
  <c r="I23" i="34"/>
  <c r="J23" i="34"/>
  <c r="K23" i="34"/>
  <c r="C24" i="34"/>
  <c r="D24" i="34"/>
  <c r="E24" i="34"/>
  <c r="F24" i="34"/>
  <c r="G24" i="34"/>
  <c r="H24" i="34"/>
  <c r="I24" i="34"/>
  <c r="J24" i="34"/>
  <c r="K24" i="34"/>
  <c r="C25" i="34"/>
  <c r="D25" i="34"/>
  <c r="E25" i="34"/>
  <c r="F25" i="34"/>
  <c r="G25" i="34"/>
  <c r="H25" i="34"/>
  <c r="I25" i="34"/>
  <c r="J25" i="34"/>
  <c r="K25" i="34"/>
  <c r="B19" i="34"/>
  <c r="C135" i="17" s="1"/>
  <c r="B20" i="34"/>
  <c r="B21" i="34"/>
  <c r="B22" i="34"/>
  <c r="B24" i="34"/>
  <c r="B25" i="34"/>
  <c r="J71" i="16" l="1"/>
  <c r="H150" i="52"/>
  <c r="J65" i="16"/>
  <c r="J73" i="16"/>
  <c r="E129" i="71"/>
  <c r="F129" i="71"/>
  <c r="B109" i="71"/>
  <c r="G129" i="71"/>
  <c r="B129" i="71"/>
  <c r="I129" i="71"/>
  <c r="B103" i="71"/>
  <c r="C103" i="71" s="1"/>
  <c r="B106" i="71"/>
  <c r="C106" i="71" s="1"/>
  <c r="B108" i="71"/>
  <c r="B110" i="71"/>
  <c r="C110" i="71" s="1"/>
  <c r="B112" i="71"/>
  <c r="C112" i="71" s="1"/>
  <c r="B114" i="71"/>
  <c r="C114" i="71" s="1"/>
  <c r="B116" i="71"/>
  <c r="C116" i="71" s="1"/>
  <c r="J69" i="16"/>
  <c r="J66" i="16"/>
  <c r="J74" i="16"/>
  <c r="B30" i="53"/>
  <c r="I20" i="52" s="1"/>
  <c r="J67" i="16"/>
  <c r="J72" i="16"/>
  <c r="J68" i="16"/>
  <c r="J76" i="16"/>
  <c r="J63" i="16"/>
  <c r="J70" i="16"/>
  <c r="K105" i="52"/>
  <c r="G112" i="52"/>
  <c r="G113" i="52" s="1"/>
  <c r="I200" i="23"/>
  <c r="I206" i="23" s="1"/>
  <c r="K191" i="17"/>
  <c r="C235" i="1" s="1"/>
  <c r="K201" i="17"/>
  <c r="K195" i="17"/>
  <c r="C240" i="1" s="1"/>
  <c r="G200" i="23"/>
  <c r="B81" i="48"/>
  <c r="I123" i="52"/>
  <c r="K192" i="17"/>
  <c r="C236" i="1" s="1"/>
  <c r="B28" i="53"/>
  <c r="K198" i="17"/>
  <c r="I118" i="52"/>
  <c r="J350" i="1"/>
  <c r="B511" i="1"/>
  <c r="J362" i="1"/>
  <c r="B523" i="1"/>
  <c r="J363" i="1"/>
  <c r="K324" i="12" s="1"/>
  <c r="B524" i="1"/>
  <c r="J361" i="1"/>
  <c r="B522" i="1"/>
  <c r="J355" i="1"/>
  <c r="B516" i="1"/>
  <c r="J360" i="1"/>
  <c r="B521" i="1"/>
  <c r="J359" i="1"/>
  <c r="B520" i="1"/>
  <c r="J349" i="1"/>
  <c r="B510" i="1"/>
  <c r="J351" i="1"/>
  <c r="B512" i="1"/>
  <c r="C141" i="17"/>
  <c r="B141" i="17"/>
  <c r="B148" i="17"/>
  <c r="D141" i="17"/>
  <c r="E141" i="17"/>
  <c r="D134" i="17"/>
  <c r="C148" i="17"/>
  <c r="D148" i="17"/>
  <c r="E134" i="17"/>
  <c r="B134" i="17"/>
  <c r="E148" i="17"/>
  <c r="C153" i="17"/>
  <c r="D153" i="17"/>
  <c r="E153" i="17"/>
  <c r="C146" i="17"/>
  <c r="D146" i="17"/>
  <c r="B153" i="17"/>
  <c r="E146" i="17"/>
  <c r="B146" i="17"/>
  <c r="D154" i="17"/>
  <c r="E154" i="17"/>
  <c r="B154" i="17"/>
  <c r="C154" i="17"/>
  <c r="E151" i="17"/>
  <c r="B151" i="17"/>
  <c r="C144" i="17"/>
  <c r="D144" i="17"/>
  <c r="E144" i="17"/>
  <c r="C151" i="17"/>
  <c r="B144" i="17"/>
  <c r="D151" i="17"/>
  <c r="C143" i="17"/>
  <c r="B143" i="17"/>
  <c r="D143" i="17"/>
  <c r="E143" i="17"/>
  <c r="C150" i="17"/>
  <c r="D150" i="17"/>
  <c r="E150" i="17"/>
  <c r="B150" i="17"/>
  <c r="K100" i="52"/>
  <c r="J61" i="50" s="1"/>
  <c r="D135" i="17"/>
  <c r="C149" i="17"/>
  <c r="E135" i="17"/>
  <c r="B142" i="17"/>
  <c r="E149" i="17"/>
  <c r="B149" i="17"/>
  <c r="C142" i="17"/>
  <c r="B135" i="17"/>
  <c r="D142" i="17"/>
  <c r="E142" i="17"/>
  <c r="D149" i="17"/>
  <c r="G26" i="52"/>
  <c r="B97" i="52" s="1"/>
  <c r="I120" i="52" s="1"/>
  <c r="G102" i="52"/>
  <c r="G150" i="26"/>
  <c r="K197" i="17"/>
  <c r="B52" i="48"/>
  <c r="B61" i="48" s="1"/>
  <c r="B63" i="48" s="1"/>
  <c r="C96" i="54"/>
  <c r="D85" i="52"/>
  <c r="C102" i="52" s="1"/>
  <c r="K20" i="52"/>
  <c r="C29" i="53"/>
  <c r="B38" i="53"/>
  <c r="B40" i="53" s="1"/>
  <c r="I22" i="52" s="1"/>
  <c r="C77" i="52"/>
  <c r="K26" i="52"/>
  <c r="K25" i="52"/>
  <c r="J36" i="52"/>
  <c r="G25" i="52"/>
  <c r="B96" i="52" s="1"/>
  <c r="J66" i="50"/>
  <c r="G27" i="52"/>
  <c r="K27" i="52"/>
  <c r="B17" i="48"/>
  <c r="B19" i="48" s="1"/>
  <c r="L359" i="1"/>
  <c r="L349" i="1"/>
  <c r="J352" i="1"/>
  <c r="L351" i="1"/>
  <c r="K294" i="1"/>
  <c r="K302" i="1"/>
  <c r="K291" i="1"/>
  <c r="K299" i="1"/>
  <c r="K292" i="1"/>
  <c r="L301" i="1"/>
  <c r="B26" i="21"/>
  <c r="K265" i="1"/>
  <c r="L21" i="12" s="1"/>
  <c r="F140" i="71" l="1"/>
  <c r="F164" i="71" s="1"/>
  <c r="F231" i="71" s="1"/>
  <c r="F50" i="16" s="1"/>
  <c r="F141" i="71"/>
  <c r="F165" i="71" s="1"/>
  <c r="F232" i="71" s="1"/>
  <c r="F51" i="16" s="1"/>
  <c r="I140" i="71"/>
  <c r="I164" i="71" s="1"/>
  <c r="I231" i="71" s="1"/>
  <c r="I50" i="16" s="1"/>
  <c r="I141" i="71"/>
  <c r="I165" i="71" s="1"/>
  <c r="I232" i="71" s="1"/>
  <c r="I51" i="16" s="1"/>
  <c r="K151" i="17"/>
  <c r="G483" i="1" s="1"/>
  <c r="J150" i="52"/>
  <c r="J156" i="52" s="1"/>
  <c r="O121" i="52" s="1"/>
  <c r="P200" i="23"/>
  <c r="B90" i="48"/>
  <c r="E145" i="17" s="1"/>
  <c r="E20" i="52"/>
  <c r="G20" i="52" s="1"/>
  <c r="L20" i="52" s="1"/>
  <c r="K149" i="17"/>
  <c r="G451" i="1" s="1"/>
  <c r="K135" i="17"/>
  <c r="G458" i="1" s="1"/>
  <c r="K150" i="17"/>
  <c r="F482" i="1" s="1"/>
  <c r="K144" i="17"/>
  <c r="G476" i="1" s="1"/>
  <c r="K143" i="17"/>
  <c r="F476" i="1" s="1"/>
  <c r="K153" i="17"/>
  <c r="C519" i="1" s="1"/>
  <c r="K141" i="17"/>
  <c r="F457" i="1" s="1"/>
  <c r="K154" i="17"/>
  <c r="P206" i="23"/>
  <c r="G156" i="26"/>
  <c r="H156" i="52"/>
  <c r="K142" i="17"/>
  <c r="G457" i="1" s="1"/>
  <c r="N200" i="23"/>
  <c r="H200" i="23"/>
  <c r="G206" i="23"/>
  <c r="N206" i="23" s="1"/>
  <c r="K146" i="17"/>
  <c r="C517" i="1" s="1"/>
  <c r="K101" i="52"/>
  <c r="J62" i="50" s="1"/>
  <c r="I119" i="52"/>
  <c r="K134" i="17"/>
  <c r="F458" i="1" s="1"/>
  <c r="K148" i="17"/>
  <c r="F454" i="1" s="1"/>
  <c r="H100" i="52"/>
  <c r="B21" i="48"/>
  <c r="B89" i="48"/>
  <c r="E138" i="17" s="1"/>
  <c r="L26" i="52"/>
  <c r="C97" i="52" s="1"/>
  <c r="K102" i="52"/>
  <c r="J63" i="50" s="1"/>
  <c r="H99" i="52"/>
  <c r="D86" i="52"/>
  <c r="C103" i="52" s="1"/>
  <c r="I23" i="52"/>
  <c r="K23" i="52" s="1"/>
  <c r="L23" i="52" s="1"/>
  <c r="C94" i="52" s="1"/>
  <c r="K22" i="52"/>
  <c r="L22" i="52" s="1"/>
  <c r="C93" i="52" s="1"/>
  <c r="B77" i="52"/>
  <c r="B76" i="52"/>
  <c r="L25" i="52"/>
  <c r="C96" i="52" s="1"/>
  <c r="L27" i="52"/>
  <c r="C98" i="52" s="1"/>
  <c r="B98" i="52"/>
  <c r="K351" i="1"/>
  <c r="K362" i="1"/>
  <c r="L361" i="1"/>
  <c r="K359" i="1"/>
  <c r="K352" i="1"/>
  <c r="K304" i="1"/>
  <c r="L22" i="12" s="1"/>
  <c r="L390" i="1" l="1"/>
  <c r="G469" i="1"/>
  <c r="C109" i="71"/>
  <c r="C108" i="71"/>
  <c r="G470" i="1"/>
  <c r="G479" i="1"/>
  <c r="G482" i="1"/>
  <c r="G472" i="1"/>
  <c r="G474" i="1"/>
  <c r="G471" i="1"/>
  <c r="I150" i="52"/>
  <c r="I156" i="52" s="1"/>
  <c r="N122" i="52" s="1"/>
  <c r="G481" i="1"/>
  <c r="G478" i="1"/>
  <c r="G473" i="1"/>
  <c r="G475" i="1"/>
  <c r="G480" i="1"/>
  <c r="O122" i="52"/>
  <c r="H112" i="52"/>
  <c r="H113" i="52" s="1"/>
  <c r="C81" i="48" s="1"/>
  <c r="G99" i="52"/>
  <c r="B91" i="52"/>
  <c r="I117" i="52" s="1"/>
  <c r="C91" i="52"/>
  <c r="L99" i="52" s="1"/>
  <c r="K60" i="50" s="1"/>
  <c r="G453" i="1"/>
  <c r="G462" i="1"/>
  <c r="G452" i="1"/>
  <c r="G456" i="1"/>
  <c r="G450" i="1"/>
  <c r="G459" i="1"/>
  <c r="G460" i="1"/>
  <c r="G461" i="1"/>
  <c r="G464" i="1"/>
  <c r="G455" i="1"/>
  <c r="G454" i="1"/>
  <c r="G463" i="1"/>
  <c r="F472" i="1"/>
  <c r="F461" i="1"/>
  <c r="F480" i="1"/>
  <c r="F471" i="1"/>
  <c r="F469" i="1"/>
  <c r="F481" i="1"/>
  <c r="F479" i="1"/>
  <c r="F478" i="1"/>
  <c r="F475" i="1"/>
  <c r="J118" i="52"/>
  <c r="F473" i="1"/>
  <c r="F483" i="1"/>
  <c r="F470" i="1"/>
  <c r="F474" i="1"/>
  <c r="F460" i="1"/>
  <c r="F459" i="1"/>
  <c r="F463" i="1"/>
  <c r="F450" i="1"/>
  <c r="F453" i="1"/>
  <c r="F455" i="1"/>
  <c r="F462" i="1"/>
  <c r="F451" i="1"/>
  <c r="F456" i="1"/>
  <c r="F464" i="1"/>
  <c r="F452" i="1"/>
  <c r="C520" i="1"/>
  <c r="D520" i="1" s="1"/>
  <c r="C513" i="1"/>
  <c r="D513" i="1" s="1"/>
  <c r="C510" i="1"/>
  <c r="D510" i="1" s="1"/>
  <c r="C523" i="1"/>
  <c r="D523" i="1" s="1"/>
  <c r="C524" i="1"/>
  <c r="D524" i="1" s="1"/>
  <c r="C521" i="1"/>
  <c r="D521" i="1" s="1"/>
  <c r="C515" i="1"/>
  <c r="C514" i="1"/>
  <c r="C511" i="1"/>
  <c r="D511" i="1" s="1"/>
  <c r="C516" i="1"/>
  <c r="D516" i="1" s="1"/>
  <c r="C522" i="1"/>
  <c r="D522" i="1" s="1"/>
  <c r="C512" i="1"/>
  <c r="D512" i="1" s="1"/>
  <c r="I121" i="52"/>
  <c r="L102" i="52"/>
  <c r="K63" i="50" s="1"/>
  <c r="J120" i="52"/>
  <c r="J121" i="52"/>
  <c r="L101" i="52"/>
  <c r="K62" i="50" s="1"/>
  <c r="J119" i="52"/>
  <c r="H206" i="23"/>
  <c r="O200" i="23"/>
  <c r="L100" i="52"/>
  <c r="K61" i="50" s="1"/>
  <c r="E152" i="17"/>
  <c r="L105" i="52"/>
  <c r="K66" i="50" s="1"/>
  <c r="K103" i="52"/>
  <c r="J64" i="50" s="1"/>
  <c r="L103" i="52"/>
  <c r="K64" i="50" s="1"/>
  <c r="C85" i="52"/>
  <c r="B102" i="52" s="1"/>
  <c r="C86" i="52"/>
  <c r="B103" i="52" s="1"/>
  <c r="L161" i="12" l="1"/>
  <c r="C119" i="71"/>
  <c r="N121" i="52"/>
  <c r="J117" i="52"/>
  <c r="K99" i="52"/>
  <c r="J60" i="50" s="1"/>
  <c r="D140" i="17" s="1"/>
  <c r="D147" i="17" s="1"/>
  <c r="J123" i="52"/>
  <c r="O206" i="23"/>
  <c r="C129" i="1"/>
  <c r="K206" i="17"/>
  <c r="K205" i="17"/>
  <c r="K204" i="17"/>
  <c r="K92" i="17"/>
  <c r="K90" i="17"/>
  <c r="K87" i="17"/>
  <c r="K86" i="17"/>
  <c r="K85" i="17"/>
  <c r="K84" i="17"/>
  <c r="K83" i="17"/>
  <c r="K67" i="17"/>
  <c r="K66" i="17"/>
  <c r="K65" i="17"/>
  <c r="K64" i="17"/>
  <c r="K63" i="17"/>
  <c r="K62" i="17"/>
  <c r="K61" i="17"/>
  <c r="K53" i="17"/>
  <c r="K52" i="17"/>
  <c r="K51" i="17"/>
  <c r="K50" i="17"/>
  <c r="K49" i="17"/>
  <c r="K48" i="17"/>
  <c r="K47" i="17"/>
  <c r="K46" i="17"/>
  <c r="K45" i="17"/>
  <c r="K43" i="17"/>
  <c r="K42" i="17"/>
  <c r="K41" i="17"/>
  <c r="K40" i="17"/>
  <c r="K39" i="17"/>
  <c r="D106" i="71" l="1"/>
  <c r="G138" i="71" s="1"/>
  <c r="G162" i="71" s="1"/>
  <c r="G229" i="71" s="1"/>
  <c r="G48" i="16" s="1"/>
  <c r="D104" i="71"/>
  <c r="G136" i="71" s="1"/>
  <c r="G160" i="71" s="1"/>
  <c r="G227" i="71" s="1"/>
  <c r="G46" i="16" s="1"/>
  <c r="D108" i="71"/>
  <c r="G140" i="71" s="1"/>
  <c r="G164" i="71" s="1"/>
  <c r="G231" i="71" s="1"/>
  <c r="G50" i="16" s="1"/>
  <c r="D115" i="71"/>
  <c r="G147" i="71" s="1"/>
  <c r="G171" i="71" s="1"/>
  <c r="G238" i="71" s="1"/>
  <c r="G57" i="16" s="1"/>
  <c r="D105" i="71"/>
  <c r="G137" i="71" s="1"/>
  <c r="G161" i="71" s="1"/>
  <c r="G228" i="71" s="1"/>
  <c r="G47" i="16" s="1"/>
  <c r="D117" i="71"/>
  <c r="G149" i="71" s="1"/>
  <c r="G173" i="71" s="1"/>
  <c r="G240" i="71" s="1"/>
  <c r="G59" i="16" s="1"/>
  <c r="D116" i="71"/>
  <c r="G148" i="71" s="1"/>
  <c r="G172" i="71" s="1"/>
  <c r="G19" i="1" s="1" a="1"/>
  <c r="G19" i="1" s="1"/>
  <c r="D103" i="71"/>
  <c r="D107" i="71"/>
  <c r="G139" i="71" s="1"/>
  <c r="G163" i="71" s="1"/>
  <c r="G230" i="71" s="1"/>
  <c r="G49" i="16" s="1"/>
  <c r="D110" i="71"/>
  <c r="G142" i="71" s="1"/>
  <c r="G166" i="71" s="1"/>
  <c r="G233" i="71" s="1"/>
  <c r="G52" i="16" s="1"/>
  <c r="D109" i="71"/>
  <c r="G141" i="71" s="1"/>
  <c r="G165" i="71" s="1"/>
  <c r="G232" i="71" s="1"/>
  <c r="G51" i="16" s="1"/>
  <c r="D112" i="71"/>
  <c r="G144" i="71" s="1"/>
  <c r="G168" i="71" s="1"/>
  <c r="D111" i="71"/>
  <c r="G143" i="71" s="1"/>
  <c r="G167" i="71" s="1"/>
  <c r="D114" i="71"/>
  <c r="G146" i="71" s="1"/>
  <c r="G170" i="71" s="1"/>
  <c r="G237" i="71" s="1"/>
  <c r="G56" i="16" s="1"/>
  <c r="D113" i="71"/>
  <c r="G145" i="71" s="1"/>
  <c r="G169" i="71" s="1"/>
  <c r="G236" i="71" s="1"/>
  <c r="G55" i="16" s="1"/>
  <c r="B71" i="24"/>
  <c r="B70" i="24"/>
  <c r="B62" i="24"/>
  <c r="B61" i="24"/>
  <c r="K69" i="17"/>
  <c r="K70" i="17"/>
  <c r="K71" i="17"/>
  <c r="K72" i="17"/>
  <c r="K73" i="17"/>
  <c r="K74" i="17"/>
  <c r="K68" i="17"/>
  <c r="G16" i="1" l="1" a="1"/>
  <c r="G16" i="1" s="1"/>
  <c r="G14" i="1" a="1"/>
  <c r="G14" i="1" s="1"/>
  <c r="G17" i="1" a="1"/>
  <c r="G17" i="1" s="1"/>
  <c r="J57" i="16"/>
  <c r="B51" i="72" s="1"/>
  <c r="D51" i="72" s="1"/>
  <c r="J48" i="16"/>
  <c r="B42" i="72" s="1"/>
  <c r="D42" i="72" s="1"/>
  <c r="G9" i="1" a="1"/>
  <c r="G9" i="1" s="1"/>
  <c r="G135" i="71"/>
  <c r="G159" i="71" s="1"/>
  <c r="G226" i="71" s="1"/>
  <c r="G45" i="16" s="1"/>
  <c r="D119" i="71"/>
  <c r="J59" i="16"/>
  <c r="B53" i="72" s="1"/>
  <c r="D53" i="72" s="1"/>
  <c r="G20" i="1" a="1"/>
  <c r="G20" i="1" s="1"/>
  <c r="H266" i="12" s="1"/>
  <c r="G8" i="1" a="1"/>
  <c r="G8" i="1" s="1"/>
  <c r="J47" i="16"/>
  <c r="B41" i="72" s="1"/>
  <c r="D41" i="72" s="1"/>
  <c r="G15" i="1" a="1"/>
  <c r="G15" i="1" s="1"/>
  <c r="G18" i="1" a="1"/>
  <c r="G18" i="1" s="1"/>
  <c r="J49" i="16"/>
  <c r="B43" i="72" s="1"/>
  <c r="D43" i="72" s="1"/>
  <c r="G10" i="1" a="1"/>
  <c r="G10" i="1" s="1"/>
  <c r="G12" i="1" a="1"/>
  <c r="G12" i="1" s="1"/>
  <c r="J51" i="16"/>
  <c r="B45" i="72" s="1"/>
  <c r="D45" i="72" s="1"/>
  <c r="J50" i="16"/>
  <c r="B44" i="72" s="1"/>
  <c r="D44" i="72" s="1"/>
  <c r="G11" i="1" a="1"/>
  <c r="G11" i="1" s="1"/>
  <c r="J52" i="16"/>
  <c r="B46" i="72" s="1"/>
  <c r="D46" i="72" s="1"/>
  <c r="G13" i="1" a="1"/>
  <c r="G13" i="1" s="1"/>
  <c r="G7" i="1" a="1"/>
  <c r="G7" i="1" s="1"/>
  <c r="J46" i="16"/>
  <c r="B40" i="72" s="1"/>
  <c r="D40" i="72" s="1"/>
  <c r="C18" i="17"/>
  <c r="J45" i="16" l="1"/>
  <c r="G6" i="1" a="1"/>
  <c r="G6" i="1" s="1"/>
  <c r="G21" i="1" s="1"/>
  <c r="H16" i="12" s="1"/>
  <c r="B39" i="72" l="1"/>
  <c r="D39" i="72" s="1"/>
  <c r="E54" i="16" l="1"/>
  <c r="E53" i="16"/>
  <c r="F53" i="16"/>
  <c r="F58" i="16"/>
  <c r="F54" i="16"/>
  <c r="E58" i="16"/>
  <c r="J55" i="16"/>
  <c r="J56" i="16"/>
  <c r="B50" i="72" s="1"/>
  <c r="D50" i="72" s="1"/>
  <c r="B33" i="31"/>
  <c r="C33" i="31"/>
  <c r="D33" i="31"/>
  <c r="D13" i="31"/>
  <c r="C32" i="31"/>
  <c r="D32" i="31"/>
  <c r="C34" i="31"/>
  <c r="D34" i="31"/>
  <c r="C35" i="31"/>
  <c r="D35" i="31"/>
  <c r="B34" i="31"/>
  <c r="B35" i="31"/>
  <c r="C28" i="31"/>
  <c r="D28" i="31"/>
  <c r="C29" i="31"/>
  <c r="D29" i="31"/>
  <c r="C30" i="31"/>
  <c r="D30" i="31"/>
  <c r="C31" i="31"/>
  <c r="D31" i="31"/>
  <c r="B29" i="31"/>
  <c r="B30" i="31"/>
  <c r="B31" i="31"/>
  <c r="B32" i="31"/>
  <c r="B28" i="31"/>
  <c r="B49" i="72" l="1"/>
  <c r="D49" i="72" s="1"/>
  <c r="B40" i="31"/>
  <c r="C40" i="31"/>
  <c r="B17" i="29"/>
  <c r="C24" i="29"/>
  <c r="C38" i="29" s="1"/>
  <c r="B24" i="29"/>
  <c r="B38" i="29" s="1"/>
  <c r="B14" i="29"/>
  <c r="B19" i="29" s="1"/>
  <c r="B13" i="29"/>
  <c r="B18" i="29" s="1"/>
  <c r="D9" i="29"/>
  <c r="C9" i="29"/>
  <c r="D8" i="29"/>
  <c r="C8" i="29"/>
  <c r="D7" i="29"/>
  <c r="C7" i="29"/>
  <c r="C6" i="29"/>
  <c r="B6" i="29"/>
  <c r="E11" i="3"/>
  <c r="C85" i="28"/>
  <c r="C84" i="28" s="1"/>
  <c r="B84" i="28"/>
  <c r="B85" i="28" s="1"/>
  <c r="C52" i="28"/>
  <c r="E52" i="28"/>
  <c r="D66" i="28"/>
  <c r="D52" i="28" s="1"/>
  <c r="C50" i="28"/>
  <c r="E50" i="28"/>
  <c r="B50" i="28"/>
  <c r="D64" i="28"/>
  <c r="D50" i="28" s="1"/>
  <c r="E49" i="28"/>
  <c r="C49" i="28"/>
  <c r="E47" i="28"/>
  <c r="C47" i="28"/>
  <c r="E48" i="28"/>
  <c r="E62" i="28" s="1"/>
  <c r="C48" i="28"/>
  <c r="C62" i="28" s="1"/>
  <c r="B62" i="28"/>
  <c r="D16" i="29" l="1"/>
  <c r="D22" i="29" s="1"/>
  <c r="E82" i="29"/>
  <c r="D74" i="29"/>
  <c r="E74" i="29"/>
  <c r="E102" i="29" s="1"/>
  <c r="D136" i="29" s="1"/>
  <c r="C74" i="29"/>
  <c r="C102" i="29" s="1"/>
  <c r="C136" i="29" s="1"/>
  <c r="B74" i="29"/>
  <c r="B102" i="29" s="1"/>
  <c r="B136" i="29" s="1"/>
  <c r="B141" i="29" s="1" a="1"/>
  <c r="B141" i="29" s="1"/>
  <c r="D37" i="29"/>
  <c r="D49" i="28"/>
  <c r="B16" i="29"/>
  <c r="B22" i="29" s="1"/>
  <c r="B37" i="29" s="1"/>
  <c r="C16" i="29"/>
  <c r="C22" i="29" s="1"/>
  <c r="B45" i="29" s="1"/>
  <c r="D47" i="28"/>
  <c r="D48" i="28"/>
  <c r="D62" i="28" s="1"/>
  <c r="C71" i="28"/>
  <c r="C72" i="28"/>
  <c r="C73" i="28"/>
  <c r="C74" i="28"/>
  <c r="C83" i="28"/>
  <c r="C77" i="28"/>
  <c r="C78" i="28"/>
  <c r="C79" i="28"/>
  <c r="C80" i="28"/>
  <c r="C70" i="28"/>
  <c r="B71" i="28"/>
  <c r="B72" i="28"/>
  <c r="B73" i="28"/>
  <c r="B74" i="28"/>
  <c r="B83" i="28"/>
  <c r="B77" i="28"/>
  <c r="B78" i="28"/>
  <c r="B79" i="28"/>
  <c r="B80" i="28"/>
  <c r="B70" i="28"/>
  <c r="D113" i="54" l="1"/>
  <c r="D132" i="54" s="1"/>
  <c r="D137" i="54" s="1"/>
  <c r="B157" i="29"/>
  <c r="B165" i="29" s="1"/>
  <c r="B166" i="29" s="1"/>
  <c r="B167" i="29" s="1"/>
  <c r="B169" i="29" s="1"/>
  <c r="D82" i="52"/>
  <c r="I30" i="52" s="1"/>
  <c r="D81" i="52"/>
  <c r="I29" i="52" s="1"/>
  <c r="D114" i="54"/>
  <c r="D133" i="54" s="1"/>
  <c r="M133" i="54" s="1"/>
  <c r="K56" i="50" s="1"/>
  <c r="B47" i="29"/>
  <c r="C37" i="29"/>
  <c r="D157" i="29" s="1"/>
  <c r="B97" i="28"/>
  <c r="B76" i="28"/>
  <c r="B75" i="28"/>
  <c r="C97" i="28"/>
  <c r="C76" i="28"/>
  <c r="C75" i="28"/>
  <c r="C99" i="28"/>
  <c r="B58" i="28"/>
  <c r="B91" i="28" s="1"/>
  <c r="B59" i="28"/>
  <c r="B92" i="28" s="1"/>
  <c r="B60" i="28"/>
  <c r="B93" i="28" s="1"/>
  <c r="B63" i="28"/>
  <c r="B96" i="28" s="1"/>
  <c r="B65" i="28"/>
  <c r="B98" i="28" s="1"/>
  <c r="B99" i="28"/>
  <c r="B56" i="28"/>
  <c r="C45" i="28"/>
  <c r="C59" i="28" s="1"/>
  <c r="C46" i="28"/>
  <c r="D46" i="28" s="1"/>
  <c r="C63" i="28"/>
  <c r="C51" i="28"/>
  <c r="C65" i="28" s="1"/>
  <c r="C44" i="28"/>
  <c r="D44" i="28" s="1"/>
  <c r="C42" i="28"/>
  <c r="C56" i="28" s="1"/>
  <c r="B61" i="28"/>
  <c r="E174" i="29" l="1"/>
  <c r="M7" i="73" s="1"/>
  <c r="E177" i="29"/>
  <c r="M10" i="73" s="1"/>
  <c r="E178" i="29"/>
  <c r="M11" i="73" s="1"/>
  <c r="E179" i="29"/>
  <c r="M12" i="73" s="1"/>
  <c r="B146" i="29" s="1"/>
  <c r="E175" i="29"/>
  <c r="M8" i="73" s="1"/>
  <c r="E176" i="29"/>
  <c r="M9" i="73" s="1"/>
  <c r="B23" i="73" s="1"/>
  <c r="D165" i="29"/>
  <c r="D166" i="29" s="1"/>
  <c r="D167" i="29" s="1"/>
  <c r="D169" i="29" s="1"/>
  <c r="D138" i="54"/>
  <c r="D139" i="54" s="1"/>
  <c r="B13" i="62" s="1"/>
  <c r="E81" i="28"/>
  <c r="E74" i="28" s="1"/>
  <c r="B94" i="28"/>
  <c r="C113" i="54"/>
  <c r="C132" i="54" s="1"/>
  <c r="C137" i="54" s="1"/>
  <c r="C114" i="54"/>
  <c r="C133" i="54" s="1"/>
  <c r="C138" i="54" s="1"/>
  <c r="C81" i="52"/>
  <c r="G29" i="52" s="1"/>
  <c r="C82" i="52"/>
  <c r="G30" i="52" s="1"/>
  <c r="E73" i="28"/>
  <c r="E77" i="28"/>
  <c r="E78" i="28"/>
  <c r="E79" i="28"/>
  <c r="C95" i="28"/>
  <c r="B95" i="28"/>
  <c r="F81" i="28"/>
  <c r="F75" i="28" s="1"/>
  <c r="E61" i="28"/>
  <c r="E63" i="28"/>
  <c r="C96" i="28" s="1"/>
  <c r="C60" i="28"/>
  <c r="D42" i="28"/>
  <c r="E42" i="28" s="1"/>
  <c r="E56" i="28" s="1"/>
  <c r="C58" i="28"/>
  <c r="E46" i="28"/>
  <c r="E60" i="28" s="1"/>
  <c r="C93" i="28" s="1"/>
  <c r="D60" i="28"/>
  <c r="E44" i="28"/>
  <c r="E58" i="28" s="1"/>
  <c r="D58" i="28"/>
  <c r="D45" i="28"/>
  <c r="D51" i="28"/>
  <c r="D36" i="26"/>
  <c r="C36" i="26"/>
  <c r="F20" i="27"/>
  <c r="F19" i="27"/>
  <c r="F18" i="27"/>
  <c r="F17" i="27"/>
  <c r="D13" i="27"/>
  <c r="C13" i="27"/>
  <c r="C11" i="27"/>
  <c r="B36" i="27"/>
  <c r="B35" i="27"/>
  <c r="D11" i="27"/>
  <c r="L392" i="1" l="1"/>
  <c r="L393" i="1" s="1"/>
  <c r="L395" i="1" s="1"/>
  <c r="K392" i="1"/>
  <c r="D141" i="54"/>
  <c r="C14" i="50" s="1"/>
  <c r="C141" i="54"/>
  <c r="B14" i="50" s="1"/>
  <c r="C139" i="54"/>
  <c r="F76" i="28"/>
  <c r="B101" i="52"/>
  <c r="I122" i="52" s="1"/>
  <c r="K30" i="52"/>
  <c r="L30" i="52" s="1"/>
  <c r="C101" i="52" s="1"/>
  <c r="B100" i="52"/>
  <c r="B105" i="52" s="1"/>
  <c r="K29" i="52"/>
  <c r="L29" i="52" s="1"/>
  <c r="C100" i="52" s="1"/>
  <c r="C105" i="52" s="1"/>
  <c r="E75" i="28"/>
  <c r="E80" i="28"/>
  <c r="E76" i="28"/>
  <c r="F73" i="28"/>
  <c r="F77" i="28"/>
  <c r="F80" i="28"/>
  <c r="F78" i="28"/>
  <c r="F74" i="28"/>
  <c r="F79" i="28"/>
  <c r="C61" i="28"/>
  <c r="C94" i="28" s="1"/>
  <c r="D56" i="28"/>
  <c r="D61" i="28"/>
  <c r="D63" i="28"/>
  <c r="E45" i="28"/>
  <c r="E59" i="28" s="1"/>
  <c r="C92" i="28" s="1"/>
  <c r="D59" i="28"/>
  <c r="D65" i="28"/>
  <c r="E51" i="28"/>
  <c r="E65" i="28" s="1"/>
  <c r="C98" i="28" s="1"/>
  <c r="I14" i="26"/>
  <c r="I15" i="26"/>
  <c r="I13" i="26"/>
  <c r="F15" i="26"/>
  <c r="I31" i="26" s="1"/>
  <c r="H123" i="52" s="1"/>
  <c r="G184" i="52" s="1"/>
  <c r="F14" i="26"/>
  <c r="F13" i="26"/>
  <c r="L164" i="12" l="1"/>
  <c r="L166" i="12"/>
  <c r="L165" i="12"/>
  <c r="L163" i="12"/>
  <c r="L167" i="12"/>
  <c r="J122" i="52"/>
  <c r="C106" i="52"/>
  <c r="C107" i="52" s="1"/>
  <c r="B14" i="62" s="1"/>
  <c r="D14" i="62" s="1"/>
  <c r="L104" i="52"/>
  <c r="K65" i="50" s="1"/>
  <c r="B106" i="52"/>
  <c r="B107" i="52" s="1"/>
  <c r="K104" i="52"/>
  <c r="J65" i="50" s="1"/>
  <c r="B103" i="28"/>
  <c r="C103" i="28"/>
  <c r="K14" i="26"/>
  <c r="C25" i="26"/>
  <c r="B4" i="27"/>
  <c r="F36" i="26"/>
  <c r="I36" i="26" s="1"/>
  <c r="B6" i="27"/>
  <c r="B29" i="27" s="1"/>
  <c r="I27" i="26"/>
  <c r="I28" i="26"/>
  <c r="I26" i="26"/>
  <c r="I25" i="26"/>
  <c r="B5" i="27"/>
  <c r="B27" i="27" s="1"/>
  <c r="E31" i="26"/>
  <c r="G123" i="52" s="1"/>
  <c r="G173" i="52" s="1"/>
  <c r="E28" i="26"/>
  <c r="E27" i="26"/>
  <c r="E26" i="26"/>
  <c r="E25" i="26"/>
  <c r="E36" i="26"/>
  <c r="H36" i="26" s="1"/>
  <c r="B72" i="26" s="1"/>
  <c r="K13" i="26"/>
  <c r="K27" i="26" l="1"/>
  <c r="B30" i="27"/>
  <c r="H93" i="52"/>
  <c r="B15" i="50" s="1"/>
  <c r="I93" i="52"/>
  <c r="C15" i="50" s="1"/>
  <c r="G102" i="26"/>
  <c r="G120" i="52"/>
  <c r="G170" i="52" s="1"/>
  <c r="G101" i="26"/>
  <c r="G119" i="52"/>
  <c r="G171" i="52" s="1"/>
  <c r="H103" i="26"/>
  <c r="H121" i="52"/>
  <c r="H101" i="26"/>
  <c r="H119" i="52"/>
  <c r="G182" i="52" s="1"/>
  <c r="G103" i="26"/>
  <c r="G121" i="52"/>
  <c r="H102" i="26"/>
  <c r="H120" i="52"/>
  <c r="G180" i="52" s="1"/>
  <c r="G105" i="26"/>
  <c r="B37" i="27"/>
  <c r="B39" i="27" s="1"/>
  <c r="E22" i="26" s="1"/>
  <c r="E27" i="27"/>
  <c r="C27" i="27"/>
  <c r="D27" i="27"/>
  <c r="C29" i="27"/>
  <c r="B38" i="27"/>
  <c r="B25" i="27"/>
  <c r="B28" i="27" s="1"/>
  <c r="D25" i="27"/>
  <c r="E25" i="27"/>
  <c r="C25" i="27"/>
  <c r="H122" i="52" l="1"/>
  <c r="Q121" i="52"/>
  <c r="G100" i="26"/>
  <c r="G118" i="52"/>
  <c r="G122" i="52"/>
  <c r="P121" i="52"/>
  <c r="B40" i="27"/>
  <c r="I22" i="26" s="1"/>
  <c r="I20" i="26"/>
  <c r="E20" i="26"/>
  <c r="G168" i="52" l="1"/>
  <c r="I168" i="52" s="1"/>
  <c r="K168" i="52" s="1"/>
  <c r="H100" i="26"/>
  <c r="H118" i="52"/>
  <c r="G172" i="52"/>
  <c r="P122" i="52"/>
  <c r="H172" i="52" s="1"/>
  <c r="G183" i="52"/>
  <c r="Q122" i="52"/>
  <c r="H183" i="52" s="1"/>
  <c r="G99" i="26"/>
  <c r="G117" i="52"/>
  <c r="H99" i="26"/>
  <c r="H117" i="52"/>
  <c r="G181" i="52" s="1"/>
  <c r="B74" i="26"/>
  <c r="B75" i="26" s="1"/>
  <c r="C75" i="26" s="1"/>
  <c r="B73" i="26"/>
  <c r="C59" i="26"/>
  <c r="B59" i="26"/>
  <c r="E52" i="26"/>
  <c r="E51" i="26"/>
  <c r="E50" i="26"/>
  <c r="E49" i="26"/>
  <c r="E48" i="26"/>
  <c r="E47" i="26"/>
  <c r="E45" i="26"/>
  <c r="E44" i="26"/>
  <c r="E43" i="26"/>
  <c r="F22" i="26" s="1"/>
  <c r="E40" i="26"/>
  <c r="H105" i="26"/>
  <c r="O28" i="26"/>
  <c r="N26" i="26"/>
  <c r="O25" i="26"/>
  <c r="R24" i="26"/>
  <c r="N23" i="26"/>
  <c r="O23" i="26" s="1"/>
  <c r="H23" i="26"/>
  <c r="D23" i="26"/>
  <c r="C23" i="26"/>
  <c r="B23" i="26"/>
  <c r="R22" i="26"/>
  <c r="O22" i="26"/>
  <c r="I23" i="26"/>
  <c r="R21" i="26"/>
  <c r="R20" i="26"/>
  <c r="D61" i="25"/>
  <c r="D62" i="25"/>
  <c r="D63" i="25"/>
  <c r="D64" i="25"/>
  <c r="D65" i="25"/>
  <c r="D66" i="25"/>
  <c r="C62" i="25"/>
  <c r="C63" i="25"/>
  <c r="C79" i="25" s="1"/>
  <c r="D79" i="25" s="1"/>
  <c r="C64" i="25"/>
  <c r="C66" i="25"/>
  <c r="C61" i="25"/>
  <c r="C60" i="25"/>
  <c r="C76" i="25" s="1"/>
  <c r="C87" i="25" s="1"/>
  <c r="B40" i="25"/>
  <c r="B43" i="25"/>
  <c r="B44" i="25"/>
  <c r="B33" i="25"/>
  <c r="B42" i="25" s="1"/>
  <c r="B32" i="25"/>
  <c r="B41" i="25" s="1"/>
  <c r="J22" i="26" l="1"/>
  <c r="J23" i="26" s="1"/>
  <c r="J25" i="26"/>
  <c r="F25" i="26"/>
  <c r="O26" i="26"/>
  <c r="J26" i="26" s="1"/>
  <c r="F26" i="26"/>
  <c r="G26" i="26" s="1"/>
  <c r="B97" i="26" s="1"/>
  <c r="R25" i="26"/>
  <c r="R26" i="26" s="1"/>
  <c r="F23" i="26"/>
  <c r="F31" i="26"/>
  <c r="G31" i="26" s="1"/>
  <c r="L31" i="26" s="1"/>
  <c r="C104" i="26" s="1"/>
  <c r="J31" i="26"/>
  <c r="C80" i="25"/>
  <c r="K285" i="52"/>
  <c r="K293" i="52"/>
  <c r="K279" i="52"/>
  <c r="K286" i="52"/>
  <c r="K294" i="52"/>
  <c r="K287" i="52"/>
  <c r="K295" i="52"/>
  <c r="J172" i="52"/>
  <c r="L172" i="52" s="1"/>
  <c r="K280" i="52"/>
  <c r="K288" i="52"/>
  <c r="K296" i="52"/>
  <c r="K282" i="52"/>
  <c r="K290" i="52"/>
  <c r="K298" i="52"/>
  <c r="K284" i="52"/>
  <c r="K289" i="52"/>
  <c r="K291" i="52"/>
  <c r="K292" i="52"/>
  <c r="K297" i="52"/>
  <c r="K299" i="52"/>
  <c r="K281" i="52"/>
  <c r="K300" i="52"/>
  <c r="K283" i="52"/>
  <c r="S364" i="52"/>
  <c r="S372" i="52"/>
  <c r="S380" i="52"/>
  <c r="S388" i="52"/>
  <c r="S396" i="52"/>
  <c r="S404" i="52"/>
  <c r="S412" i="52"/>
  <c r="S365" i="52"/>
  <c r="S373" i="52"/>
  <c r="S381" i="52"/>
  <c r="S389" i="52"/>
  <c r="S397" i="52"/>
  <c r="S405" i="52"/>
  <c r="S413" i="52"/>
  <c r="S358" i="52"/>
  <c r="S366" i="52"/>
  <c r="S374" i="52"/>
  <c r="S382" i="52"/>
  <c r="S390" i="52"/>
  <c r="S398" i="52"/>
  <c r="S406" i="52"/>
  <c r="S414" i="52"/>
  <c r="S359" i="52"/>
  <c r="S367" i="52"/>
  <c r="S375" i="52"/>
  <c r="S383" i="52"/>
  <c r="S391" i="52"/>
  <c r="S399" i="52"/>
  <c r="S407" i="52"/>
  <c r="S415" i="52"/>
  <c r="J183" i="52"/>
  <c r="S360" i="52"/>
  <c r="S368" i="52"/>
  <c r="S376" i="52"/>
  <c r="S384" i="52"/>
  <c r="S392" i="52"/>
  <c r="S400" i="52"/>
  <c r="S408" i="52"/>
  <c r="S416" i="52"/>
  <c r="S361" i="52"/>
  <c r="S369" i="52"/>
  <c r="S377" i="52"/>
  <c r="S385" i="52"/>
  <c r="S393" i="52"/>
  <c r="S401" i="52"/>
  <c r="S409" i="52"/>
  <c r="S417" i="52"/>
  <c r="S362" i="52"/>
  <c r="S370" i="52"/>
  <c r="S378" i="52"/>
  <c r="S386" i="52"/>
  <c r="S394" i="52"/>
  <c r="S402" i="52"/>
  <c r="S410" i="52"/>
  <c r="S357" i="52"/>
  <c r="S363" i="52"/>
  <c r="S371" i="52"/>
  <c r="S379" i="52"/>
  <c r="S387" i="52"/>
  <c r="S395" i="52"/>
  <c r="S403" i="52"/>
  <c r="S411" i="52"/>
  <c r="G179" i="52"/>
  <c r="I179" i="52" s="1"/>
  <c r="G169" i="52"/>
  <c r="I169" i="52" s="1"/>
  <c r="C193" i="17"/>
  <c r="C199" i="17" s="1"/>
  <c r="K31" i="26"/>
  <c r="G22" i="26"/>
  <c r="B93" i="26" s="1"/>
  <c r="G60" i="26"/>
  <c r="S21" i="26" s="1"/>
  <c r="G61" i="26"/>
  <c r="G62" i="26"/>
  <c r="S22" i="26" s="1"/>
  <c r="K23" i="26"/>
  <c r="G59" i="26"/>
  <c r="S20" i="26" s="1"/>
  <c r="C72" i="26"/>
  <c r="K15" i="26"/>
  <c r="B77" i="26"/>
  <c r="G27" i="26"/>
  <c r="E23" i="26"/>
  <c r="C74" i="26"/>
  <c r="G64" i="26"/>
  <c r="S24" i="26" s="1"/>
  <c r="B98" i="26" l="1"/>
  <c r="L27" i="26"/>
  <c r="C98" i="26" s="1"/>
  <c r="G23" i="26"/>
  <c r="B94" i="26" s="1"/>
  <c r="K179" i="52"/>
  <c r="I180" i="52"/>
  <c r="I170" i="52"/>
  <c r="K169" i="52"/>
  <c r="I118" i="26"/>
  <c r="I121" i="26"/>
  <c r="K102" i="26"/>
  <c r="J43" i="50" s="1"/>
  <c r="I120" i="26"/>
  <c r="B104" i="26"/>
  <c r="I123" i="26" s="1"/>
  <c r="J123" i="26"/>
  <c r="K100" i="26"/>
  <c r="J41" i="50" s="1"/>
  <c r="K103" i="26"/>
  <c r="J44" i="50" s="1"/>
  <c r="C82" i="26"/>
  <c r="G30" i="26" s="1"/>
  <c r="B101" i="26" s="1"/>
  <c r="C86" i="26"/>
  <c r="B103" i="26" s="1"/>
  <c r="K22" i="26"/>
  <c r="L22" i="26" s="1"/>
  <c r="C93" i="26" s="1"/>
  <c r="S25" i="26"/>
  <c r="K25" i="26"/>
  <c r="K26" i="26"/>
  <c r="L26" i="26" s="1"/>
  <c r="C97" i="26" s="1"/>
  <c r="G25" i="26"/>
  <c r="B96" i="26" s="1"/>
  <c r="J36" i="26"/>
  <c r="B76" i="26"/>
  <c r="C85" i="26" s="1"/>
  <c r="B102" i="26" s="1"/>
  <c r="C76" i="26"/>
  <c r="C77" i="26"/>
  <c r="J20" i="26" l="1"/>
  <c r="K20" i="26" s="1"/>
  <c r="L23" i="26"/>
  <c r="C94" i="26" s="1"/>
  <c r="J118" i="26" s="1"/>
  <c r="K180" i="52"/>
  <c r="I181" i="52"/>
  <c r="I171" i="52"/>
  <c r="K170" i="52"/>
  <c r="F20" i="26"/>
  <c r="G20" i="26" s="1"/>
  <c r="B91" i="26" s="1"/>
  <c r="I117" i="26" s="1"/>
  <c r="I122" i="26"/>
  <c r="L102" i="26"/>
  <c r="K43" i="50" s="1"/>
  <c r="J120" i="26"/>
  <c r="J121" i="26"/>
  <c r="K101" i="26"/>
  <c r="J42" i="50" s="1"/>
  <c r="I119" i="26"/>
  <c r="L100" i="26"/>
  <c r="K41" i="50" s="1"/>
  <c r="H111" i="26"/>
  <c r="H112" i="26" s="1"/>
  <c r="C80" i="48" s="1"/>
  <c r="L105" i="26"/>
  <c r="K46" i="50" s="1"/>
  <c r="K104" i="26"/>
  <c r="J45" i="50" s="1"/>
  <c r="G111" i="26"/>
  <c r="G112" i="26" s="1"/>
  <c r="B80" i="48" s="1"/>
  <c r="K105" i="26"/>
  <c r="J46" i="50" s="1"/>
  <c r="L103" i="26"/>
  <c r="K44" i="50" s="1"/>
  <c r="D82" i="26"/>
  <c r="I30" i="26" s="1"/>
  <c r="K30" i="26" s="1"/>
  <c r="L30" i="26" s="1"/>
  <c r="C101" i="26" s="1"/>
  <c r="D86" i="26"/>
  <c r="C103" i="26" s="1"/>
  <c r="D81" i="26"/>
  <c r="I29" i="26" s="1"/>
  <c r="D85" i="26"/>
  <c r="C102" i="26" s="1"/>
  <c r="C81" i="26"/>
  <c r="G29" i="26" s="1"/>
  <c r="B100" i="26" s="1"/>
  <c r="L25" i="26"/>
  <c r="C96" i="26" s="1"/>
  <c r="K181" i="52" l="1"/>
  <c r="I182" i="52"/>
  <c r="I172" i="52"/>
  <c r="K171" i="52"/>
  <c r="L104" i="26"/>
  <c r="K45" i="50" s="1"/>
  <c r="L101" i="26"/>
  <c r="K42" i="50" s="1"/>
  <c r="J119" i="26"/>
  <c r="J122" i="26"/>
  <c r="K99" i="26"/>
  <c r="B106" i="26"/>
  <c r="J40" i="50"/>
  <c r="C140" i="17" s="1"/>
  <c r="B105" i="26"/>
  <c r="K29" i="26"/>
  <c r="L29" i="26" s="1"/>
  <c r="C100" i="26" s="1"/>
  <c r="L20" i="26"/>
  <c r="C91" i="26" s="1"/>
  <c r="H93" i="26" l="1"/>
  <c r="B10" i="50" s="1"/>
  <c r="B107" i="26"/>
  <c r="J117" i="26"/>
  <c r="K182" i="52"/>
  <c r="I183" i="52"/>
  <c r="I173" i="52"/>
  <c r="K173" i="52" s="1"/>
  <c r="K172" i="52"/>
  <c r="C106" i="26"/>
  <c r="C125" i="25"/>
  <c r="B104" i="25"/>
  <c r="B105" i="25" s="1"/>
  <c r="C105" i="25" s="1"/>
  <c r="B102" i="25"/>
  <c r="C75" i="25"/>
  <c r="D75" i="25" s="1"/>
  <c r="C71" i="25"/>
  <c r="C81" i="25" s="1"/>
  <c r="C70" i="25"/>
  <c r="C82" i="25"/>
  <c r="D82" i="25" s="1"/>
  <c r="D80" i="25"/>
  <c r="C78" i="25"/>
  <c r="D78" i="25" s="1"/>
  <c r="C77" i="25"/>
  <c r="D57" i="25"/>
  <c r="D67" i="25" s="1"/>
  <c r="C57" i="25"/>
  <c r="C67" i="25" s="1"/>
  <c r="D26" i="25"/>
  <c r="B26" i="25"/>
  <c r="I93" i="26" l="1"/>
  <c r="C10" i="50" s="1"/>
  <c r="C107" i="26"/>
  <c r="B10" i="62" s="1"/>
  <c r="D10" i="62" s="1"/>
  <c r="C105" i="26"/>
  <c r="L99" i="26"/>
  <c r="K40" i="50" s="1"/>
  <c r="K183" i="52"/>
  <c r="I184" i="52"/>
  <c r="K184" i="52" s="1"/>
  <c r="D76" i="25"/>
  <c r="D87" i="25" s="1"/>
  <c r="D123" i="25" s="1"/>
  <c r="D77" i="25"/>
  <c r="C104" i="25"/>
  <c r="B36" i="25"/>
  <c r="B45" i="25" s="1"/>
  <c r="C128" i="25"/>
  <c r="D81" i="25"/>
  <c r="C83" i="25"/>
  <c r="C26" i="25"/>
  <c r="C157" i="23"/>
  <c r="B157" i="23"/>
  <c r="C153" i="23"/>
  <c r="B153" i="23"/>
  <c r="C150" i="23"/>
  <c r="B150" i="23"/>
  <c r="C138" i="23"/>
  <c r="B138" i="23"/>
  <c r="C134" i="23"/>
  <c r="B134" i="23"/>
  <c r="C131" i="23"/>
  <c r="B131" i="23"/>
  <c r="B114" i="23"/>
  <c r="B115" i="23" s="1"/>
  <c r="C115" i="23" s="1"/>
  <c r="B113" i="23"/>
  <c r="B96" i="23"/>
  <c r="C96" i="23" s="1"/>
  <c r="B95" i="23"/>
  <c r="C82" i="23"/>
  <c r="B82" i="23"/>
  <c r="G81" i="23"/>
  <c r="F50" i="23" s="1"/>
  <c r="E75" i="23"/>
  <c r="F31" i="23" s="1"/>
  <c r="E74" i="23"/>
  <c r="E73" i="23"/>
  <c r="E72" i="23"/>
  <c r="E71" i="23"/>
  <c r="E68" i="23"/>
  <c r="E67" i="23"/>
  <c r="F22" i="23" s="1"/>
  <c r="E63" i="23"/>
  <c r="G59" i="23"/>
  <c r="D59" i="23"/>
  <c r="C59" i="23"/>
  <c r="D58" i="23"/>
  <c r="C58" i="23"/>
  <c r="O54" i="23"/>
  <c r="O51" i="23"/>
  <c r="N49" i="23"/>
  <c r="F49" i="23" s="1"/>
  <c r="O48" i="23"/>
  <c r="O49" i="23" s="1"/>
  <c r="J49" i="23" s="1"/>
  <c r="O46" i="23"/>
  <c r="H46" i="23"/>
  <c r="D46" i="23"/>
  <c r="C46" i="23"/>
  <c r="B46" i="23"/>
  <c r="I38" i="23"/>
  <c r="F38" i="23"/>
  <c r="I37" i="23"/>
  <c r="F37" i="23"/>
  <c r="I36" i="23"/>
  <c r="F36" i="23"/>
  <c r="O28" i="23"/>
  <c r="N26" i="23"/>
  <c r="O25" i="23"/>
  <c r="R23" i="23"/>
  <c r="O23" i="23"/>
  <c r="H23" i="23"/>
  <c r="D23" i="23"/>
  <c r="C23" i="23"/>
  <c r="B23" i="23"/>
  <c r="R22" i="23"/>
  <c r="O22" i="23"/>
  <c r="R21" i="23"/>
  <c r="R20" i="23"/>
  <c r="I31" i="23"/>
  <c r="H142" i="23" s="1"/>
  <c r="F14" i="23"/>
  <c r="D11" i="24"/>
  <c r="C11" i="24"/>
  <c r="E31" i="23" l="1"/>
  <c r="G142" i="23" s="1"/>
  <c r="F45" i="23"/>
  <c r="J45" i="23" s="1"/>
  <c r="J46" i="23" s="1"/>
  <c r="F23" i="23"/>
  <c r="J22" i="23"/>
  <c r="J23" i="23" s="1"/>
  <c r="O26" i="23"/>
  <c r="J26" i="23" s="1"/>
  <c r="F26" i="23"/>
  <c r="F54" i="23"/>
  <c r="F25" i="23"/>
  <c r="J48" i="23"/>
  <c r="F48" i="23"/>
  <c r="J25" i="23"/>
  <c r="J31" i="23"/>
  <c r="E54" i="23"/>
  <c r="G162" i="23" s="1"/>
  <c r="C5" i="24"/>
  <c r="C33" i="24" s="1"/>
  <c r="C48" i="23"/>
  <c r="C4" i="24"/>
  <c r="E50" i="24" s="1"/>
  <c r="E58" i="23"/>
  <c r="H58" i="23" s="1"/>
  <c r="B94" i="23" s="1"/>
  <c r="B98" i="23" s="1"/>
  <c r="B5" i="24"/>
  <c r="B4" i="24"/>
  <c r="I54" i="23"/>
  <c r="H162" i="23" s="1"/>
  <c r="C6" i="24"/>
  <c r="C35" i="24" s="1"/>
  <c r="I27" i="23"/>
  <c r="H140" i="23" s="1"/>
  <c r="B6" i="24"/>
  <c r="B64" i="24" s="1"/>
  <c r="B63" i="24" s="1"/>
  <c r="B65" i="24" s="1"/>
  <c r="J54" i="23"/>
  <c r="E59" i="23"/>
  <c r="H59" i="23" s="1"/>
  <c r="B112" i="23" s="1"/>
  <c r="B117" i="23" s="1"/>
  <c r="C114" i="23"/>
  <c r="B97" i="23"/>
  <c r="C97" i="23" s="1"/>
  <c r="E26" i="23"/>
  <c r="G139" i="23" s="1"/>
  <c r="D83" i="25"/>
  <c r="I26" i="23"/>
  <c r="H139" i="23" s="1"/>
  <c r="F58" i="23"/>
  <c r="I58" i="23" s="1"/>
  <c r="C94" i="23" s="1"/>
  <c r="R24" i="23"/>
  <c r="G83" i="23"/>
  <c r="S21" i="23" s="1"/>
  <c r="J27" i="23"/>
  <c r="J50" i="23"/>
  <c r="F27" i="23"/>
  <c r="I51" i="23"/>
  <c r="E25" i="23"/>
  <c r="G138" i="23" s="1"/>
  <c r="E48" i="23"/>
  <c r="G158" i="23" s="1"/>
  <c r="E49" i="23"/>
  <c r="G159" i="23" s="1"/>
  <c r="E50" i="23"/>
  <c r="G160" i="23" s="1"/>
  <c r="E51" i="23"/>
  <c r="G82" i="23"/>
  <c r="S20" i="23" s="1"/>
  <c r="I25" i="23"/>
  <c r="H138" i="23" s="1"/>
  <c r="E27" i="23"/>
  <c r="G140" i="23" s="1"/>
  <c r="N174" i="23" s="1"/>
  <c r="E28" i="23"/>
  <c r="I48" i="23"/>
  <c r="H158" i="23" s="1"/>
  <c r="I49" i="23"/>
  <c r="H159" i="23" s="1"/>
  <c r="G84" i="23"/>
  <c r="I28" i="23"/>
  <c r="I50" i="23"/>
  <c r="H160" i="23" s="1"/>
  <c r="G85" i="23"/>
  <c r="S22" i="23" s="1"/>
  <c r="G86" i="23"/>
  <c r="S23" i="23" s="1"/>
  <c r="F59" i="23"/>
  <c r="I59" i="23" s="1"/>
  <c r="G31" i="23"/>
  <c r="C123" i="22"/>
  <c r="B102" i="22"/>
  <c r="C102" i="22" s="1"/>
  <c r="B100" i="22"/>
  <c r="C73" i="22"/>
  <c r="D73" i="22" s="1"/>
  <c r="C70" i="22"/>
  <c r="C69" i="22"/>
  <c r="D65" i="22"/>
  <c r="C65" i="22"/>
  <c r="C80" i="22" s="1"/>
  <c r="D80" i="22" s="1"/>
  <c r="D64" i="22"/>
  <c r="C64" i="22"/>
  <c r="D63" i="22"/>
  <c r="C63" i="22"/>
  <c r="C78" i="22" s="1"/>
  <c r="D78" i="22" s="1"/>
  <c r="D62" i="22"/>
  <c r="C62" i="22"/>
  <c r="C77" i="22" s="1"/>
  <c r="D61" i="22"/>
  <c r="C61" i="22"/>
  <c r="C76" i="22" s="1"/>
  <c r="D76" i="22" s="1"/>
  <c r="D60" i="22"/>
  <c r="C60" i="22"/>
  <c r="C75" i="22" s="1"/>
  <c r="D75" i="22" s="1"/>
  <c r="D59" i="22"/>
  <c r="C59" i="22"/>
  <c r="C74" i="22" s="1"/>
  <c r="D74" i="22" s="1"/>
  <c r="D56" i="22"/>
  <c r="D66" i="22" s="1"/>
  <c r="C56" i="22"/>
  <c r="C66" i="22" s="1"/>
  <c r="D34" i="22"/>
  <c r="C34" i="22"/>
  <c r="D33" i="22"/>
  <c r="D42" i="22" s="1"/>
  <c r="D32" i="22"/>
  <c r="D31" i="22"/>
  <c r="D40" i="22" s="1"/>
  <c r="C31" i="22"/>
  <c r="C40" i="22" s="1"/>
  <c r="B31" i="22"/>
  <c r="C30" i="22"/>
  <c r="C39" i="22" s="1"/>
  <c r="D29" i="22"/>
  <c r="D38" i="22" s="1"/>
  <c r="C29" i="22"/>
  <c r="C38" i="22" s="1"/>
  <c r="D25" i="22"/>
  <c r="C23" i="22"/>
  <c r="C7" i="51" s="1"/>
  <c r="C22" i="22"/>
  <c r="B19" i="22"/>
  <c r="I121" i="22" l="1"/>
  <c r="I127" i="22"/>
  <c r="H122" i="22"/>
  <c r="F46" i="23"/>
  <c r="S24" i="23"/>
  <c r="D41" i="24"/>
  <c r="B24" i="24"/>
  <c r="B33" i="24"/>
  <c r="C26" i="24"/>
  <c r="B26" i="24"/>
  <c r="B28" i="24"/>
  <c r="B45" i="24"/>
  <c r="E22" i="23"/>
  <c r="G22" i="23" s="1"/>
  <c r="B132" i="23" s="1"/>
  <c r="G54" i="23"/>
  <c r="B162" i="23" s="1"/>
  <c r="I224" i="23" s="1"/>
  <c r="H161" i="23"/>
  <c r="O223" i="23" s="1"/>
  <c r="O222" i="23"/>
  <c r="G161" i="23"/>
  <c r="N223" i="23" s="1"/>
  <c r="N222" i="23"/>
  <c r="B116" i="23"/>
  <c r="C124" i="23" s="1"/>
  <c r="B160" i="23" s="1"/>
  <c r="B193" i="17"/>
  <c r="B199" i="17" s="1"/>
  <c r="K199" i="17" s="1"/>
  <c r="O174" i="23"/>
  <c r="K54" i="23"/>
  <c r="I122" i="22"/>
  <c r="I124" i="22"/>
  <c r="I125" i="22"/>
  <c r="C85" i="22"/>
  <c r="D85" i="22" s="1"/>
  <c r="D121" i="22" s="1"/>
  <c r="H121" i="22"/>
  <c r="B35" i="24"/>
  <c r="D50" i="24"/>
  <c r="B50" i="24"/>
  <c r="C31" i="24"/>
  <c r="C45" i="24"/>
  <c r="C54" i="24"/>
  <c r="E31" i="24"/>
  <c r="B31" i="24"/>
  <c r="B73" i="24"/>
  <c r="B72" i="24" s="1"/>
  <c r="B74" i="24" s="1"/>
  <c r="E45" i="23" s="1"/>
  <c r="G45" i="23" s="1"/>
  <c r="C50" i="24"/>
  <c r="D31" i="24"/>
  <c r="B54" i="24"/>
  <c r="C24" i="24"/>
  <c r="B25" i="22"/>
  <c r="B3" i="51"/>
  <c r="E24" i="24"/>
  <c r="D24" i="24"/>
  <c r="C41" i="24"/>
  <c r="B41" i="24"/>
  <c r="C28" i="24"/>
  <c r="C32" i="22"/>
  <c r="C41" i="22" s="1"/>
  <c r="H126" i="22" s="1"/>
  <c r="C6" i="51"/>
  <c r="E41" i="24"/>
  <c r="J58" i="23"/>
  <c r="G49" i="23"/>
  <c r="B155" i="23" s="1"/>
  <c r="I221" i="23" s="1"/>
  <c r="C121" i="23"/>
  <c r="G53" i="23" s="1"/>
  <c r="B159" i="23" s="1"/>
  <c r="C125" i="23"/>
  <c r="B161" i="23" s="1"/>
  <c r="G26" i="23"/>
  <c r="B136" i="23" s="1"/>
  <c r="C103" i="23"/>
  <c r="G29" i="23" s="1"/>
  <c r="B139" i="23" s="1"/>
  <c r="C107" i="23"/>
  <c r="B141" i="23" s="1"/>
  <c r="K26" i="23"/>
  <c r="K48" i="23"/>
  <c r="C79" i="22"/>
  <c r="C81" i="22" s="1"/>
  <c r="D81" i="22" s="1"/>
  <c r="B103" i="22"/>
  <c r="C103" i="22" s="1"/>
  <c r="C25" i="22"/>
  <c r="B29" i="22"/>
  <c r="B38" i="22" s="1"/>
  <c r="C84" i="22" s="1"/>
  <c r="C98" i="22"/>
  <c r="C104" i="22" s="1"/>
  <c r="D87" i="22"/>
  <c r="D123" i="22" s="1"/>
  <c r="D77" i="22"/>
  <c r="C33" i="22"/>
  <c r="C86" i="22"/>
  <c r="C122" i="22" s="1"/>
  <c r="K49" i="23"/>
  <c r="G25" i="23"/>
  <c r="B99" i="23"/>
  <c r="C108" i="23" s="1"/>
  <c r="B142" i="23" s="1"/>
  <c r="C123" i="25"/>
  <c r="C112" i="23"/>
  <c r="J59" i="23"/>
  <c r="B143" i="23"/>
  <c r="C98" i="23"/>
  <c r="D107" i="23" s="1"/>
  <c r="C141" i="23" s="1"/>
  <c r="C99" i="23"/>
  <c r="D108" i="23" s="1"/>
  <c r="C142" i="23" s="1"/>
  <c r="K50" i="23"/>
  <c r="K27" i="23"/>
  <c r="K25" i="23"/>
  <c r="G48" i="23"/>
  <c r="K31" i="23"/>
  <c r="L31" i="23" s="1"/>
  <c r="C143" i="23" s="1"/>
  <c r="G27" i="23"/>
  <c r="G50" i="23"/>
  <c r="D84" i="22"/>
  <c r="B40" i="22"/>
  <c r="C89" i="22" s="1"/>
  <c r="C125" i="22" s="1"/>
  <c r="D35" i="22"/>
  <c r="D44" i="22" s="1"/>
  <c r="B188" i="17" s="1"/>
  <c r="D43" i="22"/>
  <c r="I123" i="22" s="1"/>
  <c r="J175" i="23" l="1"/>
  <c r="P138" i="23"/>
  <c r="P139" i="23" s="1"/>
  <c r="I175" i="23"/>
  <c r="O138" i="23"/>
  <c r="O139" i="23" s="1"/>
  <c r="B27" i="24"/>
  <c r="D86" i="22"/>
  <c r="D122" i="22" s="1"/>
  <c r="D89" i="22"/>
  <c r="D125" i="22" s="1"/>
  <c r="C121" i="22"/>
  <c r="L121" i="22" s="1"/>
  <c r="J2" i="50" s="1"/>
  <c r="B133" i="17" s="1"/>
  <c r="F43" i="23"/>
  <c r="J20" i="23"/>
  <c r="F20" i="23"/>
  <c r="J43" i="23"/>
  <c r="B43" i="24"/>
  <c r="B44" i="24" s="1"/>
  <c r="B34" i="24"/>
  <c r="K193" i="17"/>
  <c r="C238" i="1" s="1"/>
  <c r="B66" i="24"/>
  <c r="I22" i="23" s="1"/>
  <c r="H137" i="23" s="1"/>
  <c r="M121" i="22"/>
  <c r="K2" i="50" s="1"/>
  <c r="C120" i="23"/>
  <c r="G52" i="23" s="1"/>
  <c r="B158" i="23" s="1"/>
  <c r="O158" i="23"/>
  <c r="O159" i="23" s="1"/>
  <c r="L54" i="23"/>
  <c r="C162" i="23" s="1"/>
  <c r="K162" i="23"/>
  <c r="J27" i="50" s="1"/>
  <c r="K159" i="23"/>
  <c r="J24" i="50" s="1"/>
  <c r="M125" i="22"/>
  <c r="K6" i="50" s="1"/>
  <c r="K139" i="23"/>
  <c r="J15" i="50" s="1"/>
  <c r="I172" i="23"/>
  <c r="H125" i="22"/>
  <c r="L125" i="22" s="1"/>
  <c r="J6" i="50" s="1"/>
  <c r="L122" i="22"/>
  <c r="J3" i="50" s="1"/>
  <c r="H132" i="22"/>
  <c r="H133" i="22" s="1"/>
  <c r="B74" i="48" s="1"/>
  <c r="H124" i="22"/>
  <c r="B52" i="24"/>
  <c r="B53" i="24" s="1"/>
  <c r="E43" i="23" s="1"/>
  <c r="G156" i="23" s="1"/>
  <c r="K142" i="23"/>
  <c r="J18" i="50" s="1"/>
  <c r="B194" i="17"/>
  <c r="L142" i="23"/>
  <c r="K18" i="50" s="1"/>
  <c r="L49" i="23"/>
  <c r="C155" i="23" s="1"/>
  <c r="C88" i="22"/>
  <c r="E46" i="23"/>
  <c r="G46" i="23" s="1"/>
  <c r="B152" i="23" s="1"/>
  <c r="G157" i="23"/>
  <c r="E23" i="23"/>
  <c r="G23" i="23" s="1"/>
  <c r="B133" i="23" s="1"/>
  <c r="I170" i="23" s="1"/>
  <c r="G137" i="23"/>
  <c r="M123" i="22"/>
  <c r="K4" i="50" s="1"/>
  <c r="B75" i="24"/>
  <c r="I45" i="23" s="1"/>
  <c r="B151" i="23"/>
  <c r="C99" i="22"/>
  <c r="D109" i="22"/>
  <c r="D128" i="22" s="1"/>
  <c r="D113" i="22"/>
  <c r="D130" i="22" s="1"/>
  <c r="C105" i="22"/>
  <c r="L26" i="23"/>
  <c r="C136" i="23" s="1"/>
  <c r="L25" i="23"/>
  <c r="C135" i="23" s="1"/>
  <c r="D104" i="23"/>
  <c r="I30" i="23" s="1"/>
  <c r="D103" i="23"/>
  <c r="I29" i="23" s="1"/>
  <c r="K29" i="23" s="1"/>
  <c r="L29" i="23" s="1"/>
  <c r="C139" i="23" s="1"/>
  <c r="B135" i="23"/>
  <c r="C104" i="23"/>
  <c r="G30" i="23" s="1"/>
  <c r="B140" i="23" s="1"/>
  <c r="D79" i="22"/>
  <c r="D90" i="22" s="1"/>
  <c r="D126" i="22" s="1"/>
  <c r="C90" i="22"/>
  <c r="C126" i="22" s="1"/>
  <c r="L126" i="22" s="1"/>
  <c r="J7" i="50" s="1"/>
  <c r="B35" i="22"/>
  <c r="B44" i="22" s="1"/>
  <c r="C42" i="22"/>
  <c r="B98" i="22"/>
  <c r="C35" i="22"/>
  <c r="C44" i="22" s="1"/>
  <c r="B137" i="23"/>
  <c r="I173" i="23" s="1"/>
  <c r="L27" i="23"/>
  <c r="L50" i="23"/>
  <c r="C156" i="23" s="1"/>
  <c r="B156" i="23"/>
  <c r="L48" i="23"/>
  <c r="C154" i="23" s="1"/>
  <c r="B154" i="23"/>
  <c r="C117" i="23"/>
  <c r="D125" i="23" s="1"/>
  <c r="C161" i="23" s="1"/>
  <c r="C116" i="23"/>
  <c r="D124" i="23" s="1"/>
  <c r="C160" i="23" s="1"/>
  <c r="M122" i="22" l="1"/>
  <c r="K3" i="50" s="1"/>
  <c r="I132" i="22"/>
  <c r="I133" i="22" s="1"/>
  <c r="C74" i="48" s="1"/>
  <c r="J224" i="23"/>
  <c r="P158" i="23"/>
  <c r="P159" i="23" s="1"/>
  <c r="C137" i="23"/>
  <c r="J173" i="23" s="1"/>
  <c r="H127" i="22"/>
  <c r="C124" i="22"/>
  <c r="L124" i="22" s="1"/>
  <c r="J5" i="50" s="1"/>
  <c r="B137" i="17" s="1"/>
  <c r="D88" i="22"/>
  <c r="D124" i="22" s="1"/>
  <c r="B79" i="48"/>
  <c r="K22" i="23"/>
  <c r="L22" i="23" s="1"/>
  <c r="C132" i="23" s="1"/>
  <c r="I23" i="23"/>
  <c r="K23" i="23" s="1"/>
  <c r="L23" i="23" s="1"/>
  <c r="C133" i="23" s="1"/>
  <c r="E20" i="23"/>
  <c r="G136" i="23" s="1"/>
  <c r="G44" i="24"/>
  <c r="I174" i="23"/>
  <c r="P174" i="23" s="1"/>
  <c r="G237" i="23" s="1"/>
  <c r="C79" i="48"/>
  <c r="L162" i="23"/>
  <c r="K27" i="50" s="1"/>
  <c r="I219" i="23"/>
  <c r="B55" i="24"/>
  <c r="I43" i="23" s="1"/>
  <c r="H156" i="23" s="1"/>
  <c r="K158" i="23"/>
  <c r="J23" i="50" s="1"/>
  <c r="I220" i="23"/>
  <c r="L158" i="23"/>
  <c r="K23" i="50" s="1"/>
  <c r="J220" i="23"/>
  <c r="K160" i="23"/>
  <c r="J25" i="50" s="1"/>
  <c r="I222" i="23"/>
  <c r="P222" i="23" s="1"/>
  <c r="L160" i="23"/>
  <c r="K25" i="50" s="1"/>
  <c r="J222" i="23"/>
  <c r="Q222" i="23" s="1"/>
  <c r="L139" i="23"/>
  <c r="K15" i="50" s="1"/>
  <c r="J172" i="23"/>
  <c r="L159" i="23"/>
  <c r="K24" i="50" s="1"/>
  <c r="J221" i="23"/>
  <c r="L138" i="23"/>
  <c r="K14" i="50" s="1"/>
  <c r="J171" i="23"/>
  <c r="K138" i="23"/>
  <c r="J14" i="50" s="1"/>
  <c r="I171" i="23"/>
  <c r="I223" i="23"/>
  <c r="P223" i="23" s="1"/>
  <c r="G285" i="23" s="1"/>
  <c r="B46" i="24"/>
  <c r="K137" i="23"/>
  <c r="J13" i="50" s="1"/>
  <c r="B140" i="17" s="1"/>
  <c r="B147" i="17" s="1"/>
  <c r="B200" i="17"/>
  <c r="K157" i="23"/>
  <c r="J22" i="50" s="1"/>
  <c r="K45" i="23"/>
  <c r="L45" i="23" s="1"/>
  <c r="C151" i="23" s="1"/>
  <c r="H157" i="23"/>
  <c r="I46" i="23"/>
  <c r="K46" i="23" s="1"/>
  <c r="L46" i="23" s="1"/>
  <c r="C152" i="23" s="1"/>
  <c r="K140" i="23"/>
  <c r="J16" i="50" s="1"/>
  <c r="K141" i="23"/>
  <c r="J17" i="50" s="1"/>
  <c r="D110" i="22"/>
  <c r="D129" i="22" s="1"/>
  <c r="D114" i="22"/>
  <c r="D131" i="22" s="1"/>
  <c r="K30" i="23"/>
  <c r="L30" i="23" s="1"/>
  <c r="C140" i="23" s="1"/>
  <c r="D121" i="23"/>
  <c r="I53" i="23" s="1"/>
  <c r="K53" i="23" s="1"/>
  <c r="L53" i="23" s="1"/>
  <c r="C159" i="23" s="1"/>
  <c r="J223" i="23" s="1"/>
  <c r="Q223" i="23" s="1"/>
  <c r="G296" i="23" s="1"/>
  <c r="D120" i="23"/>
  <c r="I52" i="23" s="1"/>
  <c r="K52" i="23" s="1"/>
  <c r="L52" i="23" s="1"/>
  <c r="C158" i="23" s="1"/>
  <c r="B105" i="22"/>
  <c r="B104" i="22"/>
  <c r="B99" i="22"/>
  <c r="C91" i="22"/>
  <c r="D91" i="22" s="1"/>
  <c r="G43" i="23"/>
  <c r="B93" i="48" l="1"/>
  <c r="L140" i="23"/>
  <c r="K16" i="50" s="1"/>
  <c r="C145" i="17"/>
  <c r="B136" i="17"/>
  <c r="M124" i="22"/>
  <c r="K5" i="50" s="1"/>
  <c r="S568" i="23"/>
  <c r="S576" i="23"/>
  <c r="S584" i="23"/>
  <c r="S592" i="23"/>
  <c r="S600" i="23"/>
  <c r="S608" i="23"/>
  <c r="S616" i="23"/>
  <c r="S596" i="23"/>
  <c r="S565" i="23"/>
  <c r="S589" i="23"/>
  <c r="S613" i="23"/>
  <c r="S590" i="23"/>
  <c r="S583" i="23"/>
  <c r="S607" i="23"/>
  <c r="S617" i="23"/>
  <c r="S569" i="23"/>
  <c r="S577" i="23"/>
  <c r="S585" i="23"/>
  <c r="S593" i="23"/>
  <c r="S601" i="23"/>
  <c r="S609" i="23"/>
  <c r="S561" i="23"/>
  <c r="S571" i="23"/>
  <c r="S587" i="23"/>
  <c r="S603" i="23"/>
  <c r="S572" i="23"/>
  <c r="S588" i="23"/>
  <c r="S612" i="23"/>
  <c r="S581" i="23"/>
  <c r="S605" i="23"/>
  <c r="I296" i="23"/>
  <c r="S574" i="23"/>
  <c r="S598" i="23"/>
  <c r="S614" i="23"/>
  <c r="S567" i="23"/>
  <c r="S591" i="23"/>
  <c r="S615" i="23"/>
  <c r="S562" i="23"/>
  <c r="S570" i="23"/>
  <c r="S578" i="23"/>
  <c r="S586" i="23"/>
  <c r="S594" i="23"/>
  <c r="S602" i="23"/>
  <c r="S610" i="23"/>
  <c r="S563" i="23"/>
  <c r="S579" i="23"/>
  <c r="S595" i="23"/>
  <c r="S611" i="23"/>
  <c r="S564" i="23"/>
  <c r="S580" i="23"/>
  <c r="S604" i="23"/>
  <c r="S573" i="23"/>
  <c r="S597" i="23"/>
  <c r="S566" i="23"/>
  <c r="S582" i="23"/>
  <c r="S606" i="23"/>
  <c r="S575" i="23"/>
  <c r="S599" i="23"/>
  <c r="I285" i="23"/>
  <c r="K285" i="23" s="1"/>
  <c r="I20" i="23"/>
  <c r="H136" i="23" s="1"/>
  <c r="G20" i="23"/>
  <c r="B130" i="23" s="1"/>
  <c r="K43" i="23"/>
  <c r="L43" i="23" s="1"/>
  <c r="C149" i="23" s="1"/>
  <c r="I237" i="23"/>
  <c r="K237" i="23" s="1"/>
  <c r="J460" i="23"/>
  <c r="J468" i="23"/>
  <c r="J461" i="23"/>
  <c r="J469" i="23"/>
  <c r="J462" i="23"/>
  <c r="J457" i="23"/>
  <c r="J467" i="23"/>
  <c r="J463" i="23"/>
  <c r="J464" i="23"/>
  <c r="J465" i="23"/>
  <c r="J458" i="23"/>
  <c r="J466" i="23"/>
  <c r="J459" i="23"/>
  <c r="L141" i="23"/>
  <c r="K17" i="50" s="1"/>
  <c r="J174" i="23"/>
  <c r="Q174" i="23" s="1"/>
  <c r="G247" i="23" s="1"/>
  <c r="J219" i="23"/>
  <c r="L137" i="23"/>
  <c r="K13" i="50" s="1"/>
  <c r="J170" i="23"/>
  <c r="E140" i="17"/>
  <c r="K140" i="17" s="1"/>
  <c r="C435" i="1" s="1"/>
  <c r="L157" i="23"/>
  <c r="K22" i="50" s="1"/>
  <c r="C114" i="22"/>
  <c r="C131" i="22" s="1"/>
  <c r="C110" i="22"/>
  <c r="C129" i="22" s="1"/>
  <c r="C113" i="22"/>
  <c r="C130" i="22" s="1"/>
  <c r="C109" i="22"/>
  <c r="C128" i="22" s="1"/>
  <c r="D127" i="22"/>
  <c r="D134" i="22" s="1"/>
  <c r="D135" i="22" s="1"/>
  <c r="B5" i="62" s="1"/>
  <c r="D92" i="22"/>
  <c r="C127" i="22"/>
  <c r="C92" i="22"/>
  <c r="B149" i="23"/>
  <c r="I218" i="23" s="1"/>
  <c r="B145" i="17" l="1"/>
  <c r="D145" i="17"/>
  <c r="K145" i="17" s="1"/>
  <c r="J496" i="1" s="1"/>
  <c r="K20" i="23"/>
  <c r="L20" i="23" s="1"/>
  <c r="C130" i="23" s="1"/>
  <c r="I247" i="23"/>
  <c r="K247" i="23" s="1"/>
  <c r="K136" i="23"/>
  <c r="J12" i="50" s="1"/>
  <c r="I169" i="23"/>
  <c r="L136" i="23"/>
  <c r="K12" i="50" s="1"/>
  <c r="J169" i="23"/>
  <c r="L156" i="23"/>
  <c r="K21" i="50" s="1"/>
  <c r="J218" i="23"/>
  <c r="K156" i="23"/>
  <c r="J21" i="50" s="1"/>
  <c r="D133" i="22"/>
  <c r="M127" i="22"/>
  <c r="K8" i="50" s="1"/>
  <c r="M128" i="22"/>
  <c r="K9" i="50" s="1"/>
  <c r="L128" i="22"/>
  <c r="J9" i="50" s="1"/>
  <c r="L127" i="22"/>
  <c r="J8" i="50" s="1"/>
  <c r="B139" i="17" s="1"/>
  <c r="D137" i="22"/>
  <c r="C3" i="50" s="1"/>
  <c r="C134" i="22"/>
  <c r="C133" i="22"/>
  <c r="B144" i="23"/>
  <c r="B145" i="23"/>
  <c r="C144" i="23"/>
  <c r="C145" i="23"/>
  <c r="C163" i="23"/>
  <c r="C164" i="23"/>
  <c r="B164" i="23"/>
  <c r="B163" i="23"/>
  <c r="H152" i="23" l="1"/>
  <c r="B5" i="50" s="1"/>
  <c r="B165" i="23"/>
  <c r="I152" i="23"/>
  <c r="C5" i="50" s="1"/>
  <c r="C165" i="23"/>
  <c r="B17" i="62" s="1"/>
  <c r="H132" i="23"/>
  <c r="B4" i="50" s="1"/>
  <c r="B146" i="23"/>
  <c r="I132" i="23"/>
  <c r="C4" i="50" s="1"/>
  <c r="C146" i="23"/>
  <c r="C137" i="22"/>
  <c r="B3" i="50" s="1"/>
  <c r="C135" i="22"/>
  <c r="B23" i="18" a="1"/>
  <c r="B23" i="18" s="1"/>
  <c r="D8" i="18"/>
  <c r="E8" i="18" s="1"/>
  <c r="D7" i="18"/>
  <c r="E7" i="18" s="1"/>
  <c r="B55" i="17"/>
  <c r="B33" i="17"/>
  <c r="B10" i="17"/>
  <c r="B9" i="17"/>
  <c r="D74" i="1"/>
  <c r="D72" i="1"/>
  <c r="D69" i="1"/>
  <c r="D68" i="1"/>
  <c r="D67" i="1"/>
  <c r="D66" i="1"/>
  <c r="D65" i="1"/>
  <c r="B101" i="17"/>
  <c r="B97" i="17"/>
  <c r="C97" i="17" s="1"/>
  <c r="B96" i="17"/>
  <c r="C96" i="17" s="1"/>
  <c r="B95" i="17"/>
  <c r="C95" i="17" s="1"/>
  <c r="B94" i="17"/>
  <c r="C94" i="17" s="1"/>
  <c r="B93" i="17"/>
  <c r="C93" i="17" s="1"/>
  <c r="B91" i="17"/>
  <c r="B89" i="17"/>
  <c r="C89" i="17" s="1"/>
  <c r="C79" i="1"/>
  <c r="C78" i="1"/>
  <c r="C77" i="1"/>
  <c r="C76" i="1"/>
  <c r="C75" i="1"/>
  <c r="C74" i="1"/>
  <c r="C73" i="1"/>
  <c r="C72" i="1"/>
  <c r="C71" i="1"/>
  <c r="C70" i="1"/>
  <c r="C69" i="1"/>
  <c r="C68" i="1"/>
  <c r="C67" i="1"/>
  <c r="C66" i="1"/>
  <c r="C65" i="1"/>
  <c r="B79" i="1"/>
  <c r="B78" i="1"/>
  <c r="B77" i="1"/>
  <c r="B76" i="1"/>
  <c r="B75" i="1"/>
  <c r="B74" i="1"/>
  <c r="B73" i="1"/>
  <c r="B72" i="1"/>
  <c r="B71" i="1"/>
  <c r="B69" i="1"/>
  <c r="B68" i="1"/>
  <c r="B67" i="1"/>
  <c r="B66" i="1"/>
  <c r="B65" i="1"/>
  <c r="B24" i="18" l="1" a="1"/>
  <c r="B24" i="18" s="1"/>
  <c r="B6" i="62"/>
  <c r="D6" i="62" s="1"/>
  <c r="H79" i="1"/>
  <c r="H68" i="1"/>
  <c r="H69" i="1"/>
  <c r="H77" i="1"/>
  <c r="H67" i="1"/>
  <c r="H76" i="1"/>
  <c r="H73" i="1"/>
  <c r="H65" i="1"/>
  <c r="H71" i="1"/>
  <c r="H66" i="1"/>
  <c r="H75" i="1"/>
  <c r="H72" i="1"/>
  <c r="H74" i="1"/>
  <c r="H78" i="1"/>
  <c r="E9" i="17"/>
  <c r="K9" i="17" s="1"/>
  <c r="D9" i="17"/>
  <c r="C9" i="17"/>
  <c r="D10" i="17"/>
  <c r="E10" i="17"/>
  <c r="C10" i="17"/>
  <c r="K10" i="17" s="1"/>
  <c r="E72" i="1"/>
  <c r="F72" i="1" s="1"/>
  <c r="E66" i="1"/>
  <c r="F66" i="1" s="1"/>
  <c r="E67" i="1"/>
  <c r="F67" i="1" s="1"/>
  <c r="E74" i="1"/>
  <c r="F74" i="1" s="1"/>
  <c r="E65" i="1"/>
  <c r="F65" i="1" s="1"/>
  <c r="E68" i="1"/>
  <c r="F68" i="1" s="1"/>
  <c r="E69" i="1"/>
  <c r="F69" i="1" s="1"/>
  <c r="K95" i="17"/>
  <c r="D77" i="1" s="1"/>
  <c r="E77" i="1" s="1"/>
  <c r="F77" i="1" s="1"/>
  <c r="K93" i="17"/>
  <c r="D75" i="1" s="1"/>
  <c r="E75" i="1" s="1"/>
  <c r="F75" i="1" s="1"/>
  <c r="K96" i="17"/>
  <c r="D78" i="1" s="1"/>
  <c r="E78" i="1" s="1"/>
  <c r="F78" i="1" s="1"/>
  <c r="K94" i="17"/>
  <c r="D76" i="1" s="1"/>
  <c r="E76" i="1" s="1"/>
  <c r="F76" i="1" s="1"/>
  <c r="K97" i="17"/>
  <c r="D79" i="1" s="1"/>
  <c r="E79" i="1" s="1"/>
  <c r="F79" i="1" s="1"/>
  <c r="K91" i="17"/>
  <c r="D73" i="1" s="1"/>
  <c r="E73" i="1" s="1"/>
  <c r="F73" i="1" s="1"/>
  <c r="K89" i="17"/>
  <c r="D71" i="1" s="1"/>
  <c r="E71" i="1" s="1"/>
  <c r="F71" i="1" s="1"/>
  <c r="B11" i="17"/>
  <c r="B34" i="17"/>
  <c r="C34" i="17" s="1"/>
  <c r="B6" i="17"/>
  <c r="B253" i="71" s="1"/>
  <c r="D6" i="17" s="1"/>
  <c r="B4" i="17"/>
  <c r="B3" i="17"/>
  <c r="F4" i="3"/>
  <c r="B30" i="17"/>
  <c r="B29" i="17"/>
  <c r="B28" i="17"/>
  <c r="B27" i="17"/>
  <c r="B25" i="17"/>
  <c r="B24" i="17"/>
  <c r="B58" i="17" l="1"/>
  <c r="B44" i="17" s="1"/>
  <c r="C11" i="17"/>
  <c r="C80" i="17" s="1"/>
  <c r="D11" i="17"/>
  <c r="D58" i="17" s="1"/>
  <c r="E11" i="17"/>
  <c r="E80" i="17" s="1"/>
  <c r="K11" i="17"/>
  <c r="K21" i="17"/>
  <c r="B29" i="1" s="1"/>
  <c r="D29" i="1" s="1"/>
  <c r="I69" i="1" s="1"/>
  <c r="B36" i="17"/>
  <c r="B22" i="17" s="1"/>
  <c r="B23" i="17"/>
  <c r="B80" i="17"/>
  <c r="B102" i="17"/>
  <c r="J48" i="1" l="1"/>
  <c r="L48" i="1"/>
  <c r="K48" i="1"/>
  <c r="G48" i="1"/>
  <c r="G88" i="1" s="1"/>
  <c r="D80" i="17"/>
  <c r="D102" i="17"/>
  <c r="D36" i="17"/>
  <c r="C102" i="17"/>
  <c r="C36" i="17"/>
  <c r="C22" i="17" s="1"/>
  <c r="C58" i="17"/>
  <c r="C44" i="17" s="1"/>
  <c r="K44" i="17" s="1"/>
  <c r="B70" i="1" s="1"/>
  <c r="H70" i="1" s="1"/>
  <c r="E36" i="17"/>
  <c r="E102" i="17"/>
  <c r="E58" i="17"/>
  <c r="E44" i="17" s="1"/>
  <c r="B88" i="17"/>
  <c r="K88" i="17" s="1"/>
  <c r="D70" i="1" s="1"/>
  <c r="G215" i="1" l="1"/>
  <c r="G254" i="1" s="1"/>
  <c r="G293" i="1" s="1"/>
  <c r="G353" i="1" s="1"/>
  <c r="G195" i="1"/>
  <c r="E70" i="1"/>
  <c r="F70" i="1" s="1"/>
  <c r="E32" i="8" l="1"/>
  <c r="E33" i="8" s="1"/>
  <c r="C53" i="8"/>
  <c r="D53" i="8"/>
  <c r="D56" i="8"/>
  <c r="K123" i="15"/>
  <c r="K124" i="15" s="1"/>
  <c r="D57" i="8" l="1"/>
  <c r="D54" i="8"/>
  <c r="C54" i="8"/>
  <c r="E6" i="3"/>
  <c r="B210" i="71" l="1"/>
  <c r="C214" i="71" s="1"/>
  <c r="D50" i="56"/>
  <c r="F50" i="56" s="1"/>
  <c r="D48" i="56"/>
  <c r="F48" i="56" s="1"/>
  <c r="D128" i="17" s="1"/>
  <c r="D49" i="56"/>
  <c r="F49" i="56" s="1"/>
  <c r="D130" i="17" s="1"/>
  <c r="D51" i="56"/>
  <c r="F51" i="56" s="1"/>
  <c r="D52" i="56"/>
  <c r="F52" i="56" s="1"/>
  <c r="D129" i="17" s="1"/>
  <c r="C26" i="66"/>
  <c r="C27" i="66" s="1"/>
  <c r="C112" i="17" s="1"/>
  <c r="B48" i="29"/>
  <c r="B49" i="29" s="1"/>
  <c r="C42" i="60"/>
  <c r="C43" i="60" s="1"/>
  <c r="C44" i="60" s="1"/>
  <c r="D42" i="60"/>
  <c r="D43" i="60" s="1"/>
  <c r="D44" i="60" s="1"/>
  <c r="D121" i="17" s="1"/>
  <c r="B42" i="60"/>
  <c r="B43" i="60" s="1"/>
  <c r="B44" i="60" s="1"/>
  <c r="D112" i="17" s="1"/>
  <c r="C15" i="8"/>
  <c r="J22" i="8" s="1"/>
  <c r="B43" i="21"/>
  <c r="E128" i="17" s="1"/>
  <c r="B45" i="21"/>
  <c r="E130" i="17" s="1"/>
  <c r="B44" i="21"/>
  <c r="E129" i="17" s="1"/>
  <c r="D59" i="8"/>
  <c r="D60" i="8" s="1"/>
  <c r="D61" i="8" s="1"/>
  <c r="H22" i="8" s="1"/>
  <c r="E16" i="8"/>
  <c r="D18" i="8"/>
  <c r="E15" i="8"/>
  <c r="F17" i="8"/>
  <c r="D15" i="8"/>
  <c r="E17" i="8"/>
  <c r="D17" i="8"/>
  <c r="F18" i="8"/>
  <c r="E23" i="8" s="1"/>
  <c r="E24" i="8" s="1"/>
  <c r="D16" i="8"/>
  <c r="E18" i="8"/>
  <c r="F15" i="8"/>
  <c r="J23" i="8" s="1"/>
  <c r="C18" i="8"/>
  <c r="E22" i="8" s="1"/>
  <c r="C17" i="8"/>
  <c r="B22" i="8" s="1"/>
  <c r="F16" i="8"/>
  <c r="F23" i="8" s="1"/>
  <c r="F24" i="8" s="1"/>
  <c r="C16" i="8"/>
  <c r="F22" i="8" s="1"/>
  <c r="C128" i="17" l="1"/>
  <c r="B128" i="17"/>
  <c r="B129" i="17"/>
  <c r="C129" i="17"/>
  <c r="C130" i="17"/>
  <c r="K130" i="17" s="1"/>
  <c r="B130" i="17"/>
  <c r="I234" i="71"/>
  <c r="I53" i="16" s="1"/>
  <c r="C220" i="71"/>
  <c r="I239" i="71" s="1"/>
  <c r="I58" i="16" s="1"/>
  <c r="C219" i="71"/>
  <c r="I235" i="71" s="1"/>
  <c r="I54" i="16" s="1"/>
  <c r="J54" i="16" s="1"/>
  <c r="B48" i="72" s="1"/>
  <c r="D48" i="72" s="1"/>
  <c r="E513" i="1"/>
  <c r="F513" i="1" s="1"/>
  <c r="F560" i="1" s="1"/>
  <c r="E521" i="1"/>
  <c r="F521" i="1" s="1"/>
  <c r="F568" i="1" s="1"/>
  <c r="E516" i="1"/>
  <c r="F516" i="1" s="1"/>
  <c r="F563" i="1" s="1"/>
  <c r="E512" i="1"/>
  <c r="F512" i="1" s="1"/>
  <c r="F559" i="1" s="1"/>
  <c r="E524" i="1"/>
  <c r="F524" i="1" s="1"/>
  <c r="F571" i="1" s="1"/>
  <c r="E520" i="1"/>
  <c r="F520" i="1" s="1"/>
  <c r="F567" i="1" s="1"/>
  <c r="E522" i="1"/>
  <c r="F522" i="1" s="1"/>
  <c r="F569" i="1" s="1"/>
  <c r="E510" i="1"/>
  <c r="F510" i="1" s="1"/>
  <c r="E523" i="1"/>
  <c r="F523" i="1" s="1"/>
  <c r="F570" i="1" s="1"/>
  <c r="E511" i="1"/>
  <c r="F511" i="1" s="1"/>
  <c r="F558" i="1" s="1"/>
  <c r="C155" i="17"/>
  <c r="B155" i="17"/>
  <c r="D155" i="17"/>
  <c r="E155" i="17"/>
  <c r="G22" i="8"/>
  <c r="I23" i="8"/>
  <c r="I24" i="8" s="1"/>
  <c r="J25" i="8"/>
  <c r="H23" i="8"/>
  <c r="H25" i="8" s="1"/>
  <c r="D22" i="8"/>
  <c r="J24" i="8"/>
  <c r="E25" i="8"/>
  <c r="C23" i="8"/>
  <c r="C24" i="8" s="1"/>
  <c r="C22" i="8"/>
  <c r="B23" i="8"/>
  <c r="I22" i="8"/>
  <c r="F25" i="8"/>
  <c r="D23" i="8"/>
  <c r="D25" i="8" s="1"/>
  <c r="K129" i="17" l="1"/>
  <c r="I25" i="8"/>
  <c r="K155" i="17"/>
  <c r="F557" i="1"/>
  <c r="B105" i="17" a="1"/>
  <c r="B105" i="17" s="1"/>
  <c r="G192" i="23" s="1"/>
  <c r="B24" i="8"/>
  <c r="G24" i="8" s="1"/>
  <c r="G23" i="8"/>
  <c r="B114" i="17" s="1" a="1"/>
  <c r="H24" i="8"/>
  <c r="C25" i="8"/>
  <c r="B25" i="8"/>
  <c r="G25" i="8" s="1"/>
  <c r="D24" i="8"/>
  <c r="F369" i="1"/>
  <c r="F370" i="1" s="1"/>
  <c r="F371" i="1" s="1"/>
  <c r="E369" i="1"/>
  <c r="E370" i="1" s="1"/>
  <c r="E371" i="1" s="1"/>
  <c r="D369" i="1"/>
  <c r="D370" i="1" s="1"/>
  <c r="D371" i="1" s="1"/>
  <c r="C369" i="1"/>
  <c r="C370" i="1" s="1"/>
  <c r="C371" i="1" s="1"/>
  <c r="B369" i="1"/>
  <c r="B370" i="1" s="1"/>
  <c r="B371" i="1" s="1"/>
  <c r="D341" i="1" l="1"/>
  <c r="D343" i="1"/>
  <c r="D344" i="1"/>
  <c r="D342" i="1"/>
  <c r="C343" i="1"/>
  <c r="C341" i="1"/>
  <c r="C342" i="1"/>
  <c r="C344" i="1"/>
  <c r="C418" i="1"/>
  <c r="C419" i="1" s="1"/>
  <c r="C417" i="1"/>
  <c r="E418" i="1"/>
  <c r="E419" i="1" s="1"/>
  <c r="E417" i="1"/>
  <c r="D418" i="1"/>
  <c r="D419" i="1" s="1"/>
  <c r="D417" i="1"/>
  <c r="G418" i="1"/>
  <c r="G419" i="1" s="1"/>
  <c r="G417" i="1"/>
  <c r="F418" i="1"/>
  <c r="F419" i="1" s="1"/>
  <c r="F417" i="1"/>
  <c r="N192" i="23"/>
  <c r="G202" i="23"/>
  <c r="B108" i="17"/>
  <c r="C108" i="17" s="1"/>
  <c r="G145" i="26" s="1"/>
  <c r="B106" i="17"/>
  <c r="C106" i="17" s="1"/>
  <c r="G143" i="26" s="1"/>
  <c r="B112" i="17"/>
  <c r="B107" i="17"/>
  <c r="B109" i="17"/>
  <c r="H146" i="52" s="1"/>
  <c r="B110" i="17"/>
  <c r="B111" i="17"/>
  <c r="H142" i="52"/>
  <c r="C105" i="17"/>
  <c r="G142" i="26" s="1"/>
  <c r="B114" i="17"/>
  <c r="I192" i="23" s="1"/>
  <c r="B118" i="17"/>
  <c r="I196" i="23" s="1"/>
  <c r="P196" i="23" s="1"/>
  <c r="B117" i="17"/>
  <c r="I195" i="23" s="1"/>
  <c r="B121" i="17"/>
  <c r="K121" i="17" s="1"/>
  <c r="B116" i="17"/>
  <c r="I194" i="23" s="1"/>
  <c r="P194" i="23" s="1"/>
  <c r="B115" i="17"/>
  <c r="I193" i="23" s="1"/>
  <c r="P193" i="23" s="1"/>
  <c r="B120" i="17"/>
  <c r="I198" i="23" s="1"/>
  <c r="B119" i="17"/>
  <c r="I197" i="23" s="1"/>
  <c r="B26" i="9"/>
  <c r="C26" i="9"/>
  <c r="D26" i="9"/>
  <c r="E26" i="9"/>
  <c r="B27" i="9"/>
  <c r="C27" i="9"/>
  <c r="D27" i="9"/>
  <c r="E27" i="9"/>
  <c r="B28" i="9"/>
  <c r="C28" i="9"/>
  <c r="D28" i="9"/>
  <c r="E28" i="9"/>
  <c r="B29" i="9"/>
  <c r="C29" i="9"/>
  <c r="D29" i="9"/>
  <c r="E29" i="9"/>
  <c r="B30" i="9"/>
  <c r="C30" i="9"/>
  <c r="D30" i="9"/>
  <c r="E30" i="9"/>
  <c r="B31" i="9"/>
  <c r="C31" i="9"/>
  <c r="D31" i="9"/>
  <c r="E31" i="9"/>
  <c r="B32" i="9"/>
  <c r="C32" i="9"/>
  <c r="D32" i="9"/>
  <c r="E32" i="9"/>
  <c r="B33" i="9"/>
  <c r="C33" i="9"/>
  <c r="D33" i="9"/>
  <c r="E33" i="9"/>
  <c r="B34" i="9"/>
  <c r="C34" i="9"/>
  <c r="D34" i="9"/>
  <c r="E34" i="9"/>
  <c r="B35" i="9"/>
  <c r="C35" i="9"/>
  <c r="D35" i="9"/>
  <c r="E35" i="9"/>
  <c r="B36" i="9"/>
  <c r="C36" i="9"/>
  <c r="D36" i="9"/>
  <c r="E36" i="9"/>
  <c r="C25" i="9"/>
  <c r="D25" i="9"/>
  <c r="E25" i="9"/>
  <c r="B25" i="9"/>
  <c r="I6" i="6"/>
  <c r="J6" i="6"/>
  <c r="K6" i="6"/>
  <c r="L6" i="6"/>
  <c r="M6" i="6"/>
  <c r="N6" i="6"/>
  <c r="I7" i="6"/>
  <c r="J7" i="6"/>
  <c r="K7" i="6"/>
  <c r="L7" i="6"/>
  <c r="M7" i="6"/>
  <c r="N7" i="6"/>
  <c r="I8" i="6"/>
  <c r="J8" i="6"/>
  <c r="K8" i="6"/>
  <c r="L8" i="6"/>
  <c r="M8" i="6"/>
  <c r="N8" i="6"/>
  <c r="I9" i="6"/>
  <c r="J9" i="6"/>
  <c r="K9" i="6"/>
  <c r="L9" i="6"/>
  <c r="M9" i="6"/>
  <c r="N9" i="6"/>
  <c r="I10" i="6"/>
  <c r="J10" i="6"/>
  <c r="K10" i="6"/>
  <c r="L10" i="6"/>
  <c r="M10" i="6"/>
  <c r="N10" i="6"/>
  <c r="I11" i="6"/>
  <c r="J11" i="6"/>
  <c r="K11" i="6"/>
  <c r="L11" i="6"/>
  <c r="M11" i="6"/>
  <c r="N11" i="6"/>
  <c r="I12" i="6"/>
  <c r="J12" i="6"/>
  <c r="K12" i="6"/>
  <c r="L12" i="6"/>
  <c r="M12" i="6"/>
  <c r="N12" i="6"/>
  <c r="I13" i="6"/>
  <c r="J13" i="6"/>
  <c r="K13" i="6"/>
  <c r="L13" i="6"/>
  <c r="M13" i="6"/>
  <c r="N13" i="6"/>
  <c r="I14" i="6"/>
  <c r="J14" i="6"/>
  <c r="K14" i="6"/>
  <c r="L14" i="6"/>
  <c r="M14" i="6"/>
  <c r="N14" i="6"/>
  <c r="I15" i="6"/>
  <c r="J15" i="6"/>
  <c r="K15" i="6"/>
  <c r="L15" i="6"/>
  <c r="M15" i="6"/>
  <c r="N15" i="6"/>
  <c r="I16" i="6"/>
  <c r="J16" i="6"/>
  <c r="K16" i="6"/>
  <c r="L16" i="6"/>
  <c r="M16" i="6"/>
  <c r="N16" i="6"/>
  <c r="I17" i="6"/>
  <c r="J17" i="6"/>
  <c r="K17" i="6"/>
  <c r="L17" i="6"/>
  <c r="M17" i="6"/>
  <c r="N17" i="6"/>
  <c r="I18" i="6"/>
  <c r="J18" i="6"/>
  <c r="K18" i="6"/>
  <c r="L18" i="6"/>
  <c r="M18" i="6"/>
  <c r="N18" i="6"/>
  <c r="I19" i="6"/>
  <c r="J19" i="6"/>
  <c r="K19" i="6"/>
  <c r="L19" i="6"/>
  <c r="M19" i="6"/>
  <c r="N19" i="6"/>
  <c r="N5" i="6"/>
  <c r="M5" i="6"/>
  <c r="L5" i="6"/>
  <c r="K5" i="6"/>
  <c r="J5" i="6"/>
  <c r="I5" i="6"/>
  <c r="B29" i="6"/>
  <c r="B31" i="6"/>
  <c r="B39" i="6"/>
  <c r="B38" i="6"/>
  <c r="B37" i="6"/>
  <c r="B36" i="6"/>
  <c r="B35" i="6"/>
  <c r="B34" i="6"/>
  <c r="B33" i="6"/>
  <c r="B32" i="6"/>
  <c r="B30" i="6"/>
  <c r="B28" i="6"/>
  <c r="B27" i="6"/>
  <c r="B26" i="6"/>
  <c r="B25" i="6"/>
  <c r="E3" i="3"/>
  <c r="B9" i="16" s="1" a="1"/>
  <c r="B9" i="16" s="1"/>
  <c r="I199" i="23" l="1"/>
  <c r="B52" i="9"/>
  <c r="B50" i="9"/>
  <c r="C136" i="1" s="1"/>
  <c r="H143" i="52"/>
  <c r="K108" i="17"/>
  <c r="F389" i="1" s="1"/>
  <c r="G196" i="23"/>
  <c r="I208" i="23"/>
  <c r="P199" i="23"/>
  <c r="C107" i="17"/>
  <c r="G194" i="23"/>
  <c r="G155" i="26"/>
  <c r="K106" i="17"/>
  <c r="D389" i="1" s="1"/>
  <c r="G193" i="23"/>
  <c r="P195" i="23"/>
  <c r="I205" i="23"/>
  <c r="P205" i="23" s="1"/>
  <c r="G199" i="23"/>
  <c r="B48" i="9"/>
  <c r="C126" i="1" s="1"/>
  <c r="I202" i="23"/>
  <c r="P192" i="23"/>
  <c r="H145" i="52"/>
  <c r="G195" i="23"/>
  <c r="P197" i="23"/>
  <c r="I203" i="23"/>
  <c r="I204" i="23"/>
  <c r="G152" i="26"/>
  <c r="H192" i="23"/>
  <c r="P198" i="23"/>
  <c r="I207" i="23"/>
  <c r="P207" i="23" s="1"/>
  <c r="H152" i="52"/>
  <c r="G198" i="23"/>
  <c r="N202" i="23"/>
  <c r="K105" i="17"/>
  <c r="C110" i="17"/>
  <c r="G147" i="26" s="1"/>
  <c r="G197" i="23"/>
  <c r="C46" i="9"/>
  <c r="G149" i="26"/>
  <c r="H149" i="52"/>
  <c r="H147" i="52"/>
  <c r="C109" i="17"/>
  <c r="G146" i="26" s="1"/>
  <c r="H148" i="52"/>
  <c r="C111" i="17"/>
  <c r="G148" i="26" s="1"/>
  <c r="H144" i="52"/>
  <c r="J148" i="52"/>
  <c r="J157" i="52" s="1"/>
  <c r="C120" i="17"/>
  <c r="J143" i="52"/>
  <c r="C115" i="17"/>
  <c r="C52" i="9"/>
  <c r="C50" i="9"/>
  <c r="C48" i="9"/>
  <c r="J149" i="52"/>
  <c r="J158" i="52" s="1"/>
  <c r="C121" i="17"/>
  <c r="I150" i="26" s="1"/>
  <c r="J145" i="52"/>
  <c r="J155" i="52" s="1"/>
  <c r="C117" i="17"/>
  <c r="B46" i="9"/>
  <c r="C131" i="1" s="1"/>
  <c r="C118" i="17"/>
  <c r="J146" i="52"/>
  <c r="I146" i="52" s="1"/>
  <c r="J144" i="52"/>
  <c r="C116" i="17"/>
  <c r="C114" i="17"/>
  <c r="J142" i="52"/>
  <c r="J152" i="52" s="1"/>
  <c r="C119" i="17"/>
  <c r="J147" i="52"/>
  <c r="C42" i="9"/>
  <c r="B41" i="9"/>
  <c r="C132" i="1" s="1"/>
  <c r="C49" i="9"/>
  <c r="C45" i="9"/>
  <c r="U14" i="6"/>
  <c r="U10" i="6"/>
  <c r="U6" i="6"/>
  <c r="U18" i="6"/>
  <c r="I33" i="6" s="1"/>
  <c r="C44" i="9"/>
  <c r="C47" i="9"/>
  <c r="Q16" i="6"/>
  <c r="S13" i="6"/>
  <c r="Q8" i="6"/>
  <c r="C41" i="9"/>
  <c r="B51" i="9"/>
  <c r="C134" i="1" s="1"/>
  <c r="B47" i="9"/>
  <c r="C125" i="1" s="1"/>
  <c r="B43" i="9"/>
  <c r="C130" i="1" s="1"/>
  <c r="Q17" i="6"/>
  <c r="P17" i="6"/>
  <c r="P13" i="6"/>
  <c r="S7" i="6"/>
  <c r="G26" i="6" s="1"/>
  <c r="C51" i="9"/>
  <c r="C43" i="9"/>
  <c r="T5" i="6"/>
  <c r="S17" i="6"/>
  <c r="Q12" i="6"/>
  <c r="E39" i="6" s="1"/>
  <c r="S9" i="6"/>
  <c r="G27" i="6" s="1"/>
  <c r="B49" i="9"/>
  <c r="B45" i="9"/>
  <c r="C128" i="1" s="1"/>
  <c r="Q9" i="6"/>
  <c r="E27" i="6" s="1"/>
  <c r="P9" i="6"/>
  <c r="D27" i="6" s="1"/>
  <c r="R19" i="6"/>
  <c r="R15" i="6"/>
  <c r="F35" i="6" s="1"/>
  <c r="T11" i="6"/>
  <c r="T7" i="6"/>
  <c r="H26" i="6" s="1"/>
  <c r="B44" i="9"/>
  <c r="B42" i="9"/>
  <c r="C133" i="1" s="1"/>
  <c r="B23" i="16" a="1"/>
  <c r="B23" i="16" s="1"/>
  <c r="I21" i="16" a="1"/>
  <c r="I21" i="16" s="1"/>
  <c r="I18" i="1" s="1" a="1"/>
  <c r="I18" i="1" s="1"/>
  <c r="H20" i="16" a="1"/>
  <c r="H20" i="16" s="1"/>
  <c r="H17" i="1" s="1" a="1"/>
  <c r="H17" i="1" s="1"/>
  <c r="F19" i="16" a="1"/>
  <c r="F19" i="16" s="1"/>
  <c r="F16" i="1" s="1" a="1"/>
  <c r="F16" i="1" s="1"/>
  <c r="E18" i="16" a="1"/>
  <c r="E18" i="16" s="1"/>
  <c r="E15" i="1" s="1" a="1"/>
  <c r="E15" i="1" s="1"/>
  <c r="D17" i="16" a="1"/>
  <c r="D17" i="16" s="1"/>
  <c r="D14" i="1" s="1" a="1"/>
  <c r="D14" i="1" s="1"/>
  <c r="C16" i="16" a="1"/>
  <c r="C16" i="16" s="1"/>
  <c r="C13" i="1" s="1" a="1"/>
  <c r="C13" i="1" s="1"/>
  <c r="B15" i="16" a="1"/>
  <c r="B15" i="16" s="1"/>
  <c r="I13" i="16" a="1"/>
  <c r="I13" i="16" s="1"/>
  <c r="I10" i="1" s="1" a="1"/>
  <c r="I10" i="1" s="1"/>
  <c r="H12" i="16" a="1"/>
  <c r="H12" i="16" s="1"/>
  <c r="H9" i="1" s="1" a="1"/>
  <c r="H9" i="1" s="1"/>
  <c r="F11" i="16" a="1"/>
  <c r="F11" i="16" s="1"/>
  <c r="F8" i="1" s="1" a="1"/>
  <c r="F8" i="1" s="1"/>
  <c r="E10" i="16" a="1"/>
  <c r="E10" i="16" s="1"/>
  <c r="E7" i="1" s="1" a="1"/>
  <c r="E7" i="1" s="1"/>
  <c r="D9" i="16" a="1"/>
  <c r="D9" i="16" s="1"/>
  <c r="D6" i="1" s="1" a="1"/>
  <c r="D6" i="1" s="1"/>
  <c r="D19" i="16" a="1"/>
  <c r="D19" i="16" s="1"/>
  <c r="D16" i="1" s="1" a="1"/>
  <c r="D16" i="1" s="1"/>
  <c r="H14" i="16" a="1"/>
  <c r="H14" i="16" s="1"/>
  <c r="H11" i="1" s="1" a="1"/>
  <c r="H11" i="1" s="1"/>
  <c r="C10" i="16" a="1"/>
  <c r="C10" i="16" s="1"/>
  <c r="C7" i="1" s="1" a="1"/>
  <c r="C7" i="1" s="1"/>
  <c r="E21" i="16" a="1"/>
  <c r="E21" i="16" s="1"/>
  <c r="E18" i="1" s="1" a="1"/>
  <c r="E18" i="1" s="1"/>
  <c r="H15" i="16" a="1"/>
  <c r="H15" i="16" s="1"/>
  <c r="H12" i="1" s="1" a="1"/>
  <c r="H12" i="1" s="1"/>
  <c r="C11" i="16" a="1"/>
  <c r="C11" i="16" s="1"/>
  <c r="C8" i="1" s="1" a="1"/>
  <c r="C8" i="1" s="1"/>
  <c r="E15" i="16" a="1"/>
  <c r="E15" i="16" s="1"/>
  <c r="E12" i="1" s="1" a="1"/>
  <c r="E12" i="1" s="1"/>
  <c r="I10" i="16" a="1"/>
  <c r="I10" i="16" s="1"/>
  <c r="I7" i="1" s="1" a="1"/>
  <c r="I7" i="1" s="1"/>
  <c r="B21" i="16" a="1"/>
  <c r="B21" i="16" s="1"/>
  <c r="D15" i="16" a="1"/>
  <c r="D15" i="16" s="1"/>
  <c r="D12" i="1" s="1" a="1"/>
  <c r="D12" i="1" s="1"/>
  <c r="I11" i="16" a="1"/>
  <c r="I11" i="16" s="1"/>
  <c r="I8" i="1" s="1" a="1"/>
  <c r="I8" i="1" s="1"/>
  <c r="I22" i="16" a="1"/>
  <c r="I22" i="16" s="1"/>
  <c r="I19" i="1" s="1" a="1"/>
  <c r="I19" i="1" s="1"/>
  <c r="H21" i="16" a="1"/>
  <c r="H21" i="16" s="1"/>
  <c r="H18" i="1" s="1" a="1"/>
  <c r="H18" i="1" s="1"/>
  <c r="F20" i="16" a="1"/>
  <c r="F20" i="16" s="1"/>
  <c r="F17" i="1" s="1" a="1"/>
  <c r="F17" i="1" s="1"/>
  <c r="E19" i="16" a="1"/>
  <c r="E19" i="16" s="1"/>
  <c r="E16" i="1" s="1" a="1"/>
  <c r="E16" i="1" s="1"/>
  <c r="D18" i="16" a="1"/>
  <c r="D18" i="16" s="1"/>
  <c r="D15" i="1" s="1" a="1"/>
  <c r="D15" i="1" s="1"/>
  <c r="C17" i="16" a="1"/>
  <c r="C17" i="16" s="1"/>
  <c r="B16" i="16" a="1"/>
  <c r="B16" i="16" s="1"/>
  <c r="I14" i="16" a="1"/>
  <c r="I14" i="16" s="1"/>
  <c r="I11" i="1" s="1" a="1"/>
  <c r="I11" i="1" s="1"/>
  <c r="H13" i="16" a="1"/>
  <c r="H13" i="16" s="1"/>
  <c r="H10" i="1" s="1" a="1"/>
  <c r="H10" i="1" s="1"/>
  <c r="F12" i="16" a="1"/>
  <c r="F12" i="16" s="1"/>
  <c r="F9" i="1" s="1" a="1"/>
  <c r="F9" i="1" s="1"/>
  <c r="E11" i="16" a="1"/>
  <c r="E11" i="16" s="1"/>
  <c r="E8" i="1" s="1" a="1"/>
  <c r="E8" i="1" s="1"/>
  <c r="D10" i="16" a="1"/>
  <c r="D10" i="16" s="1"/>
  <c r="D7" i="1" s="1" a="1"/>
  <c r="D7" i="1" s="1"/>
  <c r="E20" i="16" a="1"/>
  <c r="E20" i="16" s="1"/>
  <c r="E17" i="1" s="1" a="1"/>
  <c r="E17" i="1" s="1"/>
  <c r="I15" i="16" a="1"/>
  <c r="I15" i="16" s="1"/>
  <c r="I12" i="1" s="1" a="1"/>
  <c r="I12" i="1" s="1"/>
  <c r="D11" i="16" a="1"/>
  <c r="D11" i="16" s="1"/>
  <c r="D8" i="1" s="1" a="1"/>
  <c r="D8" i="1" s="1"/>
  <c r="F22" i="16" a="1"/>
  <c r="F22" i="16" s="1"/>
  <c r="B18" i="16" a="1"/>
  <c r="B18" i="16" s="1"/>
  <c r="I23" i="16" a="1"/>
  <c r="I23" i="16" s="1"/>
  <c r="I20" i="1" s="1" a="1"/>
  <c r="I20" i="1" s="1"/>
  <c r="H22" i="16" a="1"/>
  <c r="H22" i="16" s="1"/>
  <c r="H19" i="1" s="1" a="1"/>
  <c r="H19" i="1" s="1"/>
  <c r="F21" i="16" a="1"/>
  <c r="F21" i="16" s="1"/>
  <c r="F18" i="1" s="1" a="1"/>
  <c r="F18" i="1" s="1"/>
  <c r="B17" i="16" a="1"/>
  <c r="B17" i="16" s="1"/>
  <c r="E12" i="16" a="1"/>
  <c r="E12" i="16" s="1"/>
  <c r="E9" i="1" s="1" a="1"/>
  <c r="E9" i="1" s="1"/>
  <c r="H23" i="16" a="1"/>
  <c r="H23" i="16" s="1"/>
  <c r="H20" i="1" s="1" a="1"/>
  <c r="H20" i="1" s="1"/>
  <c r="C19" i="16" a="1"/>
  <c r="C19" i="16" s="1"/>
  <c r="C16" i="1" s="1" a="1"/>
  <c r="C16" i="1" s="1"/>
  <c r="F14" i="16" a="1"/>
  <c r="F14" i="16" s="1"/>
  <c r="F11" i="1" s="1" a="1"/>
  <c r="F11" i="1" s="1"/>
  <c r="D12" i="16" a="1"/>
  <c r="D12" i="16" s="1"/>
  <c r="D9" i="1" s="1" a="1"/>
  <c r="D9" i="1" s="1"/>
  <c r="F16" i="16" a="1"/>
  <c r="F16" i="16" s="1"/>
  <c r="F13" i="1" s="1" a="1"/>
  <c r="F13" i="1" s="1"/>
  <c r="B12" i="16" a="1"/>
  <c r="B12" i="16" s="1"/>
  <c r="C22" i="16" a="1"/>
  <c r="C22" i="16" s="1"/>
  <c r="C19" i="1" s="1" a="1"/>
  <c r="C19" i="1" s="1"/>
  <c r="F17" i="16" a="1"/>
  <c r="F17" i="16" s="1"/>
  <c r="B13" i="16" a="1"/>
  <c r="B13" i="16" s="1"/>
  <c r="F23" i="16" a="1"/>
  <c r="F23" i="16" s="1"/>
  <c r="F20" i="1" s="1" a="1"/>
  <c r="F20" i="1" s="1"/>
  <c r="E22" i="16" a="1"/>
  <c r="E22" i="16" s="1"/>
  <c r="D21" i="16" a="1"/>
  <c r="D21" i="16" s="1"/>
  <c r="D18" i="1" s="1" a="1"/>
  <c r="D18" i="1" s="1"/>
  <c r="C20" i="16" a="1"/>
  <c r="C20" i="16" s="1"/>
  <c r="C17" i="1" s="1" a="1"/>
  <c r="C17" i="1" s="1"/>
  <c r="B19" i="16" a="1"/>
  <c r="B19" i="16" s="1"/>
  <c r="I17" i="16" a="1"/>
  <c r="I17" i="16" s="1"/>
  <c r="I14" i="1" s="1" a="1"/>
  <c r="I14" i="1" s="1"/>
  <c r="H16" i="16" a="1"/>
  <c r="H16" i="16" s="1"/>
  <c r="H13" i="1" s="1" a="1"/>
  <c r="H13" i="1" s="1"/>
  <c r="F15" i="16" a="1"/>
  <c r="F15" i="16" s="1"/>
  <c r="F12" i="1" s="1" a="1"/>
  <c r="F12" i="1" s="1"/>
  <c r="E14" i="16" a="1"/>
  <c r="E14" i="16" s="1"/>
  <c r="E11" i="1" s="1" a="1"/>
  <c r="E11" i="1" s="1"/>
  <c r="D13" i="16" a="1"/>
  <c r="D13" i="16" s="1"/>
  <c r="D10" i="1" s="1" a="1"/>
  <c r="D10" i="1" s="1"/>
  <c r="C12" i="16" a="1"/>
  <c r="C12" i="16" s="1"/>
  <c r="C9" i="1" s="1" a="1"/>
  <c r="C9" i="1" s="1"/>
  <c r="B11" i="16" a="1"/>
  <c r="B11" i="16" s="1"/>
  <c r="I9" i="16" a="1"/>
  <c r="I9" i="16" s="1"/>
  <c r="E23" i="16" a="1"/>
  <c r="E23" i="16" s="1"/>
  <c r="E20" i="1" s="1" a="1"/>
  <c r="E20" i="1" s="1"/>
  <c r="D22" i="16" a="1"/>
  <c r="D22" i="16" s="1"/>
  <c r="D19" i="1" s="1" a="1"/>
  <c r="D19" i="1" s="1"/>
  <c r="C21" i="16" a="1"/>
  <c r="C21" i="16" s="1"/>
  <c r="C18" i="1" s="1" a="1"/>
  <c r="C18" i="1" s="1"/>
  <c r="B20" i="16" a="1"/>
  <c r="B20" i="16" s="1"/>
  <c r="I18" i="16" a="1"/>
  <c r="I18" i="16" s="1"/>
  <c r="I15" i="1" s="1" a="1"/>
  <c r="I15" i="1" s="1"/>
  <c r="H17" i="16" a="1"/>
  <c r="H17" i="16" s="1"/>
  <c r="H14" i="1" s="1" a="1"/>
  <c r="H14" i="1" s="1"/>
  <c r="D14" i="16" a="1"/>
  <c r="D14" i="16" s="1"/>
  <c r="D11" i="1" s="1" a="1"/>
  <c r="D11" i="1" s="1"/>
  <c r="H9" i="16" a="1"/>
  <c r="H9" i="16" s="1"/>
  <c r="H6" i="1" s="1" a="1"/>
  <c r="H6" i="1" s="1"/>
  <c r="I19" i="16" a="1"/>
  <c r="I19" i="16" s="1"/>
  <c r="I16" i="1" s="1" a="1"/>
  <c r="I16" i="1" s="1"/>
  <c r="E16" i="16" a="1"/>
  <c r="E16" i="16" s="1"/>
  <c r="E13" i="1" s="1" a="1"/>
  <c r="E13" i="1" s="1"/>
  <c r="H10" i="16" a="1"/>
  <c r="H10" i="16" s="1"/>
  <c r="H7" i="1" s="1" a="1"/>
  <c r="H7" i="1" s="1"/>
  <c r="C23" i="16" a="1"/>
  <c r="C23" i="16" s="1"/>
  <c r="C20" i="1" s="1" a="1"/>
  <c r="C20" i="1" s="1"/>
  <c r="B22" i="16" a="1"/>
  <c r="B22" i="16" s="1"/>
  <c r="I20" i="16" a="1"/>
  <c r="I20" i="16" s="1"/>
  <c r="I17" i="1" s="1" a="1"/>
  <c r="I17" i="1" s="1"/>
  <c r="H19" i="16" a="1"/>
  <c r="H19" i="16" s="1"/>
  <c r="H16" i="1" s="1" a="1"/>
  <c r="H16" i="1" s="1"/>
  <c r="F18" i="16" a="1"/>
  <c r="F18" i="16" s="1"/>
  <c r="F15" i="1" s="1" a="1"/>
  <c r="F15" i="1" s="1"/>
  <c r="E17" i="16" a="1"/>
  <c r="E17" i="16" s="1"/>
  <c r="D16" i="16" a="1"/>
  <c r="D16" i="16" s="1"/>
  <c r="D13" i="1" s="1" a="1"/>
  <c r="D13" i="1" s="1"/>
  <c r="C15" i="16" a="1"/>
  <c r="C15" i="16" s="1"/>
  <c r="C12" i="1" s="1" a="1"/>
  <c r="C12" i="1" s="1"/>
  <c r="B14" i="16" a="1"/>
  <c r="B14" i="16" s="1"/>
  <c r="I12" i="16" a="1"/>
  <c r="I12" i="16" s="1"/>
  <c r="I9" i="1" s="1" a="1"/>
  <c r="I9" i="1" s="1"/>
  <c r="H11" i="16" a="1"/>
  <c r="H11" i="16" s="1"/>
  <c r="H8" i="1" s="1" a="1"/>
  <c r="H8" i="1" s="1"/>
  <c r="F10" i="16" a="1"/>
  <c r="F10" i="16" s="1"/>
  <c r="F7" i="1" s="1" a="1"/>
  <c r="F7" i="1" s="1"/>
  <c r="E9" i="16" a="1"/>
  <c r="E9" i="16" s="1"/>
  <c r="E6" i="1" s="1" a="1"/>
  <c r="E6" i="1" s="1"/>
  <c r="C9" i="16" a="1"/>
  <c r="C9" i="16" s="1"/>
  <c r="C6" i="1" s="1" a="1"/>
  <c r="C6" i="1" s="1"/>
  <c r="C18" i="16" a="1"/>
  <c r="C18" i="16" s="1"/>
  <c r="C15" i="1" s="1" a="1"/>
  <c r="C15" i="1" s="1"/>
  <c r="F13" i="16" a="1"/>
  <c r="F13" i="16" s="1"/>
  <c r="F10" i="1" s="1" a="1"/>
  <c r="F10" i="1" s="1"/>
  <c r="B6" i="1" a="1"/>
  <c r="B6" i="1" s="1"/>
  <c r="D20" i="16" a="1"/>
  <c r="D20" i="16" s="1"/>
  <c r="D17" i="1" s="1" a="1"/>
  <c r="D17" i="1" s="1"/>
  <c r="I16" i="16" a="1"/>
  <c r="I16" i="16" s="1"/>
  <c r="I13" i="1" s="1" a="1"/>
  <c r="I13" i="1" s="1"/>
  <c r="E13" i="16" a="1"/>
  <c r="E13" i="16" s="1"/>
  <c r="E10" i="1" s="1" a="1"/>
  <c r="E10" i="1" s="1"/>
  <c r="B10" i="16" a="1"/>
  <c r="B10" i="16" s="1"/>
  <c r="C13" i="16" a="1"/>
  <c r="C13" i="16" s="1"/>
  <c r="C10" i="1" s="1" a="1"/>
  <c r="C10" i="1" s="1"/>
  <c r="D23" i="16" a="1"/>
  <c r="D23" i="16" s="1"/>
  <c r="D20" i="1" s="1" a="1"/>
  <c r="D20" i="1" s="1"/>
  <c r="H18" i="16" a="1"/>
  <c r="H18" i="16" s="1"/>
  <c r="H15" i="1" s="1" a="1"/>
  <c r="H15" i="1" s="1"/>
  <c r="C14" i="16" a="1"/>
  <c r="C14" i="16" s="1"/>
  <c r="C11" i="1" s="1" a="1"/>
  <c r="C11" i="1" s="1"/>
  <c r="F9" i="16" a="1"/>
  <c r="F9" i="16" s="1"/>
  <c r="F6" i="1" s="1" a="1"/>
  <c r="F6" i="1" s="1"/>
  <c r="Q13" i="6"/>
  <c r="U5" i="6"/>
  <c r="T18" i="6"/>
  <c r="H33" i="6" s="1"/>
  <c r="R17" i="6"/>
  <c r="P16" i="6"/>
  <c r="T14" i="6"/>
  <c r="R13" i="6"/>
  <c r="P12" i="6"/>
  <c r="T10" i="6"/>
  <c r="R9" i="6"/>
  <c r="F27" i="6" s="1"/>
  <c r="P8" i="6"/>
  <c r="T6" i="6"/>
  <c r="E37" i="6"/>
  <c r="P5" i="6"/>
  <c r="S19" i="6"/>
  <c r="Q18" i="6"/>
  <c r="E33" i="6" s="1"/>
  <c r="U16" i="6"/>
  <c r="U15" i="6"/>
  <c r="I35" i="6" s="1"/>
  <c r="Q14" i="6"/>
  <c r="U12" i="6"/>
  <c r="S11" i="6"/>
  <c r="S10" i="6"/>
  <c r="U8" i="6"/>
  <c r="S6" i="6"/>
  <c r="Q5" i="6"/>
  <c r="R18" i="6"/>
  <c r="F33" i="6" s="1"/>
  <c r="T16" i="6"/>
  <c r="R14" i="6"/>
  <c r="T12" i="6"/>
  <c r="H36" i="6" s="1"/>
  <c r="R10" i="6"/>
  <c r="T8" i="6"/>
  <c r="R6" i="6"/>
  <c r="R5" i="6"/>
  <c r="Q19" i="6"/>
  <c r="U17" i="6"/>
  <c r="S16" i="6"/>
  <c r="Q15" i="6"/>
  <c r="E35" i="6" s="1"/>
  <c r="U13" i="6"/>
  <c r="S12" i="6"/>
  <c r="Q11" i="6"/>
  <c r="U9" i="6"/>
  <c r="I27" i="6" s="1"/>
  <c r="S8" i="6"/>
  <c r="Q7" i="6"/>
  <c r="E26" i="6" s="1"/>
  <c r="S5" i="6"/>
  <c r="P19" i="6"/>
  <c r="T17" i="6"/>
  <c r="R16" i="6"/>
  <c r="P15" i="6"/>
  <c r="D35" i="6" s="1"/>
  <c r="T13" i="6"/>
  <c r="R12" i="6"/>
  <c r="F36" i="6" s="1"/>
  <c r="P11" i="6"/>
  <c r="T9" i="6"/>
  <c r="H27" i="6" s="1"/>
  <c r="R8" i="6"/>
  <c r="P7" i="6"/>
  <c r="D26" i="6" s="1"/>
  <c r="S18" i="6"/>
  <c r="G33" i="6" s="1"/>
  <c r="S14" i="6"/>
  <c r="T19" i="6"/>
  <c r="S15" i="6"/>
  <c r="G35" i="6" s="1"/>
  <c r="Q10" i="6"/>
  <c r="Q6" i="6"/>
  <c r="P18" i="6"/>
  <c r="D33" i="6" s="1"/>
  <c r="P14" i="6"/>
  <c r="R11" i="6"/>
  <c r="P10" i="6"/>
  <c r="R7" i="6"/>
  <c r="F26" i="6" s="1"/>
  <c r="P6" i="6"/>
  <c r="U7" i="6"/>
  <c r="I26" i="6" s="1"/>
  <c r="T15" i="6"/>
  <c r="H35" i="6" s="1"/>
  <c r="U19" i="6"/>
  <c r="U11" i="6"/>
  <c r="C389" i="1" l="1"/>
  <c r="I6" i="1" a="1"/>
  <c r="I6" i="1" s="1"/>
  <c r="M6" i="1" s="1"/>
  <c r="I156" i="26"/>
  <c r="H150" i="26"/>
  <c r="H156" i="26" s="1"/>
  <c r="I147" i="26"/>
  <c r="K119" i="17"/>
  <c r="H392" i="1" s="1"/>
  <c r="I145" i="26"/>
  <c r="I155" i="26" s="1"/>
  <c r="K117" i="17"/>
  <c r="F392" i="1" s="1"/>
  <c r="I146" i="26"/>
  <c r="H146" i="26" s="1"/>
  <c r="K118" i="17"/>
  <c r="G392" i="1" s="1"/>
  <c r="I148" i="26"/>
  <c r="I157" i="26" s="1"/>
  <c r="K120" i="17"/>
  <c r="I392" i="1" s="1"/>
  <c r="I142" i="26"/>
  <c r="I152" i="26" s="1"/>
  <c r="K114" i="17"/>
  <c r="I149" i="26"/>
  <c r="I158" i="26" s="1"/>
  <c r="I143" i="26"/>
  <c r="H143" i="26" s="1"/>
  <c r="K115" i="17"/>
  <c r="D392" i="1" s="1"/>
  <c r="I144" i="26"/>
  <c r="K116" i="17"/>
  <c r="E392" i="1" s="1"/>
  <c r="J11" i="16"/>
  <c r="J10" i="16"/>
  <c r="J19" i="16"/>
  <c r="J12" i="16"/>
  <c r="J17" i="16"/>
  <c r="J22" i="16"/>
  <c r="J18" i="16"/>
  <c r="J23" i="16"/>
  <c r="E36" i="6"/>
  <c r="E38" i="6"/>
  <c r="J14" i="16"/>
  <c r="J20" i="16"/>
  <c r="J15" i="16"/>
  <c r="J13" i="16"/>
  <c r="J16" i="16"/>
  <c r="J21" i="16"/>
  <c r="J9" i="16"/>
  <c r="B150" i="58" s="1"/>
  <c r="E48" i="1"/>
  <c r="D48" i="1"/>
  <c r="D88" i="1" s="1"/>
  <c r="H48" i="1"/>
  <c r="H88" i="1" s="1"/>
  <c r="I48" i="1"/>
  <c r="I88" i="1" s="1"/>
  <c r="C48" i="1"/>
  <c r="C88" i="1" s="1"/>
  <c r="F48" i="1"/>
  <c r="F88" i="1" s="1"/>
  <c r="B16" i="1" a="1"/>
  <c r="B16" i="1" s="1"/>
  <c r="B9" i="1" a="1"/>
  <c r="B9" i="1" s="1"/>
  <c r="B15" i="1" a="1"/>
  <c r="B15" i="1" s="1"/>
  <c r="B7" i="1" a="1"/>
  <c r="B7" i="1" s="1"/>
  <c r="M7" i="1" s="1"/>
  <c r="N7" i="1" s="1"/>
  <c r="B8" i="1" a="1"/>
  <c r="B8" i="1" s="1"/>
  <c r="M8" i="1" s="1"/>
  <c r="N8" i="1" s="1"/>
  <c r="B19" i="1" a="1"/>
  <c r="B19" i="1" s="1"/>
  <c r="B20" i="1" a="1"/>
  <c r="B20" i="1" s="1"/>
  <c r="B17" i="1" a="1"/>
  <c r="B17" i="1" s="1"/>
  <c r="B12" i="1" a="1"/>
  <c r="B12" i="1" s="1"/>
  <c r="B10" i="1" a="1"/>
  <c r="B10" i="1" s="1"/>
  <c r="B13" i="1" a="1"/>
  <c r="B13" i="1" s="1"/>
  <c r="N402" i="12" s="1"/>
  <c r="B18" i="1" a="1"/>
  <c r="B18" i="1" s="1"/>
  <c r="M18" i="1" s="1"/>
  <c r="N18" i="1" s="1"/>
  <c r="I143" i="52"/>
  <c r="I144" i="52"/>
  <c r="K112" i="17"/>
  <c r="J389" i="1" s="1"/>
  <c r="I142" i="52"/>
  <c r="I152" i="52" s="1"/>
  <c r="G157" i="26"/>
  <c r="H197" i="23"/>
  <c r="G203" i="23"/>
  <c r="N197" i="23"/>
  <c r="G204" i="23"/>
  <c r="N204" i="23" s="1"/>
  <c r="G144" i="26"/>
  <c r="K107" i="17"/>
  <c r="E389" i="1" s="1"/>
  <c r="P203" i="23"/>
  <c r="O220" i="23" s="1"/>
  <c r="Q220" i="23" s="1"/>
  <c r="G295" i="23" s="1"/>
  <c r="O171" i="23"/>
  <c r="Q171" i="23" s="1"/>
  <c r="G246" i="23" s="1"/>
  <c r="I246" i="23" s="1"/>
  <c r="H199" i="23"/>
  <c r="N199" i="23"/>
  <c r="G208" i="23"/>
  <c r="N208" i="23" s="1"/>
  <c r="H194" i="23"/>
  <c r="O194" i="23" s="1"/>
  <c r="N194" i="23"/>
  <c r="C127" i="1"/>
  <c r="I148" i="52"/>
  <c r="I157" i="52" s="1"/>
  <c r="H157" i="52"/>
  <c r="G153" i="26"/>
  <c r="H147" i="26"/>
  <c r="G154" i="26"/>
  <c r="N195" i="23"/>
  <c r="G205" i="23"/>
  <c r="N205" i="23" s="1"/>
  <c r="H195" i="23"/>
  <c r="J153" i="52"/>
  <c r="O119" i="52" s="1"/>
  <c r="Q119" i="52" s="1"/>
  <c r="H182" i="52" s="1"/>
  <c r="J154" i="52"/>
  <c r="K110" i="17"/>
  <c r="H389" i="1" s="1"/>
  <c r="O192" i="23"/>
  <c r="H202" i="23"/>
  <c r="H155" i="52"/>
  <c r="I145" i="52"/>
  <c r="I155" i="52" s="1"/>
  <c r="N193" i="23"/>
  <c r="H193" i="23"/>
  <c r="O193" i="23" s="1"/>
  <c r="P208" i="23"/>
  <c r="O173" i="23"/>
  <c r="Q173" i="23" s="1"/>
  <c r="I153" i="26"/>
  <c r="O119" i="26" s="1"/>
  <c r="Q119" i="26" s="1"/>
  <c r="H182" i="26" s="1"/>
  <c r="I154" i="26"/>
  <c r="O120" i="26" s="1"/>
  <c r="Q120" i="26" s="1"/>
  <c r="H180" i="26" s="1"/>
  <c r="H154" i="52"/>
  <c r="H153" i="52"/>
  <c r="I147" i="52"/>
  <c r="N196" i="23"/>
  <c r="H196" i="23"/>
  <c r="O196" i="23" s="1"/>
  <c r="H158" i="52"/>
  <c r="I149" i="52"/>
  <c r="I158" i="52" s="1"/>
  <c r="N198" i="23"/>
  <c r="G207" i="23"/>
  <c r="N207" i="23" s="1"/>
  <c r="H198" i="23"/>
  <c r="P202" i="23"/>
  <c r="I210" i="23"/>
  <c r="I211" i="23" s="1"/>
  <c r="K109" i="17"/>
  <c r="G389" i="1" s="1"/>
  <c r="G158" i="26"/>
  <c r="K111" i="17"/>
  <c r="I389" i="1" s="1"/>
  <c r="O172" i="23"/>
  <c r="Q172" i="23" s="1"/>
  <c r="G244" i="23" s="1"/>
  <c r="I244" i="23" s="1"/>
  <c r="K244" i="23" s="1"/>
  <c r="P204" i="23"/>
  <c r="O221" i="23" s="1"/>
  <c r="Q221" i="23" s="1"/>
  <c r="G294" i="23" s="1"/>
  <c r="F38" i="6"/>
  <c r="B11" i="1" a="1"/>
  <c r="B11" i="1" s="1"/>
  <c r="K3" i="17"/>
  <c r="K5" i="17"/>
  <c r="K4" i="17"/>
  <c r="C6" i="17"/>
  <c r="K6" i="17" s="1"/>
  <c r="F14" i="1" a="1"/>
  <c r="F14" i="1" s="1"/>
  <c r="B168" i="58"/>
  <c r="E14" i="1" a="1"/>
  <c r="E14" i="1" s="1"/>
  <c r="D266" i="12"/>
  <c r="G266" i="12"/>
  <c r="H21" i="1"/>
  <c r="I16" i="12" s="1"/>
  <c r="I266" i="12"/>
  <c r="E266" i="12"/>
  <c r="F266" i="12"/>
  <c r="D21" i="1"/>
  <c r="E402" i="12" s="1"/>
  <c r="J266" i="12"/>
  <c r="C135" i="1"/>
  <c r="C139" i="1"/>
  <c r="C138" i="1"/>
  <c r="C137" i="1"/>
  <c r="H38" i="6"/>
  <c r="G37" i="6"/>
  <c r="G39" i="6"/>
  <c r="H37" i="6"/>
  <c r="H39" i="6"/>
  <c r="D37" i="6"/>
  <c r="D39" i="6"/>
  <c r="I37" i="6"/>
  <c r="I39" i="6"/>
  <c r="G38" i="6"/>
  <c r="I38" i="6"/>
  <c r="F39" i="6"/>
  <c r="F37" i="6"/>
  <c r="D38" i="6"/>
  <c r="D36" i="6"/>
  <c r="G36" i="6"/>
  <c r="I36" i="6"/>
  <c r="C392" i="1" l="1"/>
  <c r="B319" i="1" a="1"/>
  <c r="B318" i="1" a="1"/>
  <c r="I21" i="1"/>
  <c r="E88" i="1"/>
  <c r="H149" i="26"/>
  <c r="H158" i="26" s="1"/>
  <c r="H145" i="26"/>
  <c r="H155" i="26" s="1"/>
  <c r="H142" i="26"/>
  <c r="H152" i="26" s="1"/>
  <c r="N121" i="26"/>
  <c r="P121" i="26" s="1"/>
  <c r="N122" i="26"/>
  <c r="P122" i="26" s="1"/>
  <c r="H172" i="26" s="1"/>
  <c r="O122" i="26"/>
  <c r="Q122" i="26" s="1"/>
  <c r="H183" i="26" s="1"/>
  <c r="O121" i="26"/>
  <c r="Q121" i="26" s="1"/>
  <c r="H144" i="26"/>
  <c r="H148" i="26"/>
  <c r="H157" i="26" s="1"/>
  <c r="M12" i="1"/>
  <c r="N12" i="1" s="1"/>
  <c r="B48" i="1"/>
  <c r="B88" i="1" s="1"/>
  <c r="M16" i="1"/>
  <c r="N16" i="1" s="1"/>
  <c r="M17" i="1"/>
  <c r="N17" i="1" s="1"/>
  <c r="M9" i="1"/>
  <c r="N9" i="1" s="1"/>
  <c r="M10" i="1"/>
  <c r="N10" i="1" s="1"/>
  <c r="M13" i="1"/>
  <c r="C266" i="12"/>
  <c r="R342" i="52"/>
  <c r="R350" i="52"/>
  <c r="R343" i="52"/>
  <c r="R351" i="52"/>
  <c r="R344" i="52"/>
  <c r="R352" i="52"/>
  <c r="J182" i="52"/>
  <c r="M182" i="52" s="1"/>
  <c r="R345" i="52"/>
  <c r="R353" i="52"/>
  <c r="R346" i="52"/>
  <c r="R354" i="52"/>
  <c r="R347" i="52"/>
  <c r="R355" i="52"/>
  <c r="R348" i="52"/>
  <c r="R356" i="52"/>
  <c r="R341" i="52"/>
  <c r="R349" i="52"/>
  <c r="R340" i="52"/>
  <c r="M20" i="1"/>
  <c r="N20" i="1" s="1"/>
  <c r="R329" i="26"/>
  <c r="R337" i="26"/>
  <c r="R345" i="26"/>
  <c r="R336" i="26"/>
  <c r="R330" i="26"/>
  <c r="R338" i="26"/>
  <c r="R331" i="26"/>
  <c r="R339" i="26"/>
  <c r="R324" i="26"/>
  <c r="R332" i="26"/>
  <c r="R340" i="26"/>
  <c r="R328" i="26"/>
  <c r="R325" i="26"/>
  <c r="R333" i="26"/>
  <c r="R341" i="26"/>
  <c r="R326" i="26"/>
  <c r="R334" i="26"/>
  <c r="R342" i="26"/>
  <c r="J182" i="26"/>
  <c r="R327" i="26"/>
  <c r="R335" i="26"/>
  <c r="R343" i="26"/>
  <c r="R344" i="26"/>
  <c r="P278" i="26"/>
  <c r="J180" i="26"/>
  <c r="L180" i="26" s="1"/>
  <c r="P279" i="26"/>
  <c r="P280" i="26"/>
  <c r="P277" i="26"/>
  <c r="M15" i="1"/>
  <c r="N15" i="1" s="1"/>
  <c r="Q535" i="23"/>
  <c r="I294" i="23"/>
  <c r="L294" i="23" s="1"/>
  <c r="Q532" i="23"/>
  <c r="Q533" i="23"/>
  <c r="Q534" i="23"/>
  <c r="R543" i="23"/>
  <c r="R551" i="23"/>
  <c r="R541" i="23"/>
  <c r="R542" i="23"/>
  <c r="R536" i="23"/>
  <c r="R544" i="23"/>
  <c r="R552" i="23"/>
  <c r="R559" i="23"/>
  <c r="R546" i="23"/>
  <c r="R539" i="23"/>
  <c r="R555" i="23"/>
  <c r="R540" i="23"/>
  <c r="R548" i="23"/>
  <c r="R549" i="23"/>
  <c r="R550" i="23"/>
  <c r="R558" i="23"/>
  <c r="R537" i="23"/>
  <c r="R545" i="23"/>
  <c r="R553" i="23"/>
  <c r="R538" i="23"/>
  <c r="R554" i="23"/>
  <c r="R560" i="23"/>
  <c r="R547" i="23"/>
  <c r="I295" i="23"/>
  <c r="L295" i="23" s="1"/>
  <c r="R556" i="23"/>
  <c r="R557" i="23"/>
  <c r="K246" i="23"/>
  <c r="L246" i="23"/>
  <c r="J16" i="12"/>
  <c r="G160" i="26"/>
  <c r="O123" i="26" s="1"/>
  <c r="Q123" i="26" s="1"/>
  <c r="H184" i="26" s="1"/>
  <c r="H160" i="52"/>
  <c r="H161" i="52" s="1"/>
  <c r="P210" i="23"/>
  <c r="P211" i="23" s="1"/>
  <c r="O218" i="23" s="1"/>
  <c r="B309" i="1" a="1"/>
  <c r="B309" i="1" s="1"/>
  <c r="B313" i="1" s="1"/>
  <c r="H205" i="23"/>
  <c r="O205" i="23" s="1"/>
  <c r="O195" i="23"/>
  <c r="H208" i="23"/>
  <c r="O199" i="23"/>
  <c r="O202" i="23"/>
  <c r="H204" i="23"/>
  <c r="H203" i="23"/>
  <c r="O197" i="23"/>
  <c r="H153" i="26"/>
  <c r="N119" i="26" s="1"/>
  <c r="P119" i="26" s="1"/>
  <c r="H171" i="26" s="1"/>
  <c r="H154" i="26"/>
  <c r="N203" i="23"/>
  <c r="N210" i="23" s="1"/>
  <c r="G210" i="23"/>
  <c r="I160" i="26"/>
  <c r="I161" i="26" s="1"/>
  <c r="O170" i="23"/>
  <c r="Q170" i="23" s="1"/>
  <c r="G243" i="23" s="1"/>
  <c r="O169" i="23"/>
  <c r="Q169" i="23" s="1"/>
  <c r="G245" i="23" s="1"/>
  <c r="H207" i="23"/>
  <c r="O207" i="23" s="1"/>
  <c r="O198" i="23"/>
  <c r="I154" i="52"/>
  <c r="N120" i="52" s="1"/>
  <c r="P120" i="52" s="1"/>
  <c r="H170" i="52" s="1"/>
  <c r="I153" i="52"/>
  <c r="J160" i="52"/>
  <c r="J161" i="52" s="1"/>
  <c r="O120" i="52"/>
  <c r="Q120" i="52" s="1"/>
  <c r="H180" i="52" s="1"/>
  <c r="F19" i="1" a="1"/>
  <c r="F19" i="1" s="1"/>
  <c r="M11" i="1"/>
  <c r="B171" i="58"/>
  <c r="C194" i="58" s="1"/>
  <c r="C35" i="16" s="1"/>
  <c r="B170" i="58"/>
  <c r="B194" i="58" s="1"/>
  <c r="N6" i="1"/>
  <c r="E16" i="12"/>
  <c r="H215" i="1"/>
  <c r="H254" i="1" s="1"/>
  <c r="B318" i="1" l="1"/>
  <c r="G318" i="1" s="1"/>
  <c r="F318" i="1"/>
  <c r="E318" i="1"/>
  <c r="D318" i="1"/>
  <c r="C318" i="1"/>
  <c r="B319" i="1"/>
  <c r="G319" i="1" s="1"/>
  <c r="D319" i="1"/>
  <c r="F319" i="1"/>
  <c r="E319" i="1"/>
  <c r="C319" i="1"/>
  <c r="B341" i="1"/>
  <c r="D148" i="58"/>
  <c r="B111" i="1"/>
  <c r="D111" i="1" s="1"/>
  <c r="G111" i="1" s="1"/>
  <c r="S368" i="26"/>
  <c r="S353" i="26"/>
  <c r="S370" i="26"/>
  <c r="S371" i="26"/>
  <c r="S380" i="26"/>
  <c r="S350" i="26"/>
  <c r="S369" i="26"/>
  <c r="S349" i="26"/>
  <c r="S392" i="26"/>
  <c r="S357" i="26"/>
  <c r="J183" i="26"/>
  <c r="L183" i="26" s="1"/>
  <c r="S382" i="26"/>
  <c r="S347" i="26"/>
  <c r="S390" i="26"/>
  <c r="S383" i="26"/>
  <c r="S355" i="26"/>
  <c r="S362" i="26"/>
  <c r="S376" i="26"/>
  <c r="S361" i="26"/>
  <c r="S378" i="26"/>
  <c r="S379" i="26"/>
  <c r="S388" i="26"/>
  <c r="S358" i="26"/>
  <c r="S387" i="26"/>
  <c r="S359" i="26"/>
  <c r="S385" i="26"/>
  <c r="S365" i="26"/>
  <c r="S375" i="26"/>
  <c r="S356" i="26"/>
  <c r="S354" i="26"/>
  <c r="S381" i="26"/>
  <c r="S360" i="26"/>
  <c r="S389" i="26"/>
  <c r="S384" i="26"/>
  <c r="S386" i="26"/>
  <c r="S366" i="26"/>
  <c r="S377" i="26"/>
  <c r="S346" i="26"/>
  <c r="S351" i="26"/>
  <c r="S348" i="26"/>
  <c r="S393" i="26"/>
  <c r="S373" i="26"/>
  <c r="S352" i="26"/>
  <c r="S364" i="26"/>
  <c r="S391" i="26"/>
  <c r="S374" i="26"/>
  <c r="S367" i="26"/>
  <c r="S372" i="26"/>
  <c r="S363" i="26"/>
  <c r="K304" i="26"/>
  <c r="K306" i="26"/>
  <c r="K293" i="26"/>
  <c r="K291" i="26"/>
  <c r="K301" i="26"/>
  <c r="K295" i="26"/>
  <c r="K302" i="26"/>
  <c r="K299" i="26"/>
  <c r="K303" i="26"/>
  <c r="K307" i="26"/>
  <c r="K305" i="26"/>
  <c r="K289" i="26"/>
  <c r="K308" i="26"/>
  <c r="K298" i="26"/>
  <c r="K312" i="26"/>
  <c r="K297" i="26"/>
  <c r="K292" i="26"/>
  <c r="K300" i="26"/>
  <c r="K310" i="26"/>
  <c r="J172" i="26"/>
  <c r="L172" i="26" s="1"/>
  <c r="K309" i="26"/>
  <c r="K311" i="26"/>
  <c r="K294" i="26"/>
  <c r="K290" i="26"/>
  <c r="K296" i="26"/>
  <c r="E12" i="67"/>
  <c r="B35" i="16"/>
  <c r="J35" i="16" s="1"/>
  <c r="K128" i="17"/>
  <c r="B594" i="1" s="1"/>
  <c r="J53" i="16"/>
  <c r="N13" i="1"/>
  <c r="B91" i="63"/>
  <c r="C91" i="63" s="1"/>
  <c r="F21" i="1"/>
  <c r="C608" i="1" s="1"/>
  <c r="C14" i="1" a="1"/>
  <c r="C14" i="1" s="1"/>
  <c r="C21" i="1" s="1"/>
  <c r="D402" i="12" s="1"/>
  <c r="J58" i="16"/>
  <c r="B52" i="72" s="1"/>
  <c r="D52" i="72" s="1"/>
  <c r="E19" i="1" a="1"/>
  <c r="E19" i="1" s="1"/>
  <c r="M48" i="1"/>
  <c r="B432" i="1" s="1"/>
  <c r="J284" i="26"/>
  <c r="J285" i="26"/>
  <c r="J171" i="26"/>
  <c r="J286" i="26"/>
  <c r="J279" i="26"/>
  <c r="J287" i="26"/>
  <c r="J282" i="26"/>
  <c r="J280" i="26"/>
  <c r="J288" i="26"/>
  <c r="J281" i="26"/>
  <c r="J278" i="26"/>
  <c r="J283" i="26"/>
  <c r="M182" i="26"/>
  <c r="L182" i="26"/>
  <c r="P289" i="52"/>
  <c r="P290" i="52"/>
  <c r="P291" i="52"/>
  <c r="P292" i="52"/>
  <c r="P287" i="52"/>
  <c r="J180" i="52"/>
  <c r="P288" i="52"/>
  <c r="T399" i="26"/>
  <c r="T407" i="26"/>
  <c r="T415" i="26"/>
  <c r="T423" i="26"/>
  <c r="T431" i="26"/>
  <c r="T439" i="26"/>
  <c r="T447" i="26"/>
  <c r="T455" i="26"/>
  <c r="T463" i="26"/>
  <c r="T471" i="26"/>
  <c r="T479" i="26"/>
  <c r="T487" i="26"/>
  <c r="T495" i="26"/>
  <c r="T503" i="26"/>
  <c r="T511" i="26"/>
  <c r="T519" i="26"/>
  <c r="T527" i="26"/>
  <c r="T535" i="26"/>
  <c r="T543" i="26"/>
  <c r="T400" i="26"/>
  <c r="T408" i="26"/>
  <c r="T416" i="26"/>
  <c r="T424" i="26"/>
  <c r="T432" i="26"/>
  <c r="T440" i="26"/>
  <c r="T448" i="26"/>
  <c r="T456" i="26"/>
  <c r="T464" i="26"/>
  <c r="T472" i="26"/>
  <c r="T480" i="26"/>
  <c r="T488" i="26"/>
  <c r="T496" i="26"/>
  <c r="T504" i="26"/>
  <c r="T512" i="26"/>
  <c r="T520" i="26"/>
  <c r="T528" i="26"/>
  <c r="T536" i="26"/>
  <c r="T401" i="26"/>
  <c r="T409" i="26"/>
  <c r="T417" i="26"/>
  <c r="T425" i="26"/>
  <c r="T402" i="26"/>
  <c r="T410" i="26"/>
  <c r="T418" i="26"/>
  <c r="T426" i="26"/>
  <c r="T434" i="26"/>
  <c r="T442" i="26"/>
  <c r="T450" i="26"/>
  <c r="T458" i="26"/>
  <c r="T466" i="26"/>
  <c r="T474" i="26"/>
  <c r="T482" i="26"/>
  <c r="T490" i="26"/>
  <c r="T498" i="26"/>
  <c r="T506" i="26"/>
  <c r="T514" i="26"/>
  <c r="T522" i="26"/>
  <c r="T530" i="26"/>
  <c r="T396" i="26"/>
  <c r="T404" i="26"/>
  <c r="T412" i="26"/>
  <c r="T420" i="26"/>
  <c r="T428" i="26"/>
  <c r="T436" i="26"/>
  <c r="T444" i="26"/>
  <c r="T452" i="26"/>
  <c r="T460" i="26"/>
  <c r="T468" i="26"/>
  <c r="T476" i="26"/>
  <c r="T484" i="26"/>
  <c r="T492" i="26"/>
  <c r="T500" i="26"/>
  <c r="T508" i="26"/>
  <c r="T516" i="26"/>
  <c r="T524" i="26"/>
  <c r="T532" i="26"/>
  <c r="T540" i="26"/>
  <c r="T403" i="26"/>
  <c r="T422" i="26"/>
  <c r="T441" i="26"/>
  <c r="T457" i="26"/>
  <c r="T473" i="26"/>
  <c r="T489" i="26"/>
  <c r="T505" i="26"/>
  <c r="T521" i="26"/>
  <c r="T537" i="26"/>
  <c r="T547" i="26"/>
  <c r="T555" i="26"/>
  <c r="T405" i="26"/>
  <c r="T427" i="26"/>
  <c r="T443" i="26"/>
  <c r="T459" i="26"/>
  <c r="T475" i="26"/>
  <c r="T491" i="26"/>
  <c r="T507" i="26"/>
  <c r="T523" i="26"/>
  <c r="T538" i="26"/>
  <c r="T548" i="26"/>
  <c r="T556" i="26"/>
  <c r="T406" i="26"/>
  <c r="T429" i="26"/>
  <c r="T445" i="26"/>
  <c r="T461" i="26"/>
  <c r="T477" i="26"/>
  <c r="T493" i="26"/>
  <c r="T509" i="26"/>
  <c r="T525" i="26"/>
  <c r="T539" i="26"/>
  <c r="T549" i="26"/>
  <c r="T557" i="26"/>
  <c r="T554" i="26"/>
  <c r="T411" i="26"/>
  <c r="T430" i="26"/>
  <c r="T446" i="26"/>
  <c r="T462" i="26"/>
  <c r="T478" i="26"/>
  <c r="T494" i="26"/>
  <c r="T510" i="26"/>
  <c r="T526" i="26"/>
  <c r="T541" i="26"/>
  <c r="T550" i="26"/>
  <c r="T413" i="26"/>
  <c r="T433" i="26"/>
  <c r="T449" i="26"/>
  <c r="T465" i="26"/>
  <c r="T481" i="26"/>
  <c r="T497" i="26"/>
  <c r="T513" i="26"/>
  <c r="T529" i="26"/>
  <c r="T542" i="26"/>
  <c r="T551" i="26"/>
  <c r="T395" i="26"/>
  <c r="T414" i="26"/>
  <c r="T435" i="26"/>
  <c r="T451" i="26"/>
  <c r="T467" i="26"/>
  <c r="T483" i="26"/>
  <c r="T499" i="26"/>
  <c r="T515" i="26"/>
  <c r="T531" i="26"/>
  <c r="T544" i="26"/>
  <c r="T552" i="26"/>
  <c r="T546" i="26"/>
  <c r="T397" i="26"/>
  <c r="T419" i="26"/>
  <c r="T437" i="26"/>
  <c r="T453" i="26"/>
  <c r="T469" i="26"/>
  <c r="T485" i="26"/>
  <c r="T501" i="26"/>
  <c r="T517" i="26"/>
  <c r="T533" i="26"/>
  <c r="T545" i="26"/>
  <c r="T553" i="26"/>
  <c r="T398" i="26"/>
  <c r="T421" i="26"/>
  <c r="T438" i="26"/>
  <c r="T454" i="26"/>
  <c r="T470" i="26"/>
  <c r="T486" i="26"/>
  <c r="T502" i="26"/>
  <c r="T518" i="26"/>
  <c r="T534" i="26"/>
  <c r="J184" i="26"/>
  <c r="L184" i="26" s="1"/>
  <c r="J170" i="52"/>
  <c r="I268" i="52"/>
  <c r="I267" i="52"/>
  <c r="K294" i="23"/>
  <c r="Q218" i="23"/>
  <c r="G293" i="23" s="1"/>
  <c r="N123" i="52"/>
  <c r="P123" i="52" s="1"/>
  <c r="H173" i="52" s="1"/>
  <c r="N123" i="26"/>
  <c r="P123" i="26" s="1"/>
  <c r="H173" i="26" s="1"/>
  <c r="T394" i="26"/>
  <c r="G161" i="26"/>
  <c r="I245" i="23"/>
  <c r="L244" i="23"/>
  <c r="I243" i="23"/>
  <c r="I242" i="23"/>
  <c r="K242" i="23" s="1"/>
  <c r="O123" i="52"/>
  <c r="Q123" i="52" s="1"/>
  <c r="H184" i="52" s="1"/>
  <c r="O219" i="23"/>
  <c r="N211" i="23"/>
  <c r="N224" i="23"/>
  <c r="P224" i="23" s="1"/>
  <c r="G286" i="23" s="1"/>
  <c r="N172" i="23"/>
  <c r="P172" i="23" s="1"/>
  <c r="G234" i="23" s="1"/>
  <c r="I234" i="23" s="1"/>
  <c r="K234" i="23" s="1"/>
  <c r="O204" i="23"/>
  <c r="N221" i="23" s="1"/>
  <c r="P221" i="23" s="1"/>
  <c r="G283" i="23" s="1"/>
  <c r="I283" i="23" s="1"/>
  <c r="H210" i="23"/>
  <c r="O118" i="26"/>
  <c r="Q118" i="26" s="1"/>
  <c r="H179" i="26" s="1"/>
  <c r="O190" i="26" s="1"/>
  <c r="O117" i="26"/>
  <c r="Q117" i="26" s="1"/>
  <c r="H181" i="26" s="1"/>
  <c r="H160" i="26"/>
  <c r="H161" i="26" s="1"/>
  <c r="N120" i="26"/>
  <c r="P120" i="26" s="1"/>
  <c r="H170" i="26" s="1"/>
  <c r="K295" i="23"/>
  <c r="N173" i="23"/>
  <c r="P173" i="23" s="1"/>
  <c r="O208" i="23"/>
  <c r="O118" i="52"/>
  <c r="O117" i="52"/>
  <c r="Q117" i="52" s="1"/>
  <c r="H181" i="52" s="1"/>
  <c r="F390" i="1"/>
  <c r="C390" i="1"/>
  <c r="E390" i="1"/>
  <c r="E161" i="12" s="1"/>
  <c r="I390" i="1"/>
  <c r="I161" i="12" s="1"/>
  <c r="D390" i="1"/>
  <c r="G390" i="1"/>
  <c r="H390" i="1"/>
  <c r="I160" i="52"/>
  <c r="I161" i="52" s="1"/>
  <c r="N119" i="52"/>
  <c r="P119" i="52" s="1"/>
  <c r="H171" i="52" s="1"/>
  <c r="G211" i="23"/>
  <c r="N175" i="23"/>
  <c r="P175" i="23" s="1"/>
  <c r="G236" i="23" s="1"/>
  <c r="N171" i="23"/>
  <c r="P171" i="23" s="1"/>
  <c r="G235" i="23" s="1"/>
  <c r="O203" i="23"/>
  <c r="N220" i="23" s="1"/>
  <c r="P220" i="23" s="1"/>
  <c r="G284" i="23" s="1"/>
  <c r="B370" i="12"/>
  <c r="H293" i="1"/>
  <c r="M88" i="1"/>
  <c r="N88" i="1" s="1"/>
  <c r="H195" i="1"/>
  <c r="B47" i="72" l="1"/>
  <c r="B55" i="72" s="1"/>
  <c r="B57" i="72" s="1"/>
  <c r="C150" i="58"/>
  <c r="B14" i="1" a="1"/>
  <c r="B14" i="1" s="1"/>
  <c r="B21" i="1" s="1"/>
  <c r="M183" i="26"/>
  <c r="B595" i="1"/>
  <c r="P402" i="12"/>
  <c r="G16" i="12"/>
  <c r="G161" i="12" s="1"/>
  <c r="G402" i="12"/>
  <c r="E21" i="1"/>
  <c r="B406" i="1" s="1"/>
  <c r="C406" i="1" s="1"/>
  <c r="M19" i="1"/>
  <c r="N19" i="1" s="1"/>
  <c r="N48" i="1"/>
  <c r="T421" i="52"/>
  <c r="T429" i="52"/>
  <c r="T437" i="52"/>
  <c r="T445" i="52"/>
  <c r="T453" i="52"/>
  <c r="T461" i="52"/>
  <c r="T469" i="52"/>
  <c r="T477" i="52"/>
  <c r="T485" i="52"/>
  <c r="T493" i="52"/>
  <c r="T501" i="52"/>
  <c r="T509" i="52"/>
  <c r="T517" i="52"/>
  <c r="T525" i="52"/>
  <c r="T533" i="52"/>
  <c r="T541" i="52"/>
  <c r="T549" i="52"/>
  <c r="T557" i="52"/>
  <c r="T565" i="52"/>
  <c r="T573" i="52"/>
  <c r="T581" i="52"/>
  <c r="T589" i="52"/>
  <c r="T597" i="52"/>
  <c r="T605" i="52"/>
  <c r="T613" i="52"/>
  <c r="T621" i="52"/>
  <c r="T629" i="52"/>
  <c r="T637" i="52"/>
  <c r="T645" i="52"/>
  <c r="T653" i="52"/>
  <c r="M183" i="52"/>
  <c r="T422" i="52"/>
  <c r="T430" i="52"/>
  <c r="T438" i="52"/>
  <c r="T446" i="52"/>
  <c r="T454" i="52"/>
  <c r="T462" i="52"/>
  <c r="T470" i="52"/>
  <c r="T478" i="52"/>
  <c r="T486" i="52"/>
  <c r="T494" i="52"/>
  <c r="T502" i="52"/>
  <c r="T510" i="52"/>
  <c r="T518" i="52"/>
  <c r="T526" i="52"/>
  <c r="T534" i="52"/>
  <c r="T542" i="52"/>
  <c r="T550" i="52"/>
  <c r="T558" i="52"/>
  <c r="T566" i="52"/>
  <c r="T574" i="52"/>
  <c r="T582" i="52"/>
  <c r="T590" i="52"/>
  <c r="T598" i="52"/>
  <c r="T606" i="52"/>
  <c r="T614" i="52"/>
  <c r="T622" i="52"/>
  <c r="T630" i="52"/>
  <c r="T638" i="52"/>
  <c r="T646" i="52"/>
  <c r="T418" i="52"/>
  <c r="T423" i="52"/>
  <c r="T431" i="52"/>
  <c r="T439" i="52"/>
  <c r="T447" i="52"/>
  <c r="T455" i="52"/>
  <c r="T463" i="52"/>
  <c r="T471" i="52"/>
  <c r="T479" i="52"/>
  <c r="T487" i="52"/>
  <c r="T495" i="52"/>
  <c r="T503" i="52"/>
  <c r="T511" i="52"/>
  <c r="T519" i="52"/>
  <c r="T527" i="52"/>
  <c r="T535" i="52"/>
  <c r="T543" i="52"/>
  <c r="T551" i="52"/>
  <c r="T559" i="52"/>
  <c r="T567" i="52"/>
  <c r="T575" i="52"/>
  <c r="T583" i="52"/>
  <c r="T591" i="52"/>
  <c r="T599" i="52"/>
  <c r="T607" i="52"/>
  <c r="T615" i="52"/>
  <c r="T623" i="52"/>
  <c r="T631" i="52"/>
  <c r="T639" i="52"/>
  <c r="T647" i="52"/>
  <c r="T424" i="52"/>
  <c r="T432" i="52"/>
  <c r="T440" i="52"/>
  <c r="T448" i="52"/>
  <c r="T456" i="52"/>
  <c r="T464" i="52"/>
  <c r="T472" i="52"/>
  <c r="T480" i="52"/>
  <c r="T488" i="52"/>
  <c r="T496" i="52"/>
  <c r="T504" i="52"/>
  <c r="T512" i="52"/>
  <c r="T520" i="52"/>
  <c r="T528" i="52"/>
  <c r="T536" i="52"/>
  <c r="T544" i="52"/>
  <c r="T552" i="52"/>
  <c r="T560" i="52"/>
  <c r="T568" i="52"/>
  <c r="T576" i="52"/>
  <c r="T584" i="52"/>
  <c r="T592" i="52"/>
  <c r="T600" i="52"/>
  <c r="T608" i="52"/>
  <c r="T616" i="52"/>
  <c r="T624" i="52"/>
  <c r="T632" i="52"/>
  <c r="T640" i="52"/>
  <c r="T648" i="52"/>
  <c r="T425" i="52"/>
  <c r="T433" i="52"/>
  <c r="T441" i="52"/>
  <c r="T449" i="52"/>
  <c r="T457" i="52"/>
  <c r="T465" i="52"/>
  <c r="T473" i="52"/>
  <c r="T481" i="52"/>
  <c r="T489" i="52"/>
  <c r="T497" i="52"/>
  <c r="T505" i="52"/>
  <c r="T513" i="52"/>
  <c r="T521" i="52"/>
  <c r="T529" i="52"/>
  <c r="T537" i="52"/>
  <c r="T545" i="52"/>
  <c r="T553" i="52"/>
  <c r="T561" i="52"/>
  <c r="T569" i="52"/>
  <c r="T577" i="52"/>
  <c r="T585" i="52"/>
  <c r="T593" i="52"/>
  <c r="T601" i="52"/>
  <c r="T609" i="52"/>
  <c r="T617" i="52"/>
  <c r="T625" i="52"/>
  <c r="T633" i="52"/>
  <c r="T641" i="52"/>
  <c r="T649" i="52"/>
  <c r="T426" i="52"/>
  <c r="T434" i="52"/>
  <c r="T442" i="52"/>
  <c r="T450" i="52"/>
  <c r="T458" i="52"/>
  <c r="T466" i="52"/>
  <c r="T474" i="52"/>
  <c r="T482" i="52"/>
  <c r="T490" i="52"/>
  <c r="T498" i="52"/>
  <c r="T506" i="52"/>
  <c r="T514" i="52"/>
  <c r="T522" i="52"/>
  <c r="T530" i="52"/>
  <c r="T538" i="52"/>
  <c r="T546" i="52"/>
  <c r="T554" i="52"/>
  <c r="T562" i="52"/>
  <c r="T570" i="52"/>
  <c r="T578" i="52"/>
  <c r="T586" i="52"/>
  <c r="T594" i="52"/>
  <c r="T602" i="52"/>
  <c r="T610" i="52"/>
  <c r="T618" i="52"/>
  <c r="T626" i="52"/>
  <c r="T634" i="52"/>
  <c r="T642" i="52"/>
  <c r="T650" i="52"/>
  <c r="T419" i="52"/>
  <c r="T427" i="52"/>
  <c r="T435" i="52"/>
  <c r="T443" i="52"/>
  <c r="T451" i="52"/>
  <c r="T459" i="52"/>
  <c r="T467" i="52"/>
  <c r="T475" i="52"/>
  <c r="T483" i="52"/>
  <c r="T491" i="52"/>
  <c r="T499" i="52"/>
  <c r="T507" i="52"/>
  <c r="T515" i="52"/>
  <c r="T523" i="52"/>
  <c r="T531" i="52"/>
  <c r="T539" i="52"/>
  <c r="T547" i="52"/>
  <c r="T555" i="52"/>
  <c r="T563" i="52"/>
  <c r="T571" i="52"/>
  <c r="T579" i="52"/>
  <c r="T587" i="52"/>
  <c r="T595" i="52"/>
  <c r="T603" i="52"/>
  <c r="T611" i="52"/>
  <c r="T619" i="52"/>
  <c r="T627" i="52"/>
  <c r="T635" i="52"/>
  <c r="T643" i="52"/>
  <c r="T651" i="52"/>
  <c r="T420" i="52"/>
  <c r="T428" i="52"/>
  <c r="T436" i="52"/>
  <c r="T444" i="52"/>
  <c r="T452" i="52"/>
  <c r="T460" i="52"/>
  <c r="T468" i="52"/>
  <c r="T476" i="52"/>
  <c r="T484" i="52"/>
  <c r="T492" i="52"/>
  <c r="T500" i="52"/>
  <c r="T508" i="52"/>
  <c r="T516" i="52"/>
  <c r="T524" i="52"/>
  <c r="T532" i="52"/>
  <c r="T540" i="52"/>
  <c r="T548" i="52"/>
  <c r="T556" i="52"/>
  <c r="T564" i="52"/>
  <c r="T572" i="52"/>
  <c r="T580" i="52"/>
  <c r="T588" i="52"/>
  <c r="T596" i="52"/>
  <c r="T604" i="52"/>
  <c r="T612" i="52"/>
  <c r="T620" i="52"/>
  <c r="T628" i="52"/>
  <c r="T636" i="52"/>
  <c r="T644" i="52"/>
  <c r="T652" i="52"/>
  <c r="J184" i="52"/>
  <c r="L184" i="52" s="1"/>
  <c r="M171" i="26"/>
  <c r="L171" i="26"/>
  <c r="Q294" i="52"/>
  <c r="Q302" i="52"/>
  <c r="Q310" i="52"/>
  <c r="Q318" i="52"/>
  <c r="Q326" i="52"/>
  <c r="Q334" i="52"/>
  <c r="Q295" i="52"/>
  <c r="Q303" i="52"/>
  <c r="Q311" i="52"/>
  <c r="Q319" i="52"/>
  <c r="Q327" i="52"/>
  <c r="Q335" i="52"/>
  <c r="J181" i="52"/>
  <c r="M181" i="52" s="1"/>
  <c r="Q296" i="52"/>
  <c r="Q304" i="52"/>
  <c r="Q312" i="52"/>
  <c r="Q320" i="52"/>
  <c r="Q328" i="52"/>
  <c r="Q336" i="52"/>
  <c r="Q297" i="52"/>
  <c r="Q305" i="52"/>
  <c r="Q313" i="52"/>
  <c r="Q321" i="52"/>
  <c r="Q329" i="52"/>
  <c r="Q337" i="52"/>
  <c r="Q298" i="52"/>
  <c r="Q306" i="52"/>
  <c r="Q314" i="52"/>
  <c r="Q322" i="52"/>
  <c r="Q330" i="52"/>
  <c r="Q338" i="52"/>
  <c r="Q299" i="52"/>
  <c r="Q307" i="52"/>
  <c r="Q315" i="52"/>
  <c r="Q323" i="52"/>
  <c r="Q331" i="52"/>
  <c r="Q339" i="52"/>
  <c r="M180" i="52"/>
  <c r="Q300" i="52"/>
  <c r="Q308" i="52"/>
  <c r="Q316" i="52"/>
  <c r="Q324" i="52"/>
  <c r="Q332" i="52"/>
  <c r="Q293" i="52"/>
  <c r="Q301" i="52"/>
  <c r="Q309" i="52"/>
  <c r="Q317" i="52"/>
  <c r="Q325" i="52"/>
  <c r="Q333" i="52"/>
  <c r="Q118" i="52"/>
  <c r="H179" i="52" s="1"/>
  <c r="Q322" i="26"/>
  <c r="Q292" i="26"/>
  <c r="Q309" i="26"/>
  <c r="Q295" i="26"/>
  <c r="Q320" i="26"/>
  <c r="Q317" i="26"/>
  <c r="Q297" i="26"/>
  <c r="Q291" i="26"/>
  <c r="Q308" i="26"/>
  <c r="Q311" i="26"/>
  <c r="Q299" i="26"/>
  <c r="Q294" i="26"/>
  <c r="Q321" i="26"/>
  <c r="Q307" i="26"/>
  <c r="Q288" i="26"/>
  <c r="Q285" i="26"/>
  <c r="Q310" i="26"/>
  <c r="Q305" i="26"/>
  <c r="Q323" i="26"/>
  <c r="Q318" i="26"/>
  <c r="M180" i="26"/>
  <c r="Q301" i="26"/>
  <c r="J181" i="26"/>
  <c r="Q283" i="26"/>
  <c r="Q300" i="26"/>
  <c r="Q303" i="26"/>
  <c r="Q286" i="26"/>
  <c r="Q313" i="26"/>
  <c r="Q282" i="26"/>
  <c r="Q316" i="26"/>
  <c r="Q319" i="26"/>
  <c r="Q290" i="26"/>
  <c r="Q281" i="26"/>
  <c r="Q302" i="26"/>
  <c r="Q289" i="26"/>
  <c r="Q315" i="26"/>
  <c r="Q296" i="26"/>
  <c r="Q306" i="26"/>
  <c r="Q293" i="26"/>
  <c r="Q304" i="26"/>
  <c r="Q314" i="26"/>
  <c r="Q287" i="26"/>
  <c r="Q312" i="26"/>
  <c r="Q284" i="26"/>
  <c r="Q298" i="26"/>
  <c r="L317" i="26"/>
  <c r="J173" i="26"/>
  <c r="L173" i="26" s="1"/>
  <c r="L315" i="26"/>
  <c r="L318" i="26"/>
  <c r="L313" i="26"/>
  <c r="L316" i="26"/>
  <c r="L314" i="26"/>
  <c r="M172" i="26"/>
  <c r="J277" i="52"/>
  <c r="J270" i="52"/>
  <c r="J278" i="52"/>
  <c r="J171" i="52"/>
  <c r="M171" i="52" s="1"/>
  <c r="J271" i="52"/>
  <c r="J269" i="52"/>
  <c r="J272" i="52"/>
  <c r="J274" i="52"/>
  <c r="M170" i="52"/>
  <c r="J275" i="52"/>
  <c r="J276" i="52"/>
  <c r="J273" i="52"/>
  <c r="J170" i="26"/>
  <c r="I277" i="26"/>
  <c r="I276" i="26"/>
  <c r="L304" i="52"/>
  <c r="L305" i="52"/>
  <c r="L301" i="52"/>
  <c r="J173" i="52"/>
  <c r="L173" i="52" s="1"/>
  <c r="L302" i="52"/>
  <c r="M172" i="52"/>
  <c r="L303" i="52"/>
  <c r="J179" i="26"/>
  <c r="P514" i="23"/>
  <c r="P522" i="23"/>
  <c r="P530" i="23"/>
  <c r="P515" i="23"/>
  <c r="P523" i="23"/>
  <c r="P531" i="23"/>
  <c r="I293" i="23"/>
  <c r="L293" i="23" s="1"/>
  <c r="P516" i="23"/>
  <c r="P524" i="23"/>
  <c r="P497" i="23"/>
  <c r="P517" i="23"/>
  <c r="P525" i="23"/>
  <c r="P526" i="23"/>
  <c r="P519" i="23"/>
  <c r="P527" i="23"/>
  <c r="P520" i="23"/>
  <c r="P528" i="23"/>
  <c r="P513" i="23"/>
  <c r="P521" i="23"/>
  <c r="P518" i="23"/>
  <c r="P529" i="23"/>
  <c r="P503" i="23"/>
  <c r="P512" i="23"/>
  <c r="P506" i="23"/>
  <c r="P511" i="23"/>
  <c r="P499" i="23"/>
  <c r="P500" i="23"/>
  <c r="P501" i="23"/>
  <c r="P504" i="23"/>
  <c r="P507" i="23"/>
  <c r="P498" i="23"/>
  <c r="P505" i="23"/>
  <c r="P508" i="23"/>
  <c r="P510" i="23"/>
  <c r="P509" i="23"/>
  <c r="P502" i="23"/>
  <c r="L283" i="23"/>
  <c r="I284" i="23"/>
  <c r="L284" i="23" s="1"/>
  <c r="I286" i="23"/>
  <c r="K286" i="23" s="1"/>
  <c r="L285" i="23"/>
  <c r="Q219" i="23"/>
  <c r="G292" i="23" s="1"/>
  <c r="O195" i="26"/>
  <c r="O203" i="26"/>
  <c r="O211" i="26"/>
  <c r="O219" i="26"/>
  <c r="O227" i="26"/>
  <c r="O235" i="26"/>
  <c r="O243" i="26"/>
  <c r="O251" i="26"/>
  <c r="O259" i="26"/>
  <c r="O267" i="26"/>
  <c r="O275" i="26"/>
  <c r="O197" i="26"/>
  <c r="O205" i="26"/>
  <c r="O213" i="26"/>
  <c r="O221" i="26"/>
  <c r="O229" i="26"/>
  <c r="O237" i="26"/>
  <c r="O245" i="26"/>
  <c r="O253" i="26"/>
  <c r="O261" i="26"/>
  <c r="O269" i="26"/>
  <c r="O198" i="26"/>
  <c r="O206" i="26"/>
  <c r="O214" i="26"/>
  <c r="O222" i="26"/>
  <c r="O230" i="26"/>
  <c r="O238" i="26"/>
  <c r="O246" i="26"/>
  <c r="O254" i="26"/>
  <c r="O262" i="26"/>
  <c r="O270" i="26"/>
  <c r="O199" i="26"/>
  <c r="O210" i="26"/>
  <c r="O224" i="26"/>
  <c r="O236" i="26"/>
  <c r="O249" i="26"/>
  <c r="O263" i="26"/>
  <c r="O274" i="26"/>
  <c r="O200" i="26"/>
  <c r="O212" i="26"/>
  <c r="O225" i="26"/>
  <c r="O239" i="26"/>
  <c r="O250" i="26"/>
  <c r="O264" i="26"/>
  <c r="O276" i="26"/>
  <c r="O193" i="26"/>
  <c r="O232" i="26"/>
  <c r="O257" i="26"/>
  <c r="O208" i="26"/>
  <c r="O247" i="26"/>
  <c r="O272" i="26"/>
  <c r="O196" i="26"/>
  <c r="O223" i="26"/>
  <c r="O260" i="26"/>
  <c r="O201" i="26"/>
  <c r="O215" i="26"/>
  <c r="O226" i="26"/>
  <c r="O240" i="26"/>
  <c r="O252" i="26"/>
  <c r="O265" i="26"/>
  <c r="O217" i="26"/>
  <c r="O256" i="26"/>
  <c r="O218" i="26"/>
  <c r="O271" i="26"/>
  <c r="O220" i="26"/>
  <c r="O248" i="26"/>
  <c r="O191" i="26"/>
  <c r="O202" i="26"/>
  <c r="O216" i="26"/>
  <c r="O228" i="26"/>
  <c r="O241" i="26"/>
  <c r="O255" i="26"/>
  <c r="O266" i="26"/>
  <c r="J178" i="26"/>
  <c r="L178" i="26" s="1"/>
  <c r="O192" i="26"/>
  <c r="O204" i="26"/>
  <c r="O231" i="26"/>
  <c r="O242" i="26"/>
  <c r="O268" i="26"/>
  <c r="O207" i="26"/>
  <c r="O244" i="26"/>
  <c r="O194" i="26"/>
  <c r="O233" i="26"/>
  <c r="O258" i="26"/>
  <c r="O209" i="26"/>
  <c r="O234" i="26"/>
  <c r="O273" i="26"/>
  <c r="I456" i="23"/>
  <c r="I450" i="23"/>
  <c r="I451" i="23"/>
  <c r="I452" i="23"/>
  <c r="I455" i="23"/>
  <c r="I453" i="23"/>
  <c r="I454" i="23"/>
  <c r="I235" i="23"/>
  <c r="K235" i="23" s="1"/>
  <c r="L234" i="23"/>
  <c r="I236" i="23"/>
  <c r="H445" i="23"/>
  <c r="H446" i="23"/>
  <c r="H439" i="23"/>
  <c r="H447" i="23"/>
  <c r="K283" i="23"/>
  <c r="H440" i="23"/>
  <c r="H448" i="23"/>
  <c r="H441" i="23"/>
  <c r="H449" i="23"/>
  <c r="H442" i="23"/>
  <c r="H438" i="23"/>
  <c r="H443" i="23"/>
  <c r="H444" i="23"/>
  <c r="K471" i="23"/>
  <c r="K479" i="23"/>
  <c r="K487" i="23"/>
  <c r="K478" i="23"/>
  <c r="K472" i="23"/>
  <c r="K480" i="23"/>
  <c r="K488" i="23"/>
  <c r="K473" i="23"/>
  <c r="K481" i="23"/>
  <c r="K489" i="23"/>
  <c r="K474" i="23"/>
  <c r="K482" i="23"/>
  <c r="K490" i="23"/>
  <c r="K486" i="23"/>
  <c r="K475" i="23"/>
  <c r="K483" i="23"/>
  <c r="K491" i="23"/>
  <c r="K476" i="23"/>
  <c r="K484" i="23"/>
  <c r="K470" i="23"/>
  <c r="K477" i="23"/>
  <c r="K485" i="23"/>
  <c r="L242" i="23"/>
  <c r="L243" i="23"/>
  <c r="K243" i="23"/>
  <c r="K245" i="23"/>
  <c r="L245" i="23"/>
  <c r="D16" i="12"/>
  <c r="D161" i="12" s="1"/>
  <c r="H211" i="23"/>
  <c r="O175" i="23"/>
  <c r="Q175" i="23" s="1"/>
  <c r="G248" i="23" s="1"/>
  <c r="N117" i="52"/>
  <c r="P117" i="52" s="1"/>
  <c r="H169" i="52" s="1"/>
  <c r="N118" i="52"/>
  <c r="N117" i="26"/>
  <c r="N118" i="26"/>
  <c r="P118" i="26" s="1"/>
  <c r="H168" i="26" s="1"/>
  <c r="H161" i="12"/>
  <c r="L182" i="52"/>
  <c r="O210" i="23"/>
  <c r="K390" i="1"/>
  <c r="J390" i="1"/>
  <c r="H353" i="1"/>
  <c r="H111" i="1"/>
  <c r="E129" i="1"/>
  <c r="E111" i="1"/>
  <c r="I111" i="1"/>
  <c r="J111" i="1"/>
  <c r="F111" i="1"/>
  <c r="D47" i="72" l="1"/>
  <c r="D55" i="72" s="1"/>
  <c r="E43" i="72" s="1"/>
  <c r="F43" i="72" s="1"/>
  <c r="M14" i="1"/>
  <c r="N14" i="1" s="1"/>
  <c r="C16" i="12"/>
  <c r="C161" i="12" s="1"/>
  <c r="B608" i="1"/>
  <c r="F402" i="12"/>
  <c r="F16" i="12"/>
  <c r="F161" i="12" s="1"/>
  <c r="C402" i="12"/>
  <c r="L181" i="52"/>
  <c r="O196" i="52"/>
  <c r="O204" i="52"/>
  <c r="O212" i="52"/>
  <c r="O220" i="52"/>
  <c r="O228" i="52"/>
  <c r="O236" i="52"/>
  <c r="O244" i="52"/>
  <c r="O252" i="52"/>
  <c r="O260" i="52"/>
  <c r="O268" i="52"/>
  <c r="O276" i="52"/>
  <c r="O284" i="52"/>
  <c r="O197" i="52"/>
  <c r="O205" i="52"/>
  <c r="O213" i="52"/>
  <c r="O221" i="52"/>
  <c r="O229" i="52"/>
  <c r="O237" i="52"/>
  <c r="O245" i="52"/>
  <c r="O253" i="52"/>
  <c r="O261" i="52"/>
  <c r="O269" i="52"/>
  <c r="O277" i="52"/>
  <c r="O285" i="52"/>
  <c r="O198" i="52"/>
  <c r="O206" i="52"/>
  <c r="O214" i="52"/>
  <c r="O222" i="52"/>
  <c r="O230" i="52"/>
  <c r="O238" i="52"/>
  <c r="O246" i="52"/>
  <c r="O254" i="52"/>
  <c r="O262" i="52"/>
  <c r="O270" i="52"/>
  <c r="O278" i="52"/>
  <c r="O286" i="52"/>
  <c r="O199" i="52"/>
  <c r="O207" i="52"/>
  <c r="O215" i="52"/>
  <c r="O223" i="52"/>
  <c r="O231" i="52"/>
  <c r="O239" i="52"/>
  <c r="O247" i="52"/>
  <c r="O255" i="52"/>
  <c r="O263" i="52"/>
  <c r="O271" i="52"/>
  <c r="O279" i="52"/>
  <c r="O192" i="52"/>
  <c r="O200" i="52"/>
  <c r="O208" i="52"/>
  <c r="O216" i="52"/>
  <c r="O224" i="52"/>
  <c r="O232" i="52"/>
  <c r="O240" i="52"/>
  <c r="O248" i="52"/>
  <c r="O256" i="52"/>
  <c r="O264" i="52"/>
  <c r="O272" i="52"/>
  <c r="O280" i="52"/>
  <c r="O193" i="52"/>
  <c r="O201" i="52"/>
  <c r="O209" i="52"/>
  <c r="O217" i="52"/>
  <c r="O225" i="52"/>
  <c r="O233" i="52"/>
  <c r="O241" i="52"/>
  <c r="O249" i="52"/>
  <c r="O257" i="52"/>
  <c r="O265" i="52"/>
  <c r="O273" i="52"/>
  <c r="O281" i="52"/>
  <c r="O194" i="52"/>
  <c r="O202" i="52"/>
  <c r="O210" i="52"/>
  <c r="O218" i="52"/>
  <c r="O226" i="52"/>
  <c r="O234" i="52"/>
  <c r="O242" i="52"/>
  <c r="O250" i="52"/>
  <c r="O258" i="52"/>
  <c r="O266" i="52"/>
  <c r="O274" i="52"/>
  <c r="O195" i="52"/>
  <c r="O203" i="52"/>
  <c r="O211" i="52"/>
  <c r="O219" i="52"/>
  <c r="O227" i="52"/>
  <c r="O235" i="52"/>
  <c r="O243" i="52"/>
  <c r="O251" i="52"/>
  <c r="O259" i="52"/>
  <c r="O267" i="52"/>
  <c r="O275" i="52"/>
  <c r="O282" i="52"/>
  <c r="O283" i="52"/>
  <c r="J179" i="52"/>
  <c r="J178" i="52"/>
  <c r="L178" i="52" s="1"/>
  <c r="P117" i="26"/>
  <c r="H169" i="26" s="1"/>
  <c r="L170" i="26"/>
  <c r="M170" i="26"/>
  <c r="P118" i="52"/>
  <c r="H168" i="52" s="1"/>
  <c r="L181" i="26"/>
  <c r="M181" i="26"/>
  <c r="H239" i="52"/>
  <c r="H240" i="52" s="1"/>
  <c r="H227" i="52"/>
  <c r="H228" i="52" s="1"/>
  <c r="H261" i="52"/>
  <c r="H262" i="52" s="1"/>
  <c r="H255" i="52"/>
  <c r="H256" i="52" s="1"/>
  <c r="H235" i="52"/>
  <c r="H236" i="52" s="1"/>
  <c r="H249" i="52"/>
  <c r="H250" i="52" s="1"/>
  <c r="H265" i="52"/>
  <c r="H266" i="52" s="1"/>
  <c r="H251" i="52"/>
  <c r="H252" i="52" s="1"/>
  <c r="H259" i="52"/>
  <c r="H260" i="52" s="1"/>
  <c r="H229" i="52"/>
  <c r="H230" i="52" s="1"/>
  <c r="J169" i="52"/>
  <c r="M169" i="52" s="1"/>
  <c r="H231" i="52"/>
  <c r="H232" i="52" s="1"/>
  <c r="H241" i="52"/>
  <c r="H242" i="52" s="1"/>
  <c r="H253" i="52"/>
  <c r="H254" i="52" s="1"/>
  <c r="H243" i="52"/>
  <c r="H244" i="52" s="1"/>
  <c r="H233" i="52"/>
  <c r="H234" i="52" s="1"/>
  <c r="H263" i="52"/>
  <c r="H264" i="52" s="1"/>
  <c r="H245" i="52"/>
  <c r="H246" i="52" s="1"/>
  <c r="H247" i="52"/>
  <c r="H248" i="52" s="1"/>
  <c r="H257" i="52"/>
  <c r="H258" i="52" s="1"/>
  <c r="H237" i="52"/>
  <c r="H238" i="52" s="1"/>
  <c r="G198" i="26"/>
  <c r="G206" i="26"/>
  <c r="G214" i="26"/>
  <c r="G222" i="26"/>
  <c r="G190" i="26"/>
  <c r="G191" i="26"/>
  <c r="G199" i="26"/>
  <c r="G207" i="26"/>
  <c r="G215" i="26"/>
  <c r="G223" i="26"/>
  <c r="G201" i="26"/>
  <c r="G225" i="26"/>
  <c r="G194" i="26"/>
  <c r="G210" i="26"/>
  <c r="G226" i="26"/>
  <c r="G196" i="26"/>
  <c r="G212" i="26"/>
  <c r="G228" i="26"/>
  <c r="G197" i="26"/>
  <c r="G213" i="26"/>
  <c r="G192" i="26"/>
  <c r="G200" i="26"/>
  <c r="G208" i="26"/>
  <c r="G216" i="26"/>
  <c r="G224" i="26"/>
  <c r="G193" i="26"/>
  <c r="G209" i="26"/>
  <c r="G217" i="26"/>
  <c r="G202" i="26"/>
  <c r="G218" i="26"/>
  <c r="G204" i="26"/>
  <c r="G220" i="26"/>
  <c r="G205" i="26"/>
  <c r="G229" i="26"/>
  <c r="G230" i="26" s="1"/>
  <c r="G195" i="26"/>
  <c r="G203" i="26"/>
  <c r="G211" i="26"/>
  <c r="G219" i="26"/>
  <c r="G227" i="26"/>
  <c r="G221" i="26"/>
  <c r="M178" i="26"/>
  <c r="M179" i="26"/>
  <c r="L179" i="26"/>
  <c r="J168" i="26"/>
  <c r="L168" i="26" s="1"/>
  <c r="J167" i="26"/>
  <c r="L167" i="26" s="1"/>
  <c r="K293" i="23"/>
  <c r="O342" i="23"/>
  <c r="O406" i="23"/>
  <c r="O470" i="23"/>
  <c r="O351" i="23"/>
  <c r="O415" i="23"/>
  <c r="O479" i="23"/>
  <c r="O360" i="23"/>
  <c r="O424" i="23"/>
  <c r="O488" i="23"/>
  <c r="O493" i="23"/>
  <c r="O385" i="23"/>
  <c r="O449" i="23"/>
  <c r="O331" i="23"/>
  <c r="O394" i="23"/>
  <c r="O458" i="23"/>
  <c r="O485" i="23"/>
  <c r="O395" i="23"/>
  <c r="O459" i="23"/>
  <c r="O348" i="23"/>
  <c r="O412" i="23"/>
  <c r="O476" i="23"/>
  <c r="O438" i="23"/>
  <c r="O383" i="23"/>
  <c r="O456" i="23"/>
  <c r="O417" i="23"/>
  <c r="O426" i="23"/>
  <c r="O491" i="23"/>
  <c r="O382" i="23"/>
  <c r="O391" i="23"/>
  <c r="O400" i="23"/>
  <c r="O361" i="23"/>
  <c r="O434" i="23"/>
  <c r="O437" i="23"/>
  <c r="I292" i="23"/>
  <c r="O390" i="23"/>
  <c r="O369" i="23"/>
  <c r="O332" i="23"/>
  <c r="I291" i="23"/>
  <c r="K291" i="23" s="1"/>
  <c r="O377" i="23"/>
  <c r="O340" i="23"/>
  <c r="O350" i="23"/>
  <c r="O414" i="23"/>
  <c r="O478" i="23"/>
  <c r="O359" i="23"/>
  <c r="O423" i="23"/>
  <c r="O487" i="23"/>
  <c r="O368" i="23"/>
  <c r="O432" i="23"/>
  <c r="O496" i="23"/>
  <c r="O330" i="23"/>
  <c r="O393" i="23"/>
  <c r="O457" i="23"/>
  <c r="O338" i="23"/>
  <c r="O402" i="23"/>
  <c r="O466" i="23"/>
  <c r="O339" i="23"/>
  <c r="O403" i="23"/>
  <c r="O467" i="23"/>
  <c r="O356" i="23"/>
  <c r="O420" i="23"/>
  <c r="O484" i="23"/>
  <c r="O447" i="23"/>
  <c r="O389" i="23"/>
  <c r="O481" i="23"/>
  <c r="O490" i="23"/>
  <c r="O380" i="23"/>
  <c r="O328" i="23"/>
  <c r="O336" i="23"/>
  <c r="O489" i="23"/>
  <c r="O371" i="23"/>
  <c r="O452" i="23"/>
  <c r="O327" i="23"/>
  <c r="O335" i="23"/>
  <c r="O463" i="23"/>
  <c r="O408" i="23"/>
  <c r="O445" i="23"/>
  <c r="O405" i="23"/>
  <c r="O442" i="23"/>
  <c r="O379" i="23"/>
  <c r="O396" i="23"/>
  <c r="O453" i="23"/>
  <c r="O334" i="23"/>
  <c r="O343" i="23"/>
  <c r="O471" i="23"/>
  <c r="O480" i="23"/>
  <c r="O441" i="23"/>
  <c r="O386" i="23"/>
  <c r="O413" i="23"/>
  <c r="O404" i="23"/>
  <c r="O477" i="23"/>
  <c r="O358" i="23"/>
  <c r="O422" i="23"/>
  <c r="O486" i="23"/>
  <c r="O367" i="23"/>
  <c r="O431" i="23"/>
  <c r="O495" i="23"/>
  <c r="O376" i="23"/>
  <c r="O440" i="23"/>
  <c r="O333" i="23"/>
  <c r="O337" i="23"/>
  <c r="O401" i="23"/>
  <c r="O465" i="23"/>
  <c r="O346" i="23"/>
  <c r="O410" i="23"/>
  <c r="O474" i="23"/>
  <c r="O347" i="23"/>
  <c r="O411" i="23"/>
  <c r="O475" i="23"/>
  <c r="O364" i="23"/>
  <c r="O428" i="23"/>
  <c r="O492" i="23"/>
  <c r="O374" i="23"/>
  <c r="O381" i="23"/>
  <c r="O329" i="23"/>
  <c r="O353" i="23"/>
  <c r="O362" i="23"/>
  <c r="O427" i="23"/>
  <c r="O444" i="23"/>
  <c r="O421" i="23"/>
  <c r="O341" i="23"/>
  <c r="O388" i="23"/>
  <c r="O454" i="23"/>
  <c r="O399" i="23"/>
  <c r="O344" i="23"/>
  <c r="O472" i="23"/>
  <c r="O433" i="23"/>
  <c r="O378" i="23"/>
  <c r="O365" i="23"/>
  <c r="O443" i="23"/>
  <c r="O460" i="23"/>
  <c r="O398" i="23"/>
  <c r="O462" i="23"/>
  <c r="O407" i="23"/>
  <c r="O352" i="23"/>
  <c r="O461" i="23"/>
  <c r="O469" i="23"/>
  <c r="O450" i="23"/>
  <c r="O387" i="23"/>
  <c r="O468" i="23"/>
  <c r="O366" i="23"/>
  <c r="O430" i="23"/>
  <c r="O494" i="23"/>
  <c r="O375" i="23"/>
  <c r="O439" i="23"/>
  <c r="O373" i="23"/>
  <c r="O384" i="23"/>
  <c r="O448" i="23"/>
  <c r="O357" i="23"/>
  <c r="O345" i="23"/>
  <c r="O409" i="23"/>
  <c r="O473" i="23"/>
  <c r="O354" i="23"/>
  <c r="O418" i="23"/>
  <c r="O482" i="23"/>
  <c r="O355" i="23"/>
  <c r="O419" i="23"/>
  <c r="O483" i="23"/>
  <c r="O372" i="23"/>
  <c r="O436" i="23"/>
  <c r="O349" i="23"/>
  <c r="O392" i="23"/>
  <c r="O363" i="23"/>
  <c r="O397" i="23"/>
  <c r="O446" i="23"/>
  <c r="O455" i="23"/>
  <c r="O464" i="23"/>
  <c r="O425" i="23"/>
  <c r="O370" i="23"/>
  <c r="O435" i="23"/>
  <c r="O429" i="23"/>
  <c r="O416" i="23"/>
  <c r="O451" i="23"/>
  <c r="L171" i="52"/>
  <c r="L235" i="23"/>
  <c r="L183" i="52"/>
  <c r="K236" i="23"/>
  <c r="L236" i="23"/>
  <c r="L247" i="23"/>
  <c r="I248" i="23"/>
  <c r="K248" i="23" s="1"/>
  <c r="K284" i="23"/>
  <c r="L180" i="52"/>
  <c r="K161" i="12"/>
  <c r="N169" i="23"/>
  <c r="P169" i="23" s="1"/>
  <c r="G233" i="23" s="1"/>
  <c r="N170" i="23"/>
  <c r="P170" i="23" s="1"/>
  <c r="G232" i="23" s="1"/>
  <c r="J161" i="12"/>
  <c r="O211" i="23"/>
  <c r="O224" i="23"/>
  <c r="Q224" i="23" s="1"/>
  <c r="G297" i="23" s="1"/>
  <c r="C156" i="1"/>
  <c r="C176" i="1" s="1"/>
  <c r="B454" i="1" s="1"/>
  <c r="G129" i="1"/>
  <c r="H129" i="1" s="1"/>
  <c r="D156" i="1" s="1"/>
  <c r="B3" i="63" l="1"/>
  <c r="C3" i="63" s="1"/>
  <c r="M21" i="1"/>
  <c r="E52" i="72"/>
  <c r="F52" i="72" s="1"/>
  <c r="D30" i="17" s="1"/>
  <c r="K30" i="17" s="1"/>
  <c r="B38" i="1" s="1"/>
  <c r="D38" i="1" s="1"/>
  <c r="H57" i="1" s="1"/>
  <c r="H97" i="1" s="1"/>
  <c r="E46" i="72"/>
  <c r="F46" i="72" s="1"/>
  <c r="D24" i="17" s="1"/>
  <c r="K24" i="17" s="1"/>
  <c r="B32" i="1" s="1"/>
  <c r="D32" i="1" s="1"/>
  <c r="K51" i="1" s="1"/>
  <c r="E53" i="72"/>
  <c r="F53" i="72" s="1"/>
  <c r="D31" i="17" s="1"/>
  <c r="K31" i="17" s="1"/>
  <c r="B39" i="1" s="1"/>
  <c r="D39" i="1" s="1"/>
  <c r="G58" i="1" s="1"/>
  <c r="G98" i="1" s="1"/>
  <c r="E51" i="72"/>
  <c r="F51" i="72" s="1"/>
  <c r="D29" i="17" s="1"/>
  <c r="K29" i="17" s="1"/>
  <c r="B37" i="1" s="1"/>
  <c r="D37" i="1" s="1"/>
  <c r="C56" i="1" s="1"/>
  <c r="C96" i="1" s="1"/>
  <c r="E42" i="72"/>
  <c r="F42" i="72" s="1"/>
  <c r="D20" i="17" s="1"/>
  <c r="K20" i="17" s="1"/>
  <c r="B28" i="1" s="1"/>
  <c r="D28" i="1" s="1"/>
  <c r="L47" i="1" s="1"/>
  <c r="E40" i="72"/>
  <c r="F40" i="72" s="1"/>
  <c r="D18" i="17" s="1"/>
  <c r="K18" i="17" s="1"/>
  <c r="B26" i="1" s="1"/>
  <c r="D26" i="1" s="1"/>
  <c r="J45" i="1" s="1"/>
  <c r="E48" i="72"/>
  <c r="F48" i="72" s="1"/>
  <c r="D26" i="17" s="1"/>
  <c r="K26" i="17" s="1"/>
  <c r="B34" i="1" s="1"/>
  <c r="D34" i="1" s="1"/>
  <c r="I53" i="1" s="1"/>
  <c r="I93" i="1" s="1"/>
  <c r="E49" i="72"/>
  <c r="F49" i="72" s="1"/>
  <c r="D27" i="17" s="1"/>
  <c r="K27" i="17" s="1"/>
  <c r="B35" i="1" s="1"/>
  <c r="D35" i="1" s="1"/>
  <c r="F54" i="1" s="1"/>
  <c r="F94" i="1" s="1"/>
  <c r="E41" i="72"/>
  <c r="F41" i="72" s="1"/>
  <c r="D19" i="17" s="1"/>
  <c r="K19" i="17" s="1"/>
  <c r="B27" i="1" s="1"/>
  <c r="D27" i="1" s="1"/>
  <c r="E46" i="1" s="1"/>
  <c r="E86" i="1" s="1"/>
  <c r="E44" i="72"/>
  <c r="F44" i="72" s="1"/>
  <c r="D22" i="17" s="1"/>
  <c r="K22" i="17" s="1"/>
  <c r="B30" i="1" s="1"/>
  <c r="D30" i="1" s="1"/>
  <c r="E50" i="72"/>
  <c r="F50" i="72" s="1"/>
  <c r="D28" i="17" s="1"/>
  <c r="K28" i="17" s="1"/>
  <c r="B36" i="1" s="1"/>
  <c r="D36" i="1" s="1"/>
  <c r="D55" i="1" s="1"/>
  <c r="D95" i="1" s="1"/>
  <c r="E47" i="72"/>
  <c r="F47" i="72" s="1"/>
  <c r="D25" i="17" s="1"/>
  <c r="K25" i="17" s="1"/>
  <c r="B33" i="1" s="1"/>
  <c r="D33" i="1" s="1"/>
  <c r="D52" i="1" s="1"/>
  <c r="D92" i="1" s="1"/>
  <c r="E39" i="72"/>
  <c r="E45" i="72"/>
  <c r="F45" i="72" s="1"/>
  <c r="D23" i="17" s="1"/>
  <c r="G210" i="52"/>
  <c r="G222" i="52"/>
  <c r="G203" i="52"/>
  <c r="J168" i="52"/>
  <c r="M168" i="52" s="1"/>
  <c r="G212" i="52"/>
  <c r="G223" i="52"/>
  <c r="H259" i="26"/>
  <c r="H260" i="26"/>
  <c r="H265" i="26"/>
  <c r="H254" i="26"/>
  <c r="H258" i="26"/>
  <c r="H257" i="26"/>
  <c r="H247" i="26"/>
  <c r="H267" i="26"/>
  <c r="H268" i="26"/>
  <c r="H250" i="26"/>
  <c r="H239" i="26"/>
  <c r="H274" i="26"/>
  <c r="H234" i="26"/>
  <c r="J169" i="26"/>
  <c r="M169" i="26" s="1"/>
  <c r="H230" i="26"/>
  <c r="H246" i="26"/>
  <c r="H266" i="26"/>
  <c r="H255" i="26"/>
  <c r="H232" i="26"/>
  <c r="H256" i="26"/>
  <c r="H238" i="26"/>
  <c r="H270" i="26"/>
  <c r="H237" i="26"/>
  <c r="H271" i="26"/>
  <c r="H240" i="26"/>
  <c r="H262" i="26"/>
  <c r="H231" i="26"/>
  <c r="H245" i="26"/>
  <c r="H233" i="26"/>
  <c r="H248" i="26"/>
  <c r="H235" i="26"/>
  <c r="H236" i="26"/>
  <c r="H253" i="26"/>
  <c r="H244" i="26"/>
  <c r="H263" i="26"/>
  <c r="H261" i="26"/>
  <c r="H273" i="26"/>
  <c r="H264" i="26"/>
  <c r="H251" i="26"/>
  <c r="H252" i="26"/>
  <c r="H241" i="26"/>
  <c r="H269" i="26"/>
  <c r="H242" i="26"/>
  <c r="H272" i="26"/>
  <c r="H249" i="26"/>
  <c r="H243" i="26"/>
  <c r="J167" i="52"/>
  <c r="G219" i="52"/>
  <c r="G193" i="52"/>
  <c r="G197" i="52"/>
  <c r="G194" i="52"/>
  <c r="G206" i="52"/>
  <c r="G218" i="52"/>
  <c r="G224" i="52"/>
  <c r="G196" i="52"/>
  <c r="G215" i="52"/>
  <c r="G198" i="52"/>
  <c r="G202" i="52"/>
  <c r="G216" i="52"/>
  <c r="G192" i="52"/>
  <c r="G207" i="52"/>
  <c r="G221" i="52"/>
  <c r="G225" i="52"/>
  <c r="G208" i="52"/>
  <c r="G211" i="52"/>
  <c r="G199" i="52"/>
  <c r="G205" i="52"/>
  <c r="G217" i="52"/>
  <c r="G200" i="52"/>
  <c r="G195" i="52"/>
  <c r="G220" i="52"/>
  <c r="G209" i="52"/>
  <c r="G214" i="52"/>
  <c r="G226" i="52"/>
  <c r="G204" i="52"/>
  <c r="G201" i="52"/>
  <c r="G213" i="52"/>
  <c r="M179" i="52"/>
  <c r="L179" i="52"/>
  <c r="M178" i="52"/>
  <c r="M167" i="26"/>
  <c r="M168" i="26"/>
  <c r="T733" i="23"/>
  <c r="T741" i="23"/>
  <c r="T620" i="23"/>
  <c r="T628" i="23"/>
  <c r="T636" i="23"/>
  <c r="T644" i="23"/>
  <c r="T652" i="23"/>
  <c r="T660" i="23"/>
  <c r="T668" i="23"/>
  <c r="T676" i="23"/>
  <c r="T684" i="23"/>
  <c r="T692" i="23"/>
  <c r="T700" i="23"/>
  <c r="T708" i="23"/>
  <c r="T716" i="23"/>
  <c r="T724" i="23"/>
  <c r="T618" i="23"/>
  <c r="T737" i="23"/>
  <c r="T712" i="23"/>
  <c r="T738" i="23"/>
  <c r="T633" i="23"/>
  <c r="T641" i="23"/>
  <c r="T649" i="23"/>
  <c r="T673" i="23"/>
  <c r="T681" i="23"/>
  <c r="T705" i="23"/>
  <c r="T713" i="23"/>
  <c r="T747" i="23"/>
  <c r="T674" i="23"/>
  <c r="T722" i="23"/>
  <c r="T732" i="23"/>
  <c r="T627" i="23"/>
  <c r="T635" i="23"/>
  <c r="T643" i="23"/>
  <c r="T651" i="23"/>
  <c r="T675" i="23"/>
  <c r="T683" i="23"/>
  <c r="T707" i="23"/>
  <c r="T731" i="23"/>
  <c r="T734" i="23"/>
  <c r="T742" i="23"/>
  <c r="T621" i="23"/>
  <c r="T629" i="23"/>
  <c r="T637" i="23"/>
  <c r="T645" i="23"/>
  <c r="T653" i="23"/>
  <c r="T661" i="23"/>
  <c r="T669" i="23"/>
  <c r="T677" i="23"/>
  <c r="T685" i="23"/>
  <c r="T693" i="23"/>
  <c r="T701" i="23"/>
  <c r="T709" i="23"/>
  <c r="T717" i="23"/>
  <c r="T725" i="23"/>
  <c r="T736" i="23"/>
  <c r="T631" i="23"/>
  <c r="T647" i="23"/>
  <c r="T663" i="23"/>
  <c r="T679" i="23"/>
  <c r="T695" i="23"/>
  <c r="T711" i="23"/>
  <c r="T727" i="23"/>
  <c r="L296" i="23"/>
  <c r="T745" i="23"/>
  <c r="T640" i="23"/>
  <c r="T656" i="23"/>
  <c r="T672" i="23"/>
  <c r="T688" i="23"/>
  <c r="T704" i="23"/>
  <c r="T728" i="23"/>
  <c r="T625" i="23"/>
  <c r="T657" i="23"/>
  <c r="T689" i="23"/>
  <c r="T729" i="23"/>
  <c r="T626" i="23"/>
  <c r="T634" i="23"/>
  <c r="T650" i="23"/>
  <c r="T666" i="23"/>
  <c r="T690" i="23"/>
  <c r="T706" i="23"/>
  <c r="T730" i="23"/>
  <c r="I297" i="23"/>
  <c r="K297" i="23" s="1"/>
  <c r="T619" i="23"/>
  <c r="T659" i="23"/>
  <c r="T691" i="23"/>
  <c r="T715" i="23"/>
  <c r="T735" i="23"/>
  <c r="T743" i="23"/>
  <c r="T622" i="23"/>
  <c r="T630" i="23"/>
  <c r="T638" i="23"/>
  <c r="T646" i="23"/>
  <c r="T654" i="23"/>
  <c r="T662" i="23"/>
  <c r="T670" i="23"/>
  <c r="T678" i="23"/>
  <c r="T686" i="23"/>
  <c r="T694" i="23"/>
  <c r="T702" i="23"/>
  <c r="T710" i="23"/>
  <c r="T718" i="23"/>
  <c r="T726" i="23"/>
  <c r="T744" i="23"/>
  <c r="T623" i="23"/>
  <c r="T639" i="23"/>
  <c r="T655" i="23"/>
  <c r="T671" i="23"/>
  <c r="T687" i="23"/>
  <c r="T703" i="23"/>
  <c r="T719" i="23"/>
  <c r="T624" i="23"/>
  <c r="T632" i="23"/>
  <c r="T648" i="23"/>
  <c r="T664" i="23"/>
  <c r="T680" i="23"/>
  <c r="T696" i="23"/>
  <c r="T720" i="23"/>
  <c r="T746" i="23"/>
  <c r="T665" i="23"/>
  <c r="T697" i="23"/>
  <c r="T721" i="23"/>
  <c r="T739" i="23"/>
  <c r="T642" i="23"/>
  <c r="T658" i="23"/>
  <c r="T682" i="23"/>
  <c r="T698" i="23"/>
  <c r="T714" i="23"/>
  <c r="T740" i="23"/>
  <c r="T667" i="23"/>
  <c r="T699" i="23"/>
  <c r="T723" i="23"/>
  <c r="K292" i="23"/>
  <c r="L292" i="23"/>
  <c r="L291" i="23"/>
  <c r="L170" i="52"/>
  <c r="I231" i="23"/>
  <c r="K231" i="23" s="1"/>
  <c r="I232" i="23"/>
  <c r="K232" i="23" s="1"/>
  <c r="I233" i="23"/>
  <c r="N219" i="23"/>
  <c r="P219" i="23" s="1"/>
  <c r="G281" i="23" s="1"/>
  <c r="N218" i="23"/>
  <c r="P218" i="23" s="1"/>
  <c r="G282" i="23" s="1"/>
  <c r="L169" i="52"/>
  <c r="I129" i="1"/>
  <c r="E156" i="1"/>
  <c r="B58" i="1" l="1"/>
  <c r="B98" i="1" s="1"/>
  <c r="H58" i="1"/>
  <c r="H98" i="1" s="1"/>
  <c r="H205" i="1" s="1"/>
  <c r="I79" i="1"/>
  <c r="C791" i="12" s="1"/>
  <c r="B791" i="12"/>
  <c r="I56" i="1"/>
  <c r="I96" i="1" s="1"/>
  <c r="J58" i="1"/>
  <c r="E58" i="1"/>
  <c r="E98" i="1" s="1"/>
  <c r="K58" i="1"/>
  <c r="I58" i="1"/>
  <c r="I98" i="1" s="1"/>
  <c r="D58" i="1"/>
  <c r="D98" i="1" s="1"/>
  <c r="F58" i="1"/>
  <c r="F98" i="1" s="1"/>
  <c r="C58" i="1"/>
  <c r="C98" i="1" s="1"/>
  <c r="C47" i="1"/>
  <c r="C87" i="1" s="1"/>
  <c r="L58" i="1"/>
  <c r="J47" i="1"/>
  <c r="F55" i="1"/>
  <c r="F95" i="1" s="1"/>
  <c r="E45" i="1"/>
  <c r="E85" i="1" s="1"/>
  <c r="L45" i="1"/>
  <c r="G56" i="1"/>
  <c r="G96" i="1" s="1"/>
  <c r="G223" i="1" s="1"/>
  <c r="G262" i="1" s="1"/>
  <c r="G301" i="1" s="1"/>
  <c r="G361" i="1" s="1"/>
  <c r="L56" i="1"/>
  <c r="F51" i="1"/>
  <c r="F91" i="1" s="1"/>
  <c r="I51" i="1"/>
  <c r="I91" i="1" s="1"/>
  <c r="B51" i="1"/>
  <c r="B91" i="1" s="1"/>
  <c r="J51" i="1"/>
  <c r="B621" i="1"/>
  <c r="N403" i="12" s="1"/>
  <c r="C51" i="1"/>
  <c r="C91" i="1" s="1"/>
  <c r="I72" i="1"/>
  <c r="H51" i="1"/>
  <c r="H91" i="1" s="1"/>
  <c r="H218" i="1" s="1"/>
  <c r="H257" i="1" s="1"/>
  <c r="H296" i="1" s="1"/>
  <c r="H356" i="1" s="1"/>
  <c r="L51" i="1"/>
  <c r="D51" i="1"/>
  <c r="D91" i="1" s="1"/>
  <c r="G51" i="1"/>
  <c r="G91" i="1" s="1"/>
  <c r="G198" i="1" s="1"/>
  <c r="E51" i="1"/>
  <c r="E91" i="1" s="1"/>
  <c r="D45" i="1"/>
  <c r="D85" i="1" s="1"/>
  <c r="H45" i="1"/>
  <c r="H85" i="1" s="1"/>
  <c r="H192" i="1" s="1"/>
  <c r="L55" i="1"/>
  <c r="B54" i="1"/>
  <c r="B94" i="1" s="1"/>
  <c r="H47" i="1"/>
  <c r="H87" i="1" s="1"/>
  <c r="H194" i="1" s="1"/>
  <c r="F57" i="1"/>
  <c r="F97" i="1" s="1"/>
  <c r="K57" i="1"/>
  <c r="J57" i="1"/>
  <c r="E47" i="1"/>
  <c r="E87" i="1" s="1"/>
  <c r="E57" i="1"/>
  <c r="E97" i="1" s="1"/>
  <c r="G57" i="1"/>
  <c r="G97" i="1" s="1"/>
  <c r="G204" i="1" s="1"/>
  <c r="I47" i="1"/>
  <c r="I87" i="1" s="1"/>
  <c r="B57" i="1"/>
  <c r="B97" i="1" s="1"/>
  <c r="L57" i="1"/>
  <c r="I68" i="1"/>
  <c r="I57" i="1"/>
  <c r="I97" i="1" s="1"/>
  <c r="B47" i="1"/>
  <c r="B87" i="1" s="1"/>
  <c r="K47" i="1"/>
  <c r="D57" i="1"/>
  <c r="D97" i="1" s="1"/>
  <c r="I78" i="1"/>
  <c r="D47" i="1"/>
  <c r="D87" i="1" s="1"/>
  <c r="G47" i="1"/>
  <c r="G87" i="1" s="1"/>
  <c r="G214" i="1" s="1"/>
  <c r="G253" i="1" s="1"/>
  <c r="G292" i="1" s="1"/>
  <c r="G352" i="1" s="1"/>
  <c r="C57" i="1"/>
  <c r="C97" i="1" s="1"/>
  <c r="F47" i="1"/>
  <c r="F87" i="1" s="1"/>
  <c r="F45" i="1"/>
  <c r="F85" i="1" s="1"/>
  <c r="J46" i="1"/>
  <c r="L46" i="1"/>
  <c r="K46" i="1"/>
  <c r="I66" i="1"/>
  <c r="B45" i="1"/>
  <c r="B85" i="1" s="1"/>
  <c r="G45" i="1"/>
  <c r="G85" i="1" s="1"/>
  <c r="G212" i="1" s="1"/>
  <c r="G251" i="1" s="1"/>
  <c r="G290" i="1" s="1"/>
  <c r="G350" i="1" s="1"/>
  <c r="C45" i="1"/>
  <c r="C85" i="1" s="1"/>
  <c r="K45" i="1"/>
  <c r="I45" i="1"/>
  <c r="I85" i="1" s="1"/>
  <c r="C46" i="1"/>
  <c r="C86" i="1" s="1"/>
  <c r="I75" i="1"/>
  <c r="I54" i="1"/>
  <c r="I94" i="1" s="1"/>
  <c r="D54" i="1"/>
  <c r="D94" i="1" s="1"/>
  <c r="H54" i="1"/>
  <c r="H94" i="1" s="1"/>
  <c r="H201" i="1" s="1"/>
  <c r="C54" i="1"/>
  <c r="C94" i="1" s="1"/>
  <c r="J54" i="1"/>
  <c r="B46" i="1"/>
  <c r="B86" i="1" s="1"/>
  <c r="K54" i="1"/>
  <c r="I46" i="1"/>
  <c r="I86" i="1" s="1"/>
  <c r="H46" i="1"/>
  <c r="H86" i="1" s="1"/>
  <c r="H193" i="1" s="1"/>
  <c r="E54" i="1"/>
  <c r="E94" i="1" s="1"/>
  <c r="B314" i="1"/>
  <c r="I67" i="1"/>
  <c r="L54" i="1"/>
  <c r="G46" i="1"/>
  <c r="G86" i="1" s="1"/>
  <c r="G193" i="1" s="1"/>
  <c r="G54" i="1"/>
  <c r="G94" i="1" s="1"/>
  <c r="G201" i="1" s="1"/>
  <c r="H56" i="1"/>
  <c r="H96" i="1" s="1"/>
  <c r="H203" i="1" s="1"/>
  <c r="F56" i="1"/>
  <c r="F96" i="1" s="1"/>
  <c r="B56" i="1"/>
  <c r="J56" i="1"/>
  <c r="E56" i="1"/>
  <c r="E96" i="1" s="1"/>
  <c r="K56" i="1"/>
  <c r="D56" i="1"/>
  <c r="D96" i="1" s="1"/>
  <c r="I77" i="1"/>
  <c r="F46" i="1"/>
  <c r="F86" i="1" s="1"/>
  <c r="I55" i="1"/>
  <c r="I95" i="1" s="1"/>
  <c r="B55" i="1"/>
  <c r="B95" i="1" s="1"/>
  <c r="C55" i="1"/>
  <c r="C95" i="1" s="1"/>
  <c r="H55" i="1"/>
  <c r="H95" i="1" s="1"/>
  <c r="H202" i="1" s="1"/>
  <c r="G55" i="1"/>
  <c r="G95" i="1" s="1"/>
  <c r="G222" i="1" s="1"/>
  <c r="G261" i="1" s="1"/>
  <c r="G300" i="1" s="1"/>
  <c r="G360" i="1" s="1"/>
  <c r="D46" i="1"/>
  <c r="D86" i="1" s="1"/>
  <c r="K55" i="1"/>
  <c r="H53" i="1"/>
  <c r="H93" i="1" s="1"/>
  <c r="H200" i="1" s="1"/>
  <c r="I74" i="1"/>
  <c r="E53" i="1"/>
  <c r="E93" i="1" s="1"/>
  <c r="B52" i="1"/>
  <c r="B92" i="1" s="1"/>
  <c r="D53" i="1"/>
  <c r="D93" i="1" s="1"/>
  <c r="G53" i="1"/>
  <c r="G93" i="1" s="1"/>
  <c r="G220" i="1" s="1"/>
  <c r="G259" i="1" s="1"/>
  <c r="G298" i="1" s="1"/>
  <c r="G358" i="1" s="1"/>
  <c r="K53" i="1"/>
  <c r="I52" i="1"/>
  <c r="I92" i="1" s="1"/>
  <c r="C53" i="1"/>
  <c r="C93" i="1" s="1"/>
  <c r="L53" i="1"/>
  <c r="B53" i="1"/>
  <c r="B93" i="1" s="1"/>
  <c r="G52" i="1"/>
  <c r="G92" i="1" s="1"/>
  <c r="G219" i="1" s="1"/>
  <c r="G258" i="1" s="1"/>
  <c r="G297" i="1" s="1"/>
  <c r="G357" i="1" s="1"/>
  <c r="F53" i="1"/>
  <c r="F93" i="1" s="1"/>
  <c r="J53" i="1"/>
  <c r="E55" i="1"/>
  <c r="E95" i="1" s="1"/>
  <c r="H52" i="1"/>
  <c r="H92" i="1" s="1"/>
  <c r="H219" i="1" s="1"/>
  <c r="H258" i="1" s="1"/>
  <c r="H297" i="1" s="1"/>
  <c r="H357" i="1" s="1"/>
  <c r="J52" i="1"/>
  <c r="C52" i="1"/>
  <c r="C92" i="1" s="1"/>
  <c r="L52" i="1"/>
  <c r="F52" i="1"/>
  <c r="F92" i="1" s="1"/>
  <c r="K52" i="1"/>
  <c r="E52" i="1"/>
  <c r="E92" i="1" s="1"/>
  <c r="I73" i="1"/>
  <c r="J55" i="1"/>
  <c r="I76" i="1"/>
  <c r="K49" i="1"/>
  <c r="L49" i="1"/>
  <c r="J49" i="1"/>
  <c r="I70" i="1"/>
  <c r="G49" i="1"/>
  <c r="G89" i="1" s="1"/>
  <c r="E49" i="1"/>
  <c r="E89" i="1" s="1"/>
  <c r="H49" i="1"/>
  <c r="H89" i="1" s="1"/>
  <c r="I49" i="1"/>
  <c r="I89" i="1" s="1"/>
  <c r="F49" i="1"/>
  <c r="F89" i="1" s="1"/>
  <c r="C49" i="1"/>
  <c r="C89" i="1" s="1"/>
  <c r="D49" i="1"/>
  <c r="D89" i="1" s="1"/>
  <c r="B49" i="1"/>
  <c r="H204" i="1"/>
  <c r="H224" i="1"/>
  <c r="H263" i="1" s="1"/>
  <c r="H302" i="1" s="1"/>
  <c r="H362" i="1" s="1"/>
  <c r="C23" i="17"/>
  <c r="K23" i="17"/>
  <c r="B31" i="1" s="1"/>
  <c r="D31" i="1" s="1"/>
  <c r="G205" i="1"/>
  <c r="G225" i="1"/>
  <c r="G264" i="1" s="1"/>
  <c r="G303" i="1" s="1"/>
  <c r="G363" i="1" s="1"/>
  <c r="H324" i="12" s="1"/>
  <c r="F39" i="72"/>
  <c r="D17" i="17" s="1"/>
  <c r="K17" i="17" s="1"/>
  <c r="B25" i="1" s="1"/>
  <c r="D25" i="1" s="1"/>
  <c r="E55" i="72"/>
  <c r="L168" i="52"/>
  <c r="M167" i="52"/>
  <c r="L167" i="52"/>
  <c r="L169" i="26"/>
  <c r="F328" i="23"/>
  <c r="F336" i="23"/>
  <c r="F344" i="23"/>
  <c r="F352" i="23"/>
  <c r="F360" i="23"/>
  <c r="F368" i="23"/>
  <c r="F376" i="23"/>
  <c r="F384" i="23"/>
  <c r="F392" i="23"/>
  <c r="F400" i="23"/>
  <c r="F408" i="23"/>
  <c r="F410" i="23"/>
  <c r="F331" i="23"/>
  <c r="F363" i="23"/>
  <c r="F379" i="23"/>
  <c r="F403" i="23"/>
  <c r="F340" i="23"/>
  <c r="F372" i="23"/>
  <c r="F388" i="23"/>
  <c r="F412" i="23"/>
  <c r="F341" i="23"/>
  <c r="F365" i="23"/>
  <c r="F389" i="23"/>
  <c r="F405" i="23"/>
  <c r="F342" i="23"/>
  <c r="F366" i="23"/>
  <c r="F390" i="23"/>
  <c r="F327" i="23"/>
  <c r="F343" i="23"/>
  <c r="F367" i="23"/>
  <c r="F383" i="23"/>
  <c r="F399" i="23"/>
  <c r="F329" i="23"/>
  <c r="F337" i="23"/>
  <c r="F345" i="23"/>
  <c r="F353" i="23"/>
  <c r="F361" i="23"/>
  <c r="F369" i="23"/>
  <c r="F377" i="23"/>
  <c r="F385" i="23"/>
  <c r="F393" i="23"/>
  <c r="F401" i="23"/>
  <c r="F409" i="23"/>
  <c r="F402" i="23"/>
  <c r="F355" i="23"/>
  <c r="F395" i="23"/>
  <c r="F348" i="23"/>
  <c r="F356" i="23"/>
  <c r="F380" i="23"/>
  <c r="F404" i="23"/>
  <c r="F349" i="23"/>
  <c r="F373" i="23"/>
  <c r="F397" i="23"/>
  <c r="F350" i="23"/>
  <c r="F374" i="23"/>
  <c r="F398" i="23"/>
  <c r="F351" i="23"/>
  <c r="F391" i="23"/>
  <c r="F330" i="23"/>
  <c r="F338" i="23"/>
  <c r="F346" i="23"/>
  <c r="F354" i="23"/>
  <c r="F362" i="23"/>
  <c r="F370" i="23"/>
  <c r="F378" i="23"/>
  <c r="F386" i="23"/>
  <c r="F394" i="23"/>
  <c r="F339" i="23"/>
  <c r="F347" i="23"/>
  <c r="F371" i="23"/>
  <c r="F387" i="23"/>
  <c r="F411" i="23"/>
  <c r="F332" i="23"/>
  <c r="F364" i="23"/>
  <c r="F396" i="23"/>
  <c r="F333" i="23"/>
  <c r="F357" i="23"/>
  <c r="F381" i="23"/>
  <c r="F413" i="23"/>
  <c r="F334" i="23"/>
  <c r="F358" i="23"/>
  <c r="F382" i="23"/>
  <c r="F406" i="23"/>
  <c r="F335" i="23"/>
  <c r="F359" i="23"/>
  <c r="F375" i="23"/>
  <c r="F407" i="23"/>
  <c r="G437" i="23"/>
  <c r="G422" i="23"/>
  <c r="G430" i="23"/>
  <c r="G417" i="23"/>
  <c r="G418" i="23"/>
  <c r="G419" i="23"/>
  <c r="G420" i="23"/>
  <c r="G414" i="23"/>
  <c r="G415" i="23"/>
  <c r="G423" i="23"/>
  <c r="G431" i="23"/>
  <c r="G433" i="23"/>
  <c r="G434" i="23"/>
  <c r="G435" i="23"/>
  <c r="G436" i="23"/>
  <c r="G421" i="23"/>
  <c r="G416" i="23"/>
  <c r="G424" i="23"/>
  <c r="G432" i="23"/>
  <c r="G425" i="23"/>
  <c r="G426" i="23"/>
  <c r="G427" i="23"/>
  <c r="G428" i="23"/>
  <c r="G429" i="23"/>
  <c r="I282" i="23"/>
  <c r="L282" i="23" s="1"/>
  <c r="I281" i="23"/>
  <c r="I280" i="23"/>
  <c r="K280" i="23" s="1"/>
  <c r="K296" i="23"/>
  <c r="L232" i="23"/>
  <c r="L231" i="23"/>
  <c r="K233" i="23"/>
  <c r="L233" i="23"/>
  <c r="F156" i="1"/>
  <c r="G156" i="1" s="1"/>
  <c r="K156" i="1"/>
  <c r="B315" i="1" l="1"/>
  <c r="B342" i="1"/>
  <c r="D791" i="12"/>
  <c r="H225" i="1"/>
  <c r="H264" i="1" s="1"/>
  <c r="H303" i="1" s="1"/>
  <c r="H363" i="1" s="1"/>
  <c r="I324" i="12" s="1"/>
  <c r="G194" i="1"/>
  <c r="G224" i="1"/>
  <c r="G263" i="1" s="1"/>
  <c r="G302" i="1" s="1"/>
  <c r="G362" i="1" s="1"/>
  <c r="G203" i="1"/>
  <c r="G221" i="1"/>
  <c r="G260" i="1" s="1"/>
  <c r="G299" i="1" s="1"/>
  <c r="G359" i="1" s="1"/>
  <c r="M58" i="1"/>
  <c r="B442" i="1" s="1"/>
  <c r="B622" i="1"/>
  <c r="N404" i="12" s="1"/>
  <c r="H214" i="1"/>
  <c r="H253" i="1" s="1"/>
  <c r="H292" i="1" s="1"/>
  <c r="H352" i="1" s="1"/>
  <c r="G192" i="1"/>
  <c r="H221" i="1"/>
  <c r="H260" i="1" s="1"/>
  <c r="H299" i="1" s="1"/>
  <c r="H359" i="1" s="1"/>
  <c r="G199" i="1"/>
  <c r="H213" i="1"/>
  <c r="H252" i="1" s="1"/>
  <c r="H291" i="1" s="1"/>
  <c r="H351" i="1" s="1"/>
  <c r="B371" i="12"/>
  <c r="G218" i="1"/>
  <c r="G257" i="1" s="1"/>
  <c r="G296" i="1" s="1"/>
  <c r="G356" i="1" s="1"/>
  <c r="G213" i="1"/>
  <c r="G252" i="1" s="1"/>
  <c r="G291" i="1" s="1"/>
  <c r="G351" i="1" s="1"/>
  <c r="H212" i="1"/>
  <c r="H251" i="1" s="1"/>
  <c r="H290" i="1" s="1"/>
  <c r="H350" i="1" s="1"/>
  <c r="H198" i="1"/>
  <c r="M51" i="1"/>
  <c r="B93" i="63" s="1"/>
  <c r="M57" i="1"/>
  <c r="N57" i="1" s="1"/>
  <c r="M47" i="1"/>
  <c r="B431" i="1" s="1"/>
  <c r="H223" i="1"/>
  <c r="H262" i="1" s="1"/>
  <c r="H301" i="1" s="1"/>
  <c r="H361" i="1" s="1"/>
  <c r="M56" i="1"/>
  <c r="B440" i="1" s="1"/>
  <c r="B96" i="1"/>
  <c r="B119" i="1" s="1"/>
  <c r="M54" i="1"/>
  <c r="N54" i="1" s="1"/>
  <c r="M45" i="1"/>
  <c r="B429" i="1" s="1"/>
  <c r="G202" i="1"/>
  <c r="H222" i="1"/>
  <c r="H261" i="1" s="1"/>
  <c r="H300" i="1" s="1"/>
  <c r="H360" i="1" s="1"/>
  <c r="G200" i="1"/>
  <c r="M46" i="1"/>
  <c r="N46" i="1" s="1"/>
  <c r="H220" i="1"/>
  <c r="H259" i="1" s="1"/>
  <c r="H298" i="1" s="1"/>
  <c r="H358" i="1" s="1"/>
  <c r="H199" i="1"/>
  <c r="M55" i="1"/>
  <c r="B439" i="1" s="1"/>
  <c r="M53" i="1"/>
  <c r="N53" i="1" s="1"/>
  <c r="M52" i="1"/>
  <c r="B5" i="63" s="1"/>
  <c r="G216" i="1"/>
  <c r="G255" i="1" s="1"/>
  <c r="G196" i="1"/>
  <c r="M85" i="1"/>
  <c r="N85" i="1" s="1"/>
  <c r="B108" i="1"/>
  <c r="M95" i="1"/>
  <c r="N95" i="1" s="1"/>
  <c r="B118" i="1"/>
  <c r="B115" i="1"/>
  <c r="M92" i="1"/>
  <c r="M86" i="1"/>
  <c r="N86" i="1" s="1"/>
  <c r="B109" i="1"/>
  <c r="M87" i="1"/>
  <c r="N87" i="1" s="1"/>
  <c r="B110" i="1"/>
  <c r="I71" i="1"/>
  <c r="K50" i="1"/>
  <c r="L50" i="1"/>
  <c r="J50" i="1"/>
  <c r="G50" i="1"/>
  <c r="G90" i="1" s="1"/>
  <c r="H50" i="1"/>
  <c r="H90" i="1" s="1"/>
  <c r="F50" i="1"/>
  <c r="F90" i="1" s="1"/>
  <c r="I50" i="1"/>
  <c r="I90" i="1" s="1"/>
  <c r="D50" i="1"/>
  <c r="D90" i="1" s="1"/>
  <c r="C50" i="1"/>
  <c r="C90" i="1" s="1"/>
  <c r="E50" i="1"/>
  <c r="E90" i="1" s="1"/>
  <c r="B50" i="1"/>
  <c r="M98" i="1"/>
  <c r="N98" i="1" s="1"/>
  <c r="B121" i="1"/>
  <c r="B89" i="1"/>
  <c r="M49" i="1"/>
  <c r="B433" i="1" s="1"/>
  <c r="M97" i="1"/>
  <c r="N97" i="1" s="1"/>
  <c r="B120" i="1"/>
  <c r="D120" i="1" s="1"/>
  <c r="G120" i="1" s="1"/>
  <c r="B114" i="1"/>
  <c r="M91" i="1"/>
  <c r="L44" i="1"/>
  <c r="J44" i="1"/>
  <c r="G44" i="1"/>
  <c r="K44" i="1"/>
  <c r="I65" i="1"/>
  <c r="D44" i="1"/>
  <c r="E44" i="1"/>
  <c r="I44" i="1"/>
  <c r="B44" i="1"/>
  <c r="C44" i="1"/>
  <c r="H44" i="1"/>
  <c r="F44" i="1"/>
  <c r="M94" i="1"/>
  <c r="N94" i="1" s="1"/>
  <c r="B117" i="1"/>
  <c r="M93" i="1"/>
  <c r="N93" i="1" s="1"/>
  <c r="B116" i="1"/>
  <c r="H196" i="1"/>
  <c r="H216" i="1"/>
  <c r="H255" i="1" s="1"/>
  <c r="H294" i="1" s="1"/>
  <c r="H354" i="1" s="1"/>
  <c r="L280" i="23"/>
  <c r="K281" i="23"/>
  <c r="L281" i="23"/>
  <c r="K282" i="23"/>
  <c r="H156" i="1"/>
  <c r="I156" i="1" s="1"/>
  <c r="E195" i="1"/>
  <c r="F195" i="1"/>
  <c r="C195" i="1"/>
  <c r="B195" i="1"/>
  <c r="D195" i="1"/>
  <c r="B372" i="12" l="1"/>
  <c r="B316" i="1"/>
  <c r="B343" i="1"/>
  <c r="B623" i="1"/>
  <c r="N405" i="12" s="1"/>
  <c r="N58" i="1"/>
  <c r="B92" i="63"/>
  <c r="C92" i="63" s="1"/>
  <c r="N51" i="1"/>
  <c r="B435" i="1"/>
  <c r="D435" i="1" s="1"/>
  <c r="B564" i="1" s="1"/>
  <c r="B441" i="1"/>
  <c r="N47" i="1"/>
  <c r="N56" i="1"/>
  <c r="B438" i="1"/>
  <c r="M96" i="1"/>
  <c r="N96" i="1" s="1"/>
  <c r="N45" i="1"/>
  <c r="B430" i="1"/>
  <c r="K59" i="1"/>
  <c r="N55" i="1"/>
  <c r="B437" i="1"/>
  <c r="B4" i="63"/>
  <c r="C4" i="63" s="1"/>
  <c r="B436" i="1"/>
  <c r="N52" i="1"/>
  <c r="F120" i="1"/>
  <c r="D84" i="1"/>
  <c r="D99" i="1" s="1"/>
  <c r="D59" i="1"/>
  <c r="D121" i="1"/>
  <c r="E139" i="1" s="1"/>
  <c r="C166" i="1" s="1"/>
  <c r="C186" i="1" s="1"/>
  <c r="B464" i="1" s="1"/>
  <c r="C84" i="1"/>
  <c r="C59" i="1"/>
  <c r="J59" i="1"/>
  <c r="K17" i="12" s="1"/>
  <c r="D108" i="1"/>
  <c r="E126" i="1" s="1"/>
  <c r="C153" i="1" s="1"/>
  <c r="E138" i="1"/>
  <c r="C165" i="1" s="1"/>
  <c r="C185" i="1" s="1"/>
  <c r="B463" i="1" s="1"/>
  <c r="D116" i="1"/>
  <c r="G116" i="1" s="1"/>
  <c r="I84" i="1"/>
  <c r="I99" i="1" s="1"/>
  <c r="I59" i="1"/>
  <c r="B94" i="63"/>
  <c r="C94" i="63" s="1"/>
  <c r="N91" i="1"/>
  <c r="H217" i="1"/>
  <c r="H256" i="1" s="1"/>
  <c r="H295" i="1" s="1"/>
  <c r="H355" i="1" s="1"/>
  <c r="H197" i="1"/>
  <c r="D109" i="1"/>
  <c r="H109" i="1" s="1"/>
  <c r="D110" i="1"/>
  <c r="E128" i="1" s="1"/>
  <c r="C155" i="1" s="1"/>
  <c r="C175" i="1" s="1"/>
  <c r="B453" i="1" s="1"/>
  <c r="D119" i="1"/>
  <c r="E120" i="1"/>
  <c r="E84" i="1"/>
  <c r="E59" i="1"/>
  <c r="B407" i="1" s="1"/>
  <c r="D114" i="1"/>
  <c r="F114" i="1" s="1"/>
  <c r="F92" i="63"/>
  <c r="G217" i="1"/>
  <c r="G256" i="1" s="1"/>
  <c r="G295" i="1" s="1"/>
  <c r="G355" i="1" s="1"/>
  <c r="G197" i="1"/>
  <c r="G294" i="1"/>
  <c r="D118" i="1"/>
  <c r="E136" i="1" s="1"/>
  <c r="C163" i="1" s="1"/>
  <c r="D117" i="1"/>
  <c r="I117" i="1" s="1"/>
  <c r="B90" i="1"/>
  <c r="M50" i="1"/>
  <c r="N92" i="1"/>
  <c r="B6" i="63"/>
  <c r="C6" i="63" s="1"/>
  <c r="H120" i="1"/>
  <c r="F4" i="63"/>
  <c r="I120" i="1"/>
  <c r="F84" i="1"/>
  <c r="F59" i="1"/>
  <c r="J120" i="1"/>
  <c r="H84" i="1"/>
  <c r="H59" i="1"/>
  <c r="I17" i="12" s="1"/>
  <c r="G84" i="1"/>
  <c r="G59" i="1"/>
  <c r="H17" i="12" s="1"/>
  <c r="B84" i="1"/>
  <c r="M44" i="1"/>
  <c r="B59" i="1"/>
  <c r="L59" i="1"/>
  <c r="M17" i="12" s="1"/>
  <c r="M89" i="1"/>
  <c r="B112" i="1"/>
  <c r="B373" i="12" l="1"/>
  <c r="B344" i="1"/>
  <c r="B624" i="1"/>
  <c r="B625" i="1" s="1"/>
  <c r="B630" i="1" s="1"/>
  <c r="B631" i="1" s="1"/>
  <c r="B632" i="1" s="1"/>
  <c r="G238" i="1" s="1"/>
  <c r="L17" i="12"/>
  <c r="L162" i="12" s="1"/>
  <c r="C93" i="63"/>
  <c r="C5" i="63"/>
  <c r="G114" i="1"/>
  <c r="E114" i="1"/>
  <c r="J114" i="1"/>
  <c r="H114" i="1"/>
  <c r="E109" i="1"/>
  <c r="F117" i="1"/>
  <c r="E118" i="1"/>
  <c r="F116" i="1"/>
  <c r="G110" i="1"/>
  <c r="F109" i="1"/>
  <c r="G109" i="1"/>
  <c r="H110" i="1"/>
  <c r="I110" i="1"/>
  <c r="E110" i="1"/>
  <c r="J110" i="1"/>
  <c r="H108" i="1"/>
  <c r="F121" i="1"/>
  <c r="G121" i="1"/>
  <c r="H121" i="1"/>
  <c r="G138" i="1"/>
  <c r="H138" i="1" s="1"/>
  <c r="I138" i="1" s="1"/>
  <c r="F110" i="1"/>
  <c r="J109" i="1"/>
  <c r="F403" i="12"/>
  <c r="F17" i="12"/>
  <c r="D112" i="1"/>
  <c r="I112" i="1" s="1"/>
  <c r="J117" i="1"/>
  <c r="G118" i="1"/>
  <c r="E99" i="1"/>
  <c r="B408" i="1" s="1"/>
  <c r="I108" i="1"/>
  <c r="E121" i="1"/>
  <c r="G191" i="1"/>
  <c r="G206" i="1" s="1"/>
  <c r="H19" i="12" s="1"/>
  <c r="G211" i="1"/>
  <c r="G99" i="1"/>
  <c r="H18" i="12" s="1"/>
  <c r="E119" i="1"/>
  <c r="E137" i="1"/>
  <c r="C164" i="1" s="1"/>
  <c r="H191" i="1"/>
  <c r="H211" i="1"/>
  <c r="H99" i="1"/>
  <c r="I18" i="12" s="1"/>
  <c r="H117" i="1"/>
  <c r="F118" i="1"/>
  <c r="E116" i="1"/>
  <c r="E134" i="1"/>
  <c r="C161" i="1" s="1"/>
  <c r="C181" i="1" s="1"/>
  <c r="B459" i="1" s="1"/>
  <c r="C173" i="1"/>
  <c r="B451" i="1" s="1"/>
  <c r="D403" i="12"/>
  <c r="D17" i="12"/>
  <c r="J17" i="12"/>
  <c r="P403" i="12"/>
  <c r="Q403" i="12"/>
  <c r="B609" i="1"/>
  <c r="C17" i="12"/>
  <c r="M59" i="1"/>
  <c r="C403" i="12"/>
  <c r="J119" i="1"/>
  <c r="J18" i="12"/>
  <c r="P404" i="12"/>
  <c r="Q404" i="12"/>
  <c r="F108" i="1"/>
  <c r="N44" i="1"/>
  <c r="B428" i="1"/>
  <c r="L67" i="1"/>
  <c r="L66" i="1"/>
  <c r="L65" i="1"/>
  <c r="F99" i="1"/>
  <c r="M90" i="1"/>
  <c r="N90" i="1" s="1"/>
  <c r="B113" i="1"/>
  <c r="I118" i="1"/>
  <c r="I119" i="1"/>
  <c r="J116" i="1"/>
  <c r="E108" i="1"/>
  <c r="C99" i="1"/>
  <c r="E403" i="12"/>
  <c r="E17" i="12"/>
  <c r="C183" i="1"/>
  <c r="B461" i="1" s="1"/>
  <c r="H119" i="1"/>
  <c r="C609" i="1"/>
  <c r="G403" i="12"/>
  <c r="G17" i="12"/>
  <c r="F119" i="1"/>
  <c r="I109" i="1"/>
  <c r="E127" i="1"/>
  <c r="C154" i="1" s="1"/>
  <c r="C174" i="1" s="1"/>
  <c r="B452" i="1" s="1"/>
  <c r="H116" i="1"/>
  <c r="G108" i="1"/>
  <c r="I121" i="1"/>
  <c r="E18" i="12"/>
  <c r="E404" i="12"/>
  <c r="G117" i="1"/>
  <c r="E135" i="1"/>
  <c r="C162" i="1" s="1"/>
  <c r="N50" i="1"/>
  <c r="B434" i="1"/>
  <c r="M84" i="1"/>
  <c r="N84" i="1" s="1"/>
  <c r="B107" i="1"/>
  <c r="B99" i="1"/>
  <c r="H118" i="1"/>
  <c r="E117" i="1"/>
  <c r="J118" i="1"/>
  <c r="I114" i="1"/>
  <c r="E132" i="1"/>
  <c r="C159" i="1" s="1"/>
  <c r="C179" i="1" s="1"/>
  <c r="B457" i="1" s="1"/>
  <c r="G119" i="1"/>
  <c r="I116" i="1"/>
  <c r="J108" i="1"/>
  <c r="J121" i="1"/>
  <c r="N406" i="12" l="1"/>
  <c r="G132" i="1"/>
  <c r="H132" i="1" s="1"/>
  <c r="I132" i="1" s="1"/>
  <c r="G127" i="1"/>
  <c r="H127" i="1" s="1"/>
  <c r="I127" i="1" s="1"/>
  <c r="G128" i="1"/>
  <c r="H128" i="1" s="1"/>
  <c r="I128" i="1" s="1"/>
  <c r="H112" i="1"/>
  <c r="F112" i="1"/>
  <c r="J112" i="1"/>
  <c r="G112" i="1"/>
  <c r="G136" i="1"/>
  <c r="B443" i="1"/>
  <c r="G126" i="1"/>
  <c r="H126" i="1" s="1"/>
  <c r="I126" i="1" s="1"/>
  <c r="D113" i="1"/>
  <c r="E131" i="1" s="1"/>
  <c r="C158" i="1" s="1"/>
  <c r="C178" i="1" s="1"/>
  <c r="B456" i="1" s="1"/>
  <c r="G250" i="1"/>
  <c r="G226" i="1"/>
  <c r="H20" i="12" s="1"/>
  <c r="B610" i="1"/>
  <c r="C18" i="12"/>
  <c r="C404" i="12"/>
  <c r="G139" i="1"/>
  <c r="D107" i="1"/>
  <c r="E125" i="1" s="1"/>
  <c r="C152" i="1" s="1"/>
  <c r="D404" i="12"/>
  <c r="D18" i="12"/>
  <c r="C610" i="1"/>
  <c r="G18" i="12"/>
  <c r="G404" i="12"/>
  <c r="H250" i="1"/>
  <c r="H226" i="1"/>
  <c r="I20" i="12" s="1"/>
  <c r="G135" i="1"/>
  <c r="L68" i="1"/>
  <c r="B826" i="12"/>
  <c r="C826" i="12" s="1"/>
  <c r="B827" i="12"/>
  <c r="C827" i="12" s="1"/>
  <c r="C184" i="1"/>
  <c r="B462" i="1" s="1"/>
  <c r="M99" i="1"/>
  <c r="F18" i="12"/>
  <c r="F404" i="12"/>
  <c r="E112" i="1"/>
  <c r="E130" i="1"/>
  <c r="C157" i="1" s="1"/>
  <c r="B828" i="12"/>
  <c r="C828" i="12" s="1"/>
  <c r="G137" i="1"/>
  <c r="B626" i="1"/>
  <c r="N407" i="12"/>
  <c r="C182" i="1"/>
  <c r="B460" i="1" s="1"/>
  <c r="G134" i="1"/>
  <c r="D165" i="1"/>
  <c r="L156" i="1"/>
  <c r="D115" i="1"/>
  <c r="E133" i="1" s="1"/>
  <c r="C160" i="1" s="1"/>
  <c r="E113" i="1" l="1"/>
  <c r="D159" i="1"/>
  <c r="E159" i="1" s="1"/>
  <c r="F159" i="1" s="1"/>
  <c r="G159" i="1" s="1"/>
  <c r="G107" i="1"/>
  <c r="I113" i="1"/>
  <c r="F113" i="1"/>
  <c r="H136" i="1"/>
  <c r="I136" i="1" s="1"/>
  <c r="H107" i="1"/>
  <c r="D153" i="1"/>
  <c r="E153" i="1" s="1"/>
  <c r="C172" i="1"/>
  <c r="B450" i="1" s="1"/>
  <c r="H135" i="1"/>
  <c r="F107" i="1"/>
  <c r="G289" i="1"/>
  <c r="G265" i="1"/>
  <c r="H21" i="12" s="1"/>
  <c r="I107" i="1"/>
  <c r="G113" i="1"/>
  <c r="H289" i="1"/>
  <c r="H265" i="1"/>
  <c r="I21" i="12" s="1"/>
  <c r="E107" i="1"/>
  <c r="H113" i="1"/>
  <c r="G130" i="1"/>
  <c r="B627" i="1"/>
  <c r="N409" i="12" s="1"/>
  <c r="L14" i="64" s="1"/>
  <c r="N408" i="12"/>
  <c r="H134" i="1"/>
  <c r="I134" i="1" s="1"/>
  <c r="H137" i="1"/>
  <c r="I137" i="1" s="1"/>
  <c r="D155" i="1"/>
  <c r="C177" i="1"/>
  <c r="B455" i="1" s="1"/>
  <c r="J107" i="1"/>
  <c r="H139" i="1"/>
  <c r="J113" i="1"/>
  <c r="D154" i="1"/>
  <c r="E154" i="1" s="1"/>
  <c r="K154" i="1" s="1"/>
  <c r="E165" i="1"/>
  <c r="B215" i="1"/>
  <c r="E215" i="1"/>
  <c r="D215" i="1"/>
  <c r="C215" i="1"/>
  <c r="F215" i="1"/>
  <c r="C180" i="1"/>
  <c r="B458" i="1" s="1"/>
  <c r="H115" i="1"/>
  <c r="I115" i="1"/>
  <c r="G115" i="1"/>
  <c r="J115" i="1"/>
  <c r="F115" i="1"/>
  <c r="E115" i="1"/>
  <c r="K159" i="1" l="1"/>
  <c r="C198" i="1" s="1"/>
  <c r="H159" i="1"/>
  <c r="I159" i="1" s="1"/>
  <c r="D163" i="1"/>
  <c r="E163" i="1" s="1"/>
  <c r="F163" i="1" s="1"/>
  <c r="G131" i="1"/>
  <c r="H131" i="1" s="1"/>
  <c r="F154" i="1"/>
  <c r="G154" i="1" s="1"/>
  <c r="H154" i="1" s="1"/>
  <c r="I154" i="1" s="1"/>
  <c r="F153" i="1"/>
  <c r="G153" i="1" s="1"/>
  <c r="H153" i="1" s="1"/>
  <c r="D164" i="1"/>
  <c r="H130" i="1"/>
  <c r="I130" i="1" s="1"/>
  <c r="D161" i="1"/>
  <c r="E161" i="1" s="1"/>
  <c r="K161" i="1" s="1"/>
  <c r="G125" i="1"/>
  <c r="D166" i="1"/>
  <c r="H349" i="1"/>
  <c r="H364" i="1" s="1"/>
  <c r="I23" i="12" s="1"/>
  <c r="H304" i="1"/>
  <c r="I22" i="12" s="1"/>
  <c r="G349" i="1"/>
  <c r="G304" i="1"/>
  <c r="H22" i="12" s="1"/>
  <c r="K153" i="1"/>
  <c r="D162" i="1"/>
  <c r="E193" i="1"/>
  <c r="D193" i="1"/>
  <c r="B193" i="1"/>
  <c r="C193" i="1"/>
  <c r="F193" i="1"/>
  <c r="I139" i="1"/>
  <c r="E155" i="1"/>
  <c r="I135" i="1"/>
  <c r="F165" i="1"/>
  <c r="K165" i="1"/>
  <c r="B14" i="25"/>
  <c r="C30" i="25"/>
  <c r="I18" i="25"/>
  <c r="I19" i="25" s="1"/>
  <c r="C138" i="25" s="1"/>
  <c r="C32" i="25"/>
  <c r="C41" i="25" s="1"/>
  <c r="C34" i="25"/>
  <c r="C35" i="25"/>
  <c r="C44" i="25" s="1"/>
  <c r="H126" i="25" s="1"/>
  <c r="C31" i="25"/>
  <c r="C33" i="25"/>
  <c r="C42" i="25" s="1"/>
  <c r="H129" i="25" s="1"/>
  <c r="L129" i="25" s="1"/>
  <c r="J35" i="50" s="1"/>
  <c r="B254" i="1"/>
  <c r="B493" i="1" s="1"/>
  <c r="E254" i="1"/>
  <c r="C254" i="1"/>
  <c r="C493" i="1" s="1"/>
  <c r="D254" i="1"/>
  <c r="D493" i="1" s="1"/>
  <c r="F254" i="1"/>
  <c r="F493" i="1" s="1"/>
  <c r="B235" i="1"/>
  <c r="D235" i="1" s="1"/>
  <c r="B465" i="1"/>
  <c r="G133" i="1"/>
  <c r="E493" i="1" l="1"/>
  <c r="H493" i="1" s="1"/>
  <c r="I493" i="1" s="1"/>
  <c r="E198" i="1"/>
  <c r="D198" i="1"/>
  <c r="B198" i="1"/>
  <c r="I131" i="1"/>
  <c r="F198" i="1"/>
  <c r="E166" i="1"/>
  <c r="K166" i="1" s="1"/>
  <c r="F205" i="1" s="1"/>
  <c r="H125" i="1"/>
  <c r="I125" i="1" s="1"/>
  <c r="D157" i="1"/>
  <c r="D158" i="1"/>
  <c r="E158" i="1" s="1"/>
  <c r="K158" i="1" s="1"/>
  <c r="L154" i="1"/>
  <c r="K163" i="1"/>
  <c r="F161" i="1"/>
  <c r="C200" i="1"/>
  <c r="F200" i="1"/>
  <c r="D200" i="1"/>
  <c r="E200" i="1"/>
  <c r="B200" i="1"/>
  <c r="G163" i="1"/>
  <c r="E164" i="1"/>
  <c r="K164" i="1" s="1"/>
  <c r="K155" i="1"/>
  <c r="E162" i="1"/>
  <c r="K162" i="1" s="1"/>
  <c r="D192" i="1"/>
  <c r="B192" i="1"/>
  <c r="E192" i="1"/>
  <c r="F192" i="1"/>
  <c r="C192" i="1"/>
  <c r="I153" i="1"/>
  <c r="L153" i="1" s="1"/>
  <c r="F155" i="1"/>
  <c r="F204" i="1"/>
  <c r="E204" i="1"/>
  <c r="C204" i="1"/>
  <c r="D204" i="1"/>
  <c r="B204" i="1"/>
  <c r="G165" i="1"/>
  <c r="H165" i="1" s="1"/>
  <c r="I165" i="1" s="1"/>
  <c r="C40" i="25"/>
  <c r="H136" i="25"/>
  <c r="H141" i="25" s="1"/>
  <c r="H143" i="25" s="1"/>
  <c r="H147" i="25" s="1"/>
  <c r="H125" i="25"/>
  <c r="C88" i="25"/>
  <c r="C43" i="25"/>
  <c r="B100" i="25"/>
  <c r="H128" i="25"/>
  <c r="C91" i="25"/>
  <c r="C127" i="25" s="1"/>
  <c r="H127" i="25"/>
  <c r="C90" i="25"/>
  <c r="C126" i="25" s="1"/>
  <c r="C39" i="25"/>
  <c r="C36" i="25"/>
  <c r="C45" i="25" s="1"/>
  <c r="J18" i="25"/>
  <c r="J19" i="25" s="1"/>
  <c r="D138" i="25" s="1"/>
  <c r="D30" i="25"/>
  <c r="D31" i="25"/>
  <c r="D34" i="25"/>
  <c r="D35" i="25"/>
  <c r="D33" i="25"/>
  <c r="D42" i="25" s="1"/>
  <c r="D92" i="25" s="1"/>
  <c r="D128" i="25" s="1"/>
  <c r="D32" i="25"/>
  <c r="D41" i="25" s="1"/>
  <c r="B274" i="1"/>
  <c r="C274" i="1" s="1"/>
  <c r="E235" i="1"/>
  <c r="L254" i="1" s="1"/>
  <c r="H133" i="1"/>
  <c r="L159" i="1"/>
  <c r="F164" i="1" l="1"/>
  <c r="G164" i="1" s="1"/>
  <c r="H164" i="1" s="1"/>
  <c r="I164" i="1" s="1"/>
  <c r="D205" i="1"/>
  <c r="B205" i="1"/>
  <c r="C205" i="1"/>
  <c r="E205" i="1"/>
  <c r="F166" i="1"/>
  <c r="B201" i="1"/>
  <c r="F201" i="1"/>
  <c r="C201" i="1"/>
  <c r="D201" i="1"/>
  <c r="E201" i="1"/>
  <c r="B212" i="1"/>
  <c r="D212" i="1"/>
  <c r="D251" i="1" s="1"/>
  <c r="C212" i="1"/>
  <c r="C251" i="1" s="1"/>
  <c r="E212" i="1"/>
  <c r="E251" i="1" s="1"/>
  <c r="F212" i="1"/>
  <c r="F251" i="1" s="1"/>
  <c r="H163" i="1"/>
  <c r="I163" i="1" s="1"/>
  <c r="C202" i="1"/>
  <c r="B202" i="1"/>
  <c r="E202" i="1"/>
  <c r="F202" i="1"/>
  <c r="D202" i="1"/>
  <c r="E157" i="1"/>
  <c r="F157" i="1" s="1"/>
  <c r="G155" i="1"/>
  <c r="F162" i="1"/>
  <c r="G162" i="1" s="1"/>
  <c r="C213" i="1"/>
  <c r="C252" i="1" s="1"/>
  <c r="D213" i="1"/>
  <c r="D252" i="1" s="1"/>
  <c r="F213" i="1"/>
  <c r="F252" i="1" s="1"/>
  <c r="B213" i="1"/>
  <c r="E213" i="1"/>
  <c r="E252" i="1" s="1"/>
  <c r="B194" i="1"/>
  <c r="F194" i="1"/>
  <c r="D194" i="1"/>
  <c r="E194" i="1"/>
  <c r="C194" i="1"/>
  <c r="D197" i="1"/>
  <c r="E197" i="1"/>
  <c r="C197" i="1"/>
  <c r="B197" i="1"/>
  <c r="F197" i="1"/>
  <c r="B203" i="1"/>
  <c r="E203" i="1"/>
  <c r="C203" i="1"/>
  <c r="F203" i="1"/>
  <c r="D203" i="1"/>
  <c r="D152" i="1"/>
  <c r="E152" i="1" s="1"/>
  <c r="G161" i="1"/>
  <c r="H161" i="1" s="1"/>
  <c r="I161" i="1" s="1"/>
  <c r="F158" i="1"/>
  <c r="L165" i="1"/>
  <c r="C224" i="1" s="1"/>
  <c r="C263" i="1" s="1"/>
  <c r="D40" i="25"/>
  <c r="D88" i="25" s="1"/>
  <c r="I136" i="25"/>
  <c r="D44" i="25"/>
  <c r="I139" i="25"/>
  <c r="L128" i="25"/>
  <c r="J34" i="50" s="1"/>
  <c r="H124" i="25"/>
  <c r="L124" i="25" s="1"/>
  <c r="J30" i="50" s="1"/>
  <c r="C133" i="17" s="1"/>
  <c r="C86" i="25"/>
  <c r="C100" i="25"/>
  <c r="D43" i="25"/>
  <c r="B106" i="25"/>
  <c r="B107" i="25"/>
  <c r="B101" i="25"/>
  <c r="I126" i="25"/>
  <c r="D89" i="25"/>
  <c r="D125" i="25" s="1"/>
  <c r="M126" i="25" s="1"/>
  <c r="K32" i="50" s="1"/>
  <c r="I125" i="25"/>
  <c r="H130" i="25"/>
  <c r="C93" i="25"/>
  <c r="C129" i="25" s="1"/>
  <c r="I128" i="25"/>
  <c r="I127" i="25"/>
  <c r="D91" i="25"/>
  <c r="D127" i="25" s="1"/>
  <c r="D90" i="25"/>
  <c r="D126" i="25" s="1"/>
  <c r="D39" i="25"/>
  <c r="D36" i="25"/>
  <c r="D45" i="25" s="1"/>
  <c r="C188" i="17" s="1"/>
  <c r="K188" i="17" s="1"/>
  <c r="B145" i="1" s="1"/>
  <c r="C124" i="25"/>
  <c r="L127" i="25"/>
  <c r="J33" i="50" s="1"/>
  <c r="D160" i="1"/>
  <c r="L293" i="1"/>
  <c r="D218" i="1"/>
  <c r="E218" i="1"/>
  <c r="C218" i="1"/>
  <c r="F218" i="1"/>
  <c r="B218" i="1"/>
  <c r="I133" i="1"/>
  <c r="B144" i="1" s="1"/>
  <c r="L164" i="1" l="1"/>
  <c r="F223" i="1" s="1"/>
  <c r="F262" i="1" s="1"/>
  <c r="F301" i="1" s="1"/>
  <c r="F361" i="1" s="1"/>
  <c r="L163" i="1"/>
  <c r="D222" i="1" s="1"/>
  <c r="D261" i="1" s="1"/>
  <c r="G166" i="1"/>
  <c r="H166" i="1" s="1"/>
  <c r="I166" i="1" s="1"/>
  <c r="L166" i="1" s="1"/>
  <c r="F152" i="1"/>
  <c r="G152" i="1" s="1"/>
  <c r="H152" i="1" s="1"/>
  <c r="F490" i="1"/>
  <c r="F290" i="1"/>
  <c r="F350" i="1" s="1"/>
  <c r="C491" i="1"/>
  <c r="C291" i="1"/>
  <c r="C351" i="1" s="1"/>
  <c r="K157" i="1"/>
  <c r="E490" i="1"/>
  <c r="E290" i="1"/>
  <c r="E350" i="1" s="1"/>
  <c r="C490" i="1"/>
  <c r="C290" i="1"/>
  <c r="C350" i="1" s="1"/>
  <c r="G157" i="1"/>
  <c r="H157" i="1" s="1"/>
  <c r="I157" i="1" s="1"/>
  <c r="D490" i="1"/>
  <c r="D290" i="1"/>
  <c r="D350" i="1" s="1"/>
  <c r="E491" i="1"/>
  <c r="E291" i="1"/>
  <c r="E351" i="1" s="1"/>
  <c r="B251" i="1"/>
  <c r="B490" i="1" s="1"/>
  <c r="B232" i="1"/>
  <c r="K152" i="1"/>
  <c r="B252" i="1"/>
  <c r="B233" i="1"/>
  <c r="H155" i="1"/>
  <c r="I155" i="1" s="1"/>
  <c r="L155" i="1" s="1"/>
  <c r="H162" i="1"/>
  <c r="I162" i="1" s="1"/>
  <c r="L162" i="1" s="1"/>
  <c r="G158" i="1"/>
  <c r="H158" i="1" s="1"/>
  <c r="F491" i="1"/>
  <c r="F291" i="1"/>
  <c r="F351" i="1" s="1"/>
  <c r="L161" i="1"/>
  <c r="D491" i="1"/>
  <c r="D291" i="1"/>
  <c r="D351" i="1" s="1"/>
  <c r="D224" i="1"/>
  <c r="D263" i="1" s="1"/>
  <c r="D302" i="1" s="1"/>
  <c r="D362" i="1" s="1"/>
  <c r="B238" i="1"/>
  <c r="D238" i="1" s="1"/>
  <c r="E238" i="1" s="1"/>
  <c r="F224" i="1"/>
  <c r="E224" i="1"/>
  <c r="B224" i="1"/>
  <c r="C502" i="1"/>
  <c r="C302" i="1"/>
  <c r="C362" i="1" s="1"/>
  <c r="I141" i="25"/>
  <c r="I143" i="25" s="1"/>
  <c r="I147" i="25" s="1"/>
  <c r="C137" i="17"/>
  <c r="E137" i="17" s="1"/>
  <c r="K137" i="17" s="1"/>
  <c r="C136" i="17"/>
  <c r="E136" i="17" s="1"/>
  <c r="K136" i="17" s="1"/>
  <c r="F477" i="1" s="1"/>
  <c r="C147" i="17"/>
  <c r="B146" i="1"/>
  <c r="B160" i="1" s="1"/>
  <c r="C94" i="25"/>
  <c r="M127" i="25"/>
  <c r="K33" i="50" s="1"/>
  <c r="M128" i="25"/>
  <c r="K34" i="50" s="1"/>
  <c r="C112" i="25"/>
  <c r="C131" i="25" s="1"/>
  <c r="C116" i="25"/>
  <c r="C133" i="25" s="1"/>
  <c r="C111" i="25"/>
  <c r="C130" i="25" s="1"/>
  <c r="C115" i="25"/>
  <c r="C132" i="25" s="1"/>
  <c r="D124" i="25"/>
  <c r="C107" i="25"/>
  <c r="C106" i="25"/>
  <c r="C101" i="25"/>
  <c r="L130" i="25"/>
  <c r="J36" i="50" s="1"/>
  <c r="C139" i="17" s="1"/>
  <c r="L125" i="25"/>
  <c r="J31" i="50" s="1"/>
  <c r="H148" i="25"/>
  <c r="I130" i="25"/>
  <c r="D93" i="25"/>
  <c r="D129" i="25" s="1"/>
  <c r="C194" i="17"/>
  <c r="I124" i="25"/>
  <c r="D86" i="25"/>
  <c r="E133" i="17"/>
  <c r="E147" i="17" s="1"/>
  <c r="F257" i="1"/>
  <c r="F496" i="1" s="1"/>
  <c r="B257" i="1"/>
  <c r="C257" i="1"/>
  <c r="C496" i="1" s="1"/>
  <c r="E257" i="1"/>
  <c r="E496" i="1" s="1"/>
  <c r="D257" i="1"/>
  <c r="D496" i="1" s="1"/>
  <c r="E160" i="1"/>
  <c r="L353" i="1"/>
  <c r="B293" i="1"/>
  <c r="C293" i="1"/>
  <c r="C353" i="1" s="1"/>
  <c r="D293" i="1"/>
  <c r="D353" i="1" s="1"/>
  <c r="F293" i="1"/>
  <c r="F353" i="1" s="1"/>
  <c r="E293" i="1"/>
  <c r="D274" i="1"/>
  <c r="E274" i="1" s="1"/>
  <c r="J293" i="1" s="1"/>
  <c r="B514" i="1" s="1"/>
  <c r="E353" i="1" l="1"/>
  <c r="E223" i="1"/>
  <c r="E262" i="1" s="1"/>
  <c r="E301" i="1" s="1"/>
  <c r="E361" i="1" s="1"/>
  <c r="C223" i="1"/>
  <c r="C262" i="1" s="1"/>
  <c r="C301" i="1" s="1"/>
  <c r="C361" i="1" s="1"/>
  <c r="B223" i="1"/>
  <c r="B262" i="1" s="1"/>
  <c r="B501" i="1" s="1"/>
  <c r="F501" i="1"/>
  <c r="D223" i="1"/>
  <c r="D262" i="1" s="1"/>
  <c r="D301" i="1" s="1"/>
  <c r="D361" i="1" s="1"/>
  <c r="L131" i="25"/>
  <c r="J37" i="50" s="1"/>
  <c r="D225" i="1"/>
  <c r="E225" i="1"/>
  <c r="B225" i="1"/>
  <c r="C225" i="1"/>
  <c r="F225" i="1"/>
  <c r="E222" i="1"/>
  <c r="B222" i="1"/>
  <c r="B261" i="1" s="1"/>
  <c r="B300" i="1" s="1"/>
  <c r="B360" i="1" s="1"/>
  <c r="F222" i="1"/>
  <c r="C222" i="1"/>
  <c r="D221" i="1"/>
  <c r="B221" i="1"/>
  <c r="F221" i="1"/>
  <c r="E221" i="1"/>
  <c r="C221" i="1"/>
  <c r="D214" i="1"/>
  <c r="C214" i="1"/>
  <c r="F214" i="1"/>
  <c r="E214" i="1"/>
  <c r="B214" i="1"/>
  <c r="I158" i="1"/>
  <c r="L158" i="1" s="1"/>
  <c r="B291" i="1"/>
  <c r="B351" i="1" s="1"/>
  <c r="B272" i="1"/>
  <c r="D191" i="1"/>
  <c r="E191" i="1"/>
  <c r="B191" i="1"/>
  <c r="F191" i="1"/>
  <c r="C191" i="1"/>
  <c r="I152" i="1"/>
  <c r="L152" i="1" s="1"/>
  <c r="L157" i="1"/>
  <c r="B216" i="1" s="1"/>
  <c r="B196" i="1"/>
  <c r="F196" i="1"/>
  <c r="C196" i="1"/>
  <c r="D196" i="1"/>
  <c r="E196" i="1"/>
  <c r="H490" i="1"/>
  <c r="I490" i="1" s="1"/>
  <c r="E220" i="1"/>
  <c r="E259" i="1" s="1"/>
  <c r="B220" i="1"/>
  <c r="C220" i="1"/>
  <c r="C259" i="1" s="1"/>
  <c r="F220" i="1"/>
  <c r="F259" i="1" s="1"/>
  <c r="D220" i="1"/>
  <c r="D259" i="1" s="1"/>
  <c r="D500" i="1"/>
  <c r="D300" i="1"/>
  <c r="D360" i="1" s="1"/>
  <c r="B491" i="1"/>
  <c r="H491" i="1" s="1"/>
  <c r="I491" i="1" s="1"/>
  <c r="B290" i="1"/>
  <c r="B350" i="1" s="1"/>
  <c r="B271" i="1"/>
  <c r="K147" i="17"/>
  <c r="C428" i="1" s="1"/>
  <c r="D428" i="1" s="1"/>
  <c r="K133" i="17"/>
  <c r="C436" i="1" s="1"/>
  <c r="D436" i="1" s="1"/>
  <c r="B565" i="1" s="1"/>
  <c r="D502" i="1"/>
  <c r="B244" i="1"/>
  <c r="B263" i="1"/>
  <c r="B502" i="1" s="1"/>
  <c r="E263" i="1"/>
  <c r="E302" i="1" s="1"/>
  <c r="E362" i="1" s="1"/>
  <c r="F263" i="1"/>
  <c r="F302" i="1" s="1"/>
  <c r="F362" i="1" s="1"/>
  <c r="H149" i="25"/>
  <c r="B75" i="48" s="1"/>
  <c r="B496" i="1"/>
  <c r="H496" i="1" s="1"/>
  <c r="I496" i="1" s="1"/>
  <c r="K496" i="1" s="1"/>
  <c r="E564" i="1" s="1"/>
  <c r="F160" i="1"/>
  <c r="B180" i="1"/>
  <c r="D458" i="1" s="1"/>
  <c r="C200" i="17"/>
  <c r="K200" i="17" s="1"/>
  <c r="K194" i="17"/>
  <c r="C239" i="1" s="1"/>
  <c r="C136" i="25"/>
  <c r="C135" i="25"/>
  <c r="D94" i="25"/>
  <c r="D115" i="25"/>
  <c r="D132" i="25" s="1"/>
  <c r="D111" i="25"/>
  <c r="D130" i="25" s="1"/>
  <c r="I148" i="25"/>
  <c r="D112" i="25"/>
  <c r="D131" i="25" s="1"/>
  <c r="D116" i="25"/>
  <c r="D133" i="25" s="1"/>
  <c r="D139" i="17"/>
  <c r="H458" i="1"/>
  <c r="G477" i="1"/>
  <c r="M130" i="25"/>
  <c r="K36" i="50" s="1"/>
  <c r="E514" i="1"/>
  <c r="D514" i="1"/>
  <c r="B277" i="1"/>
  <c r="C277" i="1" s="1"/>
  <c r="D277" i="1" s="1"/>
  <c r="E277" i="1" s="1"/>
  <c r="J296" i="1" s="1"/>
  <c r="B517" i="1" s="1"/>
  <c r="D517" i="1" s="1"/>
  <c r="K160" i="1"/>
  <c r="F199" i="1" s="1"/>
  <c r="B353" i="1"/>
  <c r="J353" i="1"/>
  <c r="L257" i="1"/>
  <c r="L296" i="1" s="1"/>
  <c r="C501" i="1" l="1"/>
  <c r="E501" i="1"/>
  <c r="B243" i="1"/>
  <c r="D501" i="1"/>
  <c r="C216" i="1"/>
  <c r="C255" i="1" s="1"/>
  <c r="E216" i="1"/>
  <c r="E255" i="1" s="1"/>
  <c r="D216" i="1"/>
  <c r="D255" i="1" s="1"/>
  <c r="E261" i="1"/>
  <c r="E300" i="1" s="1"/>
  <c r="E360" i="1" s="1"/>
  <c r="B500" i="1"/>
  <c r="F264" i="1"/>
  <c r="F303" i="1" s="1"/>
  <c r="F363" i="1" s="1"/>
  <c r="G324" i="12" s="1"/>
  <c r="F261" i="1"/>
  <c r="F300" i="1" s="1"/>
  <c r="F360" i="1" s="1"/>
  <c r="B245" i="1"/>
  <c r="B264" i="1"/>
  <c r="B503" i="1" s="1"/>
  <c r="B242" i="1"/>
  <c r="C264" i="1"/>
  <c r="C303" i="1" s="1"/>
  <c r="C363" i="1" s="1"/>
  <c r="D324" i="12" s="1"/>
  <c r="F216" i="1"/>
  <c r="F255" i="1" s="1"/>
  <c r="E264" i="1"/>
  <c r="E303" i="1" s="1"/>
  <c r="E363" i="1" s="1"/>
  <c r="F324" i="12" s="1"/>
  <c r="C261" i="1"/>
  <c r="C300" i="1" s="1"/>
  <c r="C360" i="1" s="1"/>
  <c r="D264" i="1"/>
  <c r="D303" i="1" s="1"/>
  <c r="D363" i="1" s="1"/>
  <c r="E324" i="12" s="1"/>
  <c r="F217" i="1"/>
  <c r="F256" i="1" s="1"/>
  <c r="C217" i="1"/>
  <c r="C256" i="1" s="1"/>
  <c r="E217" i="1"/>
  <c r="E256" i="1" s="1"/>
  <c r="B217" i="1"/>
  <c r="D217" i="1"/>
  <c r="D256" i="1" s="1"/>
  <c r="E211" i="1"/>
  <c r="E250" i="1" s="1"/>
  <c r="C211" i="1"/>
  <c r="C250" i="1" s="1"/>
  <c r="B211" i="1"/>
  <c r="D211" i="1"/>
  <c r="D250" i="1" s="1"/>
  <c r="F211" i="1"/>
  <c r="F250" i="1" s="1"/>
  <c r="D253" i="1"/>
  <c r="D292" i="1" s="1"/>
  <c r="D352" i="1" s="1"/>
  <c r="F498" i="1"/>
  <c r="E260" i="1"/>
  <c r="E299" i="1" s="1"/>
  <c r="E359" i="1" s="1"/>
  <c r="C498" i="1"/>
  <c r="F260" i="1"/>
  <c r="F299" i="1" s="1"/>
  <c r="F359" i="1" s="1"/>
  <c r="B301" i="1"/>
  <c r="B361" i="1" s="1"/>
  <c r="B282" i="1"/>
  <c r="C260" i="1"/>
  <c r="C299" i="1" s="1"/>
  <c r="C359" i="1" s="1"/>
  <c r="B259" i="1"/>
  <c r="B240" i="1"/>
  <c r="D240" i="1" s="1"/>
  <c r="E240" i="1" s="1"/>
  <c r="L259" i="1" s="1"/>
  <c r="L298" i="1" s="1"/>
  <c r="L358" i="1" s="1"/>
  <c r="B253" i="1"/>
  <c r="B234" i="1"/>
  <c r="B241" i="1"/>
  <c r="B260" i="1"/>
  <c r="F253" i="1"/>
  <c r="F292" i="1" s="1"/>
  <c r="F352" i="1" s="1"/>
  <c r="B255" i="1"/>
  <c r="C253" i="1"/>
  <c r="C292" i="1" s="1"/>
  <c r="C352" i="1" s="1"/>
  <c r="D498" i="1"/>
  <c r="E498" i="1"/>
  <c r="E253" i="1"/>
  <c r="E292" i="1" s="1"/>
  <c r="E352" i="1" s="1"/>
  <c r="D260" i="1"/>
  <c r="D299" i="1" s="1"/>
  <c r="D359" i="1" s="1"/>
  <c r="C441" i="1"/>
  <c r="D441" i="1" s="1"/>
  <c r="B570" i="1" s="1"/>
  <c r="C430" i="1"/>
  <c r="D430" i="1" s="1"/>
  <c r="B559" i="1" s="1"/>
  <c r="C442" i="1"/>
  <c r="D442" i="1" s="1"/>
  <c r="B571" i="1" s="1"/>
  <c r="B695" i="12" s="1"/>
  <c r="C432" i="1"/>
  <c r="D432" i="1" s="1"/>
  <c r="B561" i="1" s="1"/>
  <c r="C440" i="1"/>
  <c r="D440" i="1" s="1"/>
  <c r="B569" i="1" s="1"/>
  <c r="C439" i="1"/>
  <c r="D439" i="1" s="1"/>
  <c r="B568" i="1" s="1"/>
  <c r="C429" i="1"/>
  <c r="D429" i="1" s="1"/>
  <c r="B558" i="1" s="1"/>
  <c r="C437" i="1"/>
  <c r="D437" i="1" s="1"/>
  <c r="B566" i="1" s="1"/>
  <c r="C438" i="1"/>
  <c r="D438" i="1" s="1"/>
  <c r="B567" i="1" s="1"/>
  <c r="C433" i="1"/>
  <c r="D433" i="1" s="1"/>
  <c r="B562" i="1" s="1"/>
  <c r="C434" i="1"/>
  <c r="D434" i="1" s="1"/>
  <c r="B563" i="1" s="1"/>
  <c r="C431" i="1"/>
  <c r="D431" i="1" s="1"/>
  <c r="B560" i="1" s="1"/>
  <c r="E502" i="1"/>
  <c r="F502" i="1"/>
  <c r="B283" i="1"/>
  <c r="B302" i="1"/>
  <c r="B362" i="1" s="1"/>
  <c r="C139" i="25"/>
  <c r="B9" i="50" s="1"/>
  <c r="C137" i="25"/>
  <c r="G160" i="1"/>
  <c r="H160" i="1" s="1"/>
  <c r="I149" i="25"/>
  <c r="C75" i="48" s="1"/>
  <c r="B92" i="48" s="1"/>
  <c r="C138" i="17" s="1"/>
  <c r="D135" i="25"/>
  <c r="B557" i="1"/>
  <c r="D136" i="25"/>
  <c r="E139" i="17"/>
  <c r="K139" i="17" s="1"/>
  <c r="C518" i="1" s="1"/>
  <c r="M131" i="25"/>
  <c r="K37" i="50" s="1"/>
  <c r="F514" i="1"/>
  <c r="E517" i="1"/>
  <c r="B199" i="1"/>
  <c r="D199" i="1"/>
  <c r="E199" i="1"/>
  <c r="C199" i="1"/>
  <c r="L356" i="1"/>
  <c r="J356" i="1"/>
  <c r="D296" i="1"/>
  <c r="B296" i="1"/>
  <c r="F296" i="1"/>
  <c r="E296" i="1"/>
  <c r="C296" i="1"/>
  <c r="H501" i="1" l="1"/>
  <c r="I501" i="1" s="1"/>
  <c r="F492" i="1"/>
  <c r="D494" i="1"/>
  <c r="C494" i="1"/>
  <c r="F503" i="1"/>
  <c r="E494" i="1"/>
  <c r="E499" i="1"/>
  <c r="E492" i="1"/>
  <c r="C499" i="1"/>
  <c r="C492" i="1"/>
  <c r="D492" i="1"/>
  <c r="D499" i="1"/>
  <c r="F500" i="1"/>
  <c r="D503" i="1"/>
  <c r="C503" i="1"/>
  <c r="F494" i="1"/>
  <c r="C500" i="1"/>
  <c r="E500" i="1"/>
  <c r="B303" i="1"/>
  <c r="B363" i="1" s="1"/>
  <c r="C324" i="12" s="1"/>
  <c r="B284" i="1"/>
  <c r="B236" i="1"/>
  <c r="D236" i="1" s="1"/>
  <c r="E236" i="1" s="1"/>
  <c r="L255" i="1" s="1"/>
  <c r="L294" i="1" s="1"/>
  <c r="L354" i="1" s="1"/>
  <c r="F499" i="1"/>
  <c r="E503" i="1"/>
  <c r="B281" i="1"/>
  <c r="D495" i="1"/>
  <c r="D295" i="1"/>
  <c r="D355" i="1" s="1"/>
  <c r="B492" i="1"/>
  <c r="B273" i="1"/>
  <c r="B292" i="1"/>
  <c r="B352" i="1" s="1"/>
  <c r="B256" i="1"/>
  <c r="B495" i="1" s="1"/>
  <c r="B237" i="1"/>
  <c r="C489" i="1"/>
  <c r="C289" i="1"/>
  <c r="C349" i="1" s="1"/>
  <c r="E489" i="1"/>
  <c r="E289" i="1"/>
  <c r="E349" i="1" s="1"/>
  <c r="B498" i="1"/>
  <c r="H498" i="1" s="1"/>
  <c r="I498" i="1" s="1"/>
  <c r="B279" i="1"/>
  <c r="E495" i="1"/>
  <c r="E295" i="1"/>
  <c r="E355" i="1" s="1"/>
  <c r="B231" i="1"/>
  <c r="B250" i="1"/>
  <c r="B489" i="1" s="1"/>
  <c r="B494" i="1"/>
  <c r="B275" i="1"/>
  <c r="B499" i="1"/>
  <c r="B299" i="1"/>
  <c r="B359" i="1" s="1"/>
  <c r="B280" i="1"/>
  <c r="F489" i="1"/>
  <c r="F289" i="1"/>
  <c r="F349" i="1" s="1"/>
  <c r="C495" i="1"/>
  <c r="C295" i="1"/>
  <c r="C355" i="1" s="1"/>
  <c r="D489" i="1"/>
  <c r="D289" i="1"/>
  <c r="D349" i="1" s="1"/>
  <c r="F495" i="1"/>
  <c r="F295" i="1"/>
  <c r="F355" i="1" s="1"/>
  <c r="D443" i="1"/>
  <c r="B547" i="1" s="1"/>
  <c r="C547" i="1" s="1"/>
  <c r="B584" i="1" s="1"/>
  <c r="C584" i="1" s="1"/>
  <c r="C602" i="12" s="1"/>
  <c r="H502" i="1"/>
  <c r="I502" i="1" s="1"/>
  <c r="D139" i="25"/>
  <c r="C9" i="50" s="1"/>
  <c r="D137" i="25"/>
  <c r="B9" i="62" s="1"/>
  <c r="I160" i="1"/>
  <c r="L160" i="1" s="1"/>
  <c r="F219" i="1" s="1"/>
  <c r="C152" i="17"/>
  <c r="F517" i="1"/>
  <c r="F564" i="1" s="1"/>
  <c r="F561" i="1"/>
  <c r="B356" i="1"/>
  <c r="D356" i="1"/>
  <c r="C356" i="1"/>
  <c r="E356" i="1"/>
  <c r="F356" i="1"/>
  <c r="H492" i="1" l="1"/>
  <c r="I492" i="1" s="1"/>
  <c r="H499" i="1"/>
  <c r="I499" i="1" s="1"/>
  <c r="H494" i="1"/>
  <c r="I494" i="1" s="1"/>
  <c r="H500" i="1"/>
  <c r="I500" i="1" s="1"/>
  <c r="H503" i="1"/>
  <c r="I503" i="1" s="1"/>
  <c r="C275" i="1"/>
  <c r="D275" i="1" s="1"/>
  <c r="E275" i="1" s="1"/>
  <c r="J294" i="1" s="1"/>
  <c r="B515" i="1" s="1"/>
  <c r="B295" i="1"/>
  <c r="B355" i="1" s="1"/>
  <c r="B276" i="1"/>
  <c r="H489" i="1"/>
  <c r="I489" i="1" s="1"/>
  <c r="C279" i="1"/>
  <c r="D279" i="1" s="1"/>
  <c r="E279" i="1" s="1"/>
  <c r="J298" i="1" s="1"/>
  <c r="B289" i="1"/>
  <c r="B349" i="1" s="1"/>
  <c r="B270" i="1"/>
  <c r="H495" i="1"/>
  <c r="I495" i="1" s="1"/>
  <c r="B489" i="12"/>
  <c r="D219" i="1"/>
  <c r="D258" i="1" s="1"/>
  <c r="D497" i="1" s="1"/>
  <c r="D504" i="1" s="1"/>
  <c r="C219" i="1"/>
  <c r="C226" i="1" s="1"/>
  <c r="B219" i="1"/>
  <c r="B258" i="1" s="1"/>
  <c r="B265" i="1" s="1"/>
  <c r="E219" i="1"/>
  <c r="E258" i="1" s="1"/>
  <c r="E497" i="1" s="1"/>
  <c r="E504" i="1" s="1"/>
  <c r="B152" i="17"/>
  <c r="D152" i="17"/>
  <c r="D138" i="17"/>
  <c r="B138" i="17"/>
  <c r="F258" i="1"/>
  <c r="F497" i="1" s="1"/>
  <c r="F504" i="1" s="1"/>
  <c r="F226" i="1"/>
  <c r="C612" i="1" s="1"/>
  <c r="H24" i="18"/>
  <c r="G24" i="18"/>
  <c r="F24" i="18"/>
  <c r="E24" i="18"/>
  <c r="D24" i="18"/>
  <c r="C24" i="18"/>
  <c r="H23" i="18"/>
  <c r="G23" i="18"/>
  <c r="F23" i="18"/>
  <c r="E23" i="18"/>
  <c r="D23" i="18"/>
  <c r="C23" i="18"/>
  <c r="E309" i="1"/>
  <c r="E313" i="1" s="1"/>
  <c r="D309" i="1"/>
  <c r="G313" i="1" s="1"/>
  <c r="G314" i="1" s="1"/>
  <c r="G315" i="1" s="1"/>
  <c r="G316" i="1" s="1"/>
  <c r="C309" i="1"/>
  <c r="F313" i="1" s="1"/>
  <c r="B323" i="1" l="1"/>
  <c r="F341" i="1"/>
  <c r="C370" i="12"/>
  <c r="B16" i="12"/>
  <c r="E341" i="1"/>
  <c r="K138" i="17"/>
  <c r="J497" i="1" s="1"/>
  <c r="J358" i="1"/>
  <c r="B519" i="1"/>
  <c r="C298" i="1"/>
  <c r="C358" i="1" s="1"/>
  <c r="D298" i="1"/>
  <c r="D358" i="1" s="1"/>
  <c r="E298" i="1"/>
  <c r="E358" i="1" s="1"/>
  <c r="F298" i="1"/>
  <c r="F358" i="1" s="1"/>
  <c r="B298" i="1"/>
  <c r="B358" i="1" s="1"/>
  <c r="D515" i="1"/>
  <c r="E515" i="1"/>
  <c r="D294" i="1"/>
  <c r="D354" i="1" s="1"/>
  <c r="F294" i="1"/>
  <c r="F354" i="1" s="1"/>
  <c r="C294" i="1"/>
  <c r="C354" i="1" s="1"/>
  <c r="E294" i="1"/>
  <c r="E354" i="1" s="1"/>
  <c r="B294" i="1"/>
  <c r="B354" i="1" s="1"/>
  <c r="K152" i="17"/>
  <c r="J500" i="1" s="1"/>
  <c r="K500" i="1" s="1"/>
  <c r="E568" i="1" s="1"/>
  <c r="C258" i="1"/>
  <c r="C497" i="1" s="1"/>
  <c r="C504" i="1" s="1"/>
  <c r="B226" i="1"/>
  <c r="B239" i="1"/>
  <c r="D239" i="1" s="1"/>
  <c r="E239" i="1" s="1"/>
  <c r="L258" i="1" s="1"/>
  <c r="L297" i="1" s="1"/>
  <c r="L357" i="1" s="1"/>
  <c r="E226" i="1"/>
  <c r="D226" i="1"/>
  <c r="E20" i="12" s="1"/>
  <c r="B497" i="1"/>
  <c r="E314" i="1"/>
  <c r="D370" i="12"/>
  <c r="C21" i="12"/>
  <c r="C407" i="12"/>
  <c r="G20" i="12"/>
  <c r="G406" i="12"/>
  <c r="D20" i="12"/>
  <c r="D406" i="12"/>
  <c r="F265" i="1"/>
  <c r="D265" i="1"/>
  <c r="E265" i="1"/>
  <c r="B411" i="1" s="1"/>
  <c r="F183" i="1"/>
  <c r="F186" i="1"/>
  <c r="F174" i="1"/>
  <c r="F182" i="1"/>
  <c r="F175" i="1"/>
  <c r="F184" i="1"/>
  <c r="F172" i="1"/>
  <c r="F185" i="1"/>
  <c r="F173" i="1"/>
  <c r="F181" i="1"/>
  <c r="F176" i="1"/>
  <c r="F177" i="1"/>
  <c r="F178" i="1"/>
  <c r="F179" i="1"/>
  <c r="F180" i="1"/>
  <c r="H183" i="1"/>
  <c r="H182" i="1"/>
  <c r="H175" i="1"/>
  <c r="H174" i="1"/>
  <c r="H186" i="1"/>
  <c r="H185" i="1"/>
  <c r="H173" i="1"/>
  <c r="H176" i="1"/>
  <c r="H184" i="1"/>
  <c r="H181" i="1"/>
  <c r="H172" i="1"/>
  <c r="H177" i="1"/>
  <c r="H178" i="1"/>
  <c r="H179" i="1"/>
  <c r="H180" i="1"/>
  <c r="E183" i="1"/>
  <c r="E186" i="1"/>
  <c r="E175" i="1"/>
  <c r="E182" i="1"/>
  <c r="E174" i="1"/>
  <c r="E185" i="1"/>
  <c r="E172" i="1"/>
  <c r="E173" i="1"/>
  <c r="E176" i="1"/>
  <c r="E184" i="1"/>
  <c r="E181" i="1"/>
  <c r="E177" i="1"/>
  <c r="E178" i="1"/>
  <c r="E179" i="1"/>
  <c r="E180" i="1"/>
  <c r="G183" i="1"/>
  <c r="G186" i="1"/>
  <c r="G182" i="1"/>
  <c r="G175" i="1"/>
  <c r="G174" i="1"/>
  <c r="G184" i="1"/>
  <c r="G173" i="1"/>
  <c r="G185" i="1"/>
  <c r="G172" i="1"/>
  <c r="G176" i="1"/>
  <c r="G181" i="1"/>
  <c r="G177" i="1"/>
  <c r="G178" i="1"/>
  <c r="G179" i="1"/>
  <c r="G180" i="1"/>
  <c r="I174" i="1"/>
  <c r="I183" i="1"/>
  <c r="I186" i="1"/>
  <c r="I185" i="1"/>
  <c r="I175" i="1"/>
  <c r="I182" i="1"/>
  <c r="I176" i="1"/>
  <c r="I184" i="1"/>
  <c r="I181" i="1"/>
  <c r="I172" i="1"/>
  <c r="I173" i="1"/>
  <c r="I177" i="1"/>
  <c r="I178" i="1"/>
  <c r="I179" i="1"/>
  <c r="I180" i="1"/>
  <c r="D183" i="1"/>
  <c r="D182" i="1"/>
  <c r="D174" i="1"/>
  <c r="D175" i="1"/>
  <c r="D186" i="1"/>
  <c r="D184" i="1"/>
  <c r="D172" i="1"/>
  <c r="D176" i="1"/>
  <c r="D181" i="1"/>
  <c r="D185" i="1"/>
  <c r="D173" i="1"/>
  <c r="D177" i="1"/>
  <c r="D178" i="1"/>
  <c r="D179" i="1"/>
  <c r="D180" i="1"/>
  <c r="F406" i="12" l="1"/>
  <c r="B410" i="1"/>
  <c r="E315" i="1"/>
  <c r="E342" i="1"/>
  <c r="B389" i="1"/>
  <c r="G341" i="1"/>
  <c r="B402" i="12" s="1"/>
  <c r="B612" i="1"/>
  <c r="F515" i="1"/>
  <c r="F562" i="1" s="1"/>
  <c r="D519" i="1"/>
  <c r="E519" i="1"/>
  <c r="J499" i="1"/>
  <c r="K499" i="1" s="1"/>
  <c r="E567" i="1" s="1"/>
  <c r="J490" i="1"/>
  <c r="K490" i="1" s="1"/>
  <c r="E558" i="1" s="1"/>
  <c r="J492" i="1"/>
  <c r="K492" i="1" s="1"/>
  <c r="E560" i="1" s="1"/>
  <c r="J503" i="1"/>
  <c r="K503" i="1" s="1"/>
  <c r="E571" i="1" s="1"/>
  <c r="J498" i="1"/>
  <c r="K498" i="1" s="1"/>
  <c r="E566" i="1" s="1"/>
  <c r="J491" i="1"/>
  <c r="K491" i="1" s="1"/>
  <c r="E559" i="1" s="1"/>
  <c r="J494" i="1"/>
  <c r="K494" i="1" s="1"/>
  <c r="E562" i="1" s="1"/>
  <c r="J502" i="1"/>
  <c r="K502" i="1" s="1"/>
  <c r="E570" i="1" s="1"/>
  <c r="J489" i="1"/>
  <c r="K489" i="1" s="1"/>
  <c r="E557" i="1" s="1"/>
  <c r="J495" i="1"/>
  <c r="K495" i="1" s="1"/>
  <c r="E563" i="1" s="1"/>
  <c r="J501" i="1"/>
  <c r="K501" i="1" s="1"/>
  <c r="E569" i="1" s="1"/>
  <c r="J493" i="1"/>
  <c r="K493" i="1" s="1"/>
  <c r="E561" i="1" s="1"/>
  <c r="B374" i="1"/>
  <c r="C265" i="1"/>
  <c r="C406" i="12"/>
  <c r="B278" i="1"/>
  <c r="C278" i="1" s="1"/>
  <c r="F297" i="1" s="1"/>
  <c r="F357" i="1" s="1"/>
  <c r="C20" i="12"/>
  <c r="F20" i="12"/>
  <c r="E374" i="1"/>
  <c r="E375" i="1" s="1"/>
  <c r="B844" i="12"/>
  <c r="C844" i="12" s="1"/>
  <c r="D374" i="1"/>
  <c r="D375" i="1" s="1"/>
  <c r="E406" i="12"/>
  <c r="B862" i="12"/>
  <c r="C862" i="12" s="1"/>
  <c r="B846" i="12"/>
  <c r="C846" i="12" s="1"/>
  <c r="B845" i="12"/>
  <c r="C845" i="12" s="1"/>
  <c r="B863" i="12"/>
  <c r="C863" i="12" s="1"/>
  <c r="F374" i="1"/>
  <c r="F375" i="1" s="1"/>
  <c r="C613" i="1"/>
  <c r="H497" i="1"/>
  <c r="B504" i="1"/>
  <c r="F314" i="1"/>
  <c r="N11" i="1"/>
  <c r="B59" i="12"/>
  <c r="I217" i="1"/>
  <c r="I197" i="1"/>
  <c r="M197" i="1" s="1"/>
  <c r="N197" i="1" s="1"/>
  <c r="I205" i="1"/>
  <c r="M205" i="1" s="1"/>
  <c r="N205" i="1" s="1"/>
  <c r="I225" i="1"/>
  <c r="I216" i="1"/>
  <c r="I196" i="1"/>
  <c r="M196" i="1" s="1"/>
  <c r="I223" i="1"/>
  <c r="I203" i="1"/>
  <c r="M203" i="1" s="1"/>
  <c r="N203" i="1" s="1"/>
  <c r="I194" i="1"/>
  <c r="M194" i="1" s="1"/>
  <c r="N194" i="1" s="1"/>
  <c r="I214" i="1"/>
  <c r="I192" i="1"/>
  <c r="M192" i="1" s="1"/>
  <c r="N192" i="1" s="1"/>
  <c r="I212" i="1"/>
  <c r="I191" i="1"/>
  <c r="M191" i="1" s="1"/>
  <c r="N191" i="1" s="1"/>
  <c r="I211" i="1"/>
  <c r="I198" i="1"/>
  <c r="M198" i="1" s="1"/>
  <c r="I218" i="1"/>
  <c r="I213" i="1"/>
  <c r="I193" i="1"/>
  <c r="M193" i="1" s="1"/>
  <c r="N193" i="1" s="1"/>
  <c r="I221" i="1"/>
  <c r="I201" i="1"/>
  <c r="M201" i="1" s="1"/>
  <c r="N201" i="1" s="1"/>
  <c r="I199" i="1"/>
  <c r="M199" i="1" s="1"/>
  <c r="I219" i="1"/>
  <c r="I258" i="1" s="1"/>
  <c r="I224" i="1"/>
  <c r="I204" i="1"/>
  <c r="M204" i="1" s="1"/>
  <c r="N204" i="1" s="1"/>
  <c r="I200" i="1"/>
  <c r="M200" i="1" s="1"/>
  <c r="N200" i="1" s="1"/>
  <c r="I220" i="1"/>
  <c r="I202" i="1"/>
  <c r="M202" i="1" s="1"/>
  <c r="N202" i="1" s="1"/>
  <c r="I222" i="1"/>
  <c r="I215" i="1"/>
  <c r="I195" i="1"/>
  <c r="M195" i="1" s="1"/>
  <c r="N195" i="1" s="1"/>
  <c r="C451" i="1"/>
  <c r="C458" i="1"/>
  <c r="I458" i="1" s="1"/>
  <c r="C565" i="1" s="1"/>
  <c r="C464" i="1"/>
  <c r="C454" i="1"/>
  <c r="C459" i="1"/>
  <c r="B473" i="1"/>
  <c r="C482" i="1"/>
  <c r="B471" i="1"/>
  <c r="C462" i="1"/>
  <c r="C461" i="1"/>
  <c r="C475" i="1"/>
  <c r="C474" i="1"/>
  <c r="C483" i="1"/>
  <c r="C469" i="1"/>
  <c r="B483" i="1"/>
  <c r="B480" i="1"/>
  <c r="C480" i="1"/>
  <c r="B479" i="1"/>
  <c r="C472" i="1"/>
  <c r="B478" i="1"/>
  <c r="C471" i="1"/>
  <c r="C463" i="1"/>
  <c r="C460" i="1"/>
  <c r="C476" i="1"/>
  <c r="B475" i="1"/>
  <c r="B472" i="1"/>
  <c r="B474" i="1"/>
  <c r="C457" i="1"/>
  <c r="C478" i="1"/>
  <c r="C479" i="1"/>
  <c r="B470" i="1"/>
  <c r="C481" i="1"/>
  <c r="B482" i="1"/>
  <c r="C453" i="1"/>
  <c r="C473" i="1"/>
  <c r="B477" i="1"/>
  <c r="B469" i="1"/>
  <c r="C477" i="1"/>
  <c r="C470" i="1"/>
  <c r="B476" i="1"/>
  <c r="B481" i="1"/>
  <c r="J265" i="1"/>
  <c r="K21" i="12" s="1"/>
  <c r="C456" i="1"/>
  <c r="C455" i="1"/>
  <c r="C450" i="1"/>
  <c r="I450" i="1" s="1"/>
  <c r="C557" i="1" s="1"/>
  <c r="C452" i="1"/>
  <c r="F21" i="12"/>
  <c r="F407" i="12"/>
  <c r="E21" i="12"/>
  <c r="E407" i="12"/>
  <c r="G21" i="12"/>
  <c r="G407" i="12"/>
  <c r="E206" i="1"/>
  <c r="B409" i="1" s="1"/>
  <c r="D371" i="12"/>
  <c r="E316" i="1" l="1"/>
  <c r="E344" i="1" s="1"/>
  <c r="C371" i="12"/>
  <c r="F342" i="1"/>
  <c r="G342" i="1" s="1"/>
  <c r="B403" i="12" s="1"/>
  <c r="B17" i="12"/>
  <c r="F315" i="1"/>
  <c r="B327" i="1" s="1"/>
  <c r="E343" i="1"/>
  <c r="C374" i="1"/>
  <c r="C375" i="1" s="1"/>
  <c r="F519" i="1"/>
  <c r="N198" i="1"/>
  <c r="B95" i="63"/>
  <c r="C95" i="63" s="1"/>
  <c r="N199" i="1"/>
  <c r="B7" i="63"/>
  <c r="C7" i="63" s="1"/>
  <c r="D407" i="12"/>
  <c r="B375" i="1"/>
  <c r="B613" i="1"/>
  <c r="D21" i="12"/>
  <c r="E297" i="1"/>
  <c r="E357" i="1" s="1"/>
  <c r="E364" i="1" s="1"/>
  <c r="B413" i="1" s="1"/>
  <c r="I476" i="1"/>
  <c r="D564" i="1" s="1"/>
  <c r="B297" i="1"/>
  <c r="B304" i="1" s="1"/>
  <c r="C297" i="1"/>
  <c r="C357" i="1" s="1"/>
  <c r="D278" i="1"/>
  <c r="E278" i="1" s="1"/>
  <c r="J297" i="1" s="1"/>
  <c r="B518" i="1" s="1"/>
  <c r="D297" i="1"/>
  <c r="D304" i="1" s="1"/>
  <c r="E408" i="12" s="1"/>
  <c r="I472" i="1"/>
  <c r="D560" i="1" s="1"/>
  <c r="I475" i="1"/>
  <c r="D563" i="1" s="1"/>
  <c r="I483" i="1"/>
  <c r="D571" i="1" s="1"/>
  <c r="I479" i="1"/>
  <c r="D567" i="1" s="1"/>
  <c r="I497" i="1"/>
  <c r="H504" i="1"/>
  <c r="I471" i="1"/>
  <c r="D559" i="1" s="1"/>
  <c r="I478" i="1"/>
  <c r="D566" i="1" s="1"/>
  <c r="I482" i="1"/>
  <c r="D570" i="1" s="1"/>
  <c r="I481" i="1"/>
  <c r="D569" i="1" s="1"/>
  <c r="I473" i="1"/>
  <c r="D561" i="1" s="1"/>
  <c r="I451" i="1"/>
  <c r="C558" i="1" s="1"/>
  <c r="I480" i="1"/>
  <c r="D568" i="1" s="1"/>
  <c r="I470" i="1"/>
  <c r="D558" i="1" s="1"/>
  <c r="I460" i="1"/>
  <c r="C567" i="1" s="1"/>
  <c r="I452" i="1"/>
  <c r="C559" i="1" s="1"/>
  <c r="I469" i="1"/>
  <c r="D557" i="1" s="1"/>
  <c r="H557" i="1" s="1"/>
  <c r="I459" i="1"/>
  <c r="C566" i="1" s="1"/>
  <c r="I464" i="1"/>
  <c r="C571" i="1" s="1"/>
  <c r="I453" i="1"/>
  <c r="C560" i="1" s="1"/>
  <c r="I461" i="1"/>
  <c r="C568" i="1" s="1"/>
  <c r="I462" i="1"/>
  <c r="C569" i="1" s="1"/>
  <c r="I463" i="1"/>
  <c r="C570" i="1" s="1"/>
  <c r="I477" i="1"/>
  <c r="D565" i="1" s="1"/>
  <c r="I457" i="1"/>
  <c r="C564" i="1" s="1"/>
  <c r="I454" i="1"/>
  <c r="C561" i="1" s="1"/>
  <c r="I455" i="1"/>
  <c r="C562" i="1" s="1"/>
  <c r="I456" i="1"/>
  <c r="C563" i="1" s="1"/>
  <c r="I474" i="1"/>
  <c r="D562" i="1" s="1"/>
  <c r="O11" i="1"/>
  <c r="O8" i="1"/>
  <c r="O7" i="1"/>
  <c r="O17" i="1"/>
  <c r="O16" i="1"/>
  <c r="O15" i="1"/>
  <c r="O12" i="1"/>
  <c r="O10" i="1"/>
  <c r="O18" i="1"/>
  <c r="O6" i="1"/>
  <c r="O14" i="1"/>
  <c r="O13" i="1"/>
  <c r="O9" i="1"/>
  <c r="O19" i="1"/>
  <c r="B103" i="12" a="1"/>
  <c r="N103" i="12" s="1"/>
  <c r="N49" i="1"/>
  <c r="B104" i="12" s="1" a="1"/>
  <c r="I104" i="12" s="1"/>
  <c r="B390" i="1"/>
  <c r="N21" i="1"/>
  <c r="D372" i="12"/>
  <c r="F304" i="1"/>
  <c r="L265" i="1"/>
  <c r="C484" i="1"/>
  <c r="B484" i="1"/>
  <c r="C465" i="1"/>
  <c r="F19" i="12"/>
  <c r="F405" i="12"/>
  <c r="F364" i="1"/>
  <c r="C615" i="1" s="1"/>
  <c r="L304" i="1"/>
  <c r="M221" i="1"/>
  <c r="N221" i="1" s="1"/>
  <c r="I260" i="1"/>
  <c r="I299" i="1" s="1"/>
  <c r="I359" i="1" s="1"/>
  <c r="M224" i="1"/>
  <c r="N224" i="1" s="1"/>
  <c r="I263" i="1"/>
  <c r="I302" i="1" s="1"/>
  <c r="I362" i="1" s="1"/>
  <c r="M218" i="1"/>
  <c r="I257" i="1"/>
  <c r="I296" i="1" s="1"/>
  <c r="I356" i="1" s="1"/>
  <c r="M225" i="1"/>
  <c r="N225" i="1" s="1"/>
  <c r="I264" i="1"/>
  <c r="I303" i="1" s="1"/>
  <c r="I363" i="1" s="1"/>
  <c r="J324" i="12" s="1"/>
  <c r="M211" i="1"/>
  <c r="N211" i="1" s="1"/>
  <c r="I250" i="1"/>
  <c r="I289" i="1" s="1"/>
  <c r="I349" i="1" s="1"/>
  <c r="M214" i="1"/>
  <c r="N214" i="1" s="1"/>
  <c r="I253" i="1"/>
  <c r="I292" i="1" s="1"/>
  <c r="I352" i="1" s="1"/>
  <c r="M212" i="1"/>
  <c r="N212" i="1" s="1"/>
  <c r="I251" i="1"/>
  <c r="I290" i="1" s="1"/>
  <c r="I350" i="1" s="1"/>
  <c r="M220" i="1"/>
  <c r="N220" i="1" s="1"/>
  <c r="I259" i="1"/>
  <c r="I298" i="1" s="1"/>
  <c r="I358" i="1" s="1"/>
  <c r="M213" i="1"/>
  <c r="N213" i="1" s="1"/>
  <c r="I252" i="1"/>
  <c r="I291" i="1" s="1"/>
  <c r="I351" i="1" s="1"/>
  <c r="M217" i="1"/>
  <c r="N217" i="1" s="1"/>
  <c r="I256" i="1"/>
  <c r="I295" i="1" s="1"/>
  <c r="I355" i="1" s="1"/>
  <c r="M216" i="1"/>
  <c r="I255" i="1"/>
  <c r="I294" i="1" s="1"/>
  <c r="I354" i="1" s="1"/>
  <c r="M215" i="1"/>
  <c r="N215" i="1" s="1"/>
  <c r="I254" i="1"/>
  <c r="I293" i="1" s="1"/>
  <c r="I353" i="1" s="1"/>
  <c r="M223" i="1"/>
  <c r="N223" i="1" s="1"/>
  <c r="I262" i="1"/>
  <c r="I301" i="1" s="1"/>
  <c r="I361" i="1" s="1"/>
  <c r="M222" i="1"/>
  <c r="N222" i="1" s="1"/>
  <c r="I261" i="1"/>
  <c r="I300" i="1" s="1"/>
  <c r="I360" i="1" s="1"/>
  <c r="M219" i="1"/>
  <c r="I226" i="1"/>
  <c r="C206" i="1"/>
  <c r="B206" i="1"/>
  <c r="F206" i="1"/>
  <c r="C611" i="1" s="1"/>
  <c r="H206" i="1"/>
  <c r="I19" i="12" s="1"/>
  <c r="D206" i="1"/>
  <c r="I206" i="1"/>
  <c r="B18" i="12" l="1"/>
  <c r="B23" i="12" s="1"/>
  <c r="D373" i="12"/>
  <c r="B324" i="1"/>
  <c r="B392" i="1" s="1"/>
  <c r="B393" i="1" s="1"/>
  <c r="B395" i="1" s="1"/>
  <c r="B162" i="12" s="1"/>
  <c r="C372" i="12"/>
  <c r="F343" i="1"/>
  <c r="G343" i="1" s="1"/>
  <c r="B404" i="12" s="1"/>
  <c r="B329" i="1"/>
  <c r="B540" i="1" s="1"/>
  <c r="B541" i="1" s="1"/>
  <c r="B328" i="1"/>
  <c r="C328" i="1" s="1"/>
  <c r="J354" i="1" s="1"/>
  <c r="N89" i="1"/>
  <c r="B105" i="12" s="1" a="1"/>
  <c r="N105" i="12" s="1"/>
  <c r="H571" i="1"/>
  <c r="N216" i="1"/>
  <c r="N196" i="1"/>
  <c r="B106" i="12" s="1" a="1"/>
  <c r="E106" i="12" s="1"/>
  <c r="F316" i="1"/>
  <c r="F344" i="1" s="1"/>
  <c r="B378" i="1"/>
  <c r="B379" i="1" s="1"/>
  <c r="M417" i="1" s="1"/>
  <c r="L417" i="1" s="1"/>
  <c r="N161" i="12" s="1"/>
  <c r="B604" i="1"/>
  <c r="E518" i="1"/>
  <c r="E525" i="1" s="1"/>
  <c r="D518" i="1"/>
  <c r="F566" i="1"/>
  <c r="H566" i="1" s="1"/>
  <c r="B60" i="12"/>
  <c r="B603" i="1"/>
  <c r="N218" i="1"/>
  <c r="B96" i="63"/>
  <c r="C96" i="63" s="1"/>
  <c r="N219" i="1"/>
  <c r="B8" i="63"/>
  <c r="C8" i="63" s="1"/>
  <c r="B380" i="1"/>
  <c r="M389" i="1" s="1"/>
  <c r="M390" i="1" s="1"/>
  <c r="M161" i="12" s="1"/>
  <c r="B381" i="1"/>
  <c r="M392" i="1" s="1"/>
  <c r="M393" i="1" s="1"/>
  <c r="E304" i="1"/>
  <c r="B357" i="1"/>
  <c r="B364" i="1" s="1"/>
  <c r="C304" i="1"/>
  <c r="D22" i="12" s="1"/>
  <c r="D357" i="1"/>
  <c r="D364" i="1" s="1"/>
  <c r="E409" i="12" s="1"/>
  <c r="H14" i="64" s="1"/>
  <c r="H568" i="1"/>
  <c r="J304" i="1"/>
  <c r="K22" i="12" s="1"/>
  <c r="J357" i="1"/>
  <c r="B525" i="1"/>
  <c r="H559" i="1"/>
  <c r="C785" i="12"/>
  <c r="C778" i="12"/>
  <c r="C788" i="12"/>
  <c r="C789" i="12"/>
  <c r="C782" i="12"/>
  <c r="C790" i="12"/>
  <c r="C786" i="12"/>
  <c r="C780" i="12"/>
  <c r="C783" i="12"/>
  <c r="C777" i="12"/>
  <c r="C779" i="12"/>
  <c r="C781" i="12"/>
  <c r="C784" i="12"/>
  <c r="C787" i="12"/>
  <c r="B785" i="12"/>
  <c r="A779" i="12"/>
  <c r="A787" i="12"/>
  <c r="A778" i="12"/>
  <c r="B778" i="12"/>
  <c r="B786" i="12"/>
  <c r="A780" i="12"/>
  <c r="A788" i="12"/>
  <c r="A786" i="12"/>
  <c r="B779" i="12"/>
  <c r="B787" i="12"/>
  <c r="A781" i="12"/>
  <c r="A789" i="12"/>
  <c r="B784" i="12"/>
  <c r="B780" i="12"/>
  <c r="B788" i="12"/>
  <c r="A782" i="12"/>
  <c r="A790" i="12"/>
  <c r="B777" i="12"/>
  <c r="B781" i="12"/>
  <c r="B789" i="12"/>
  <c r="A783" i="12"/>
  <c r="A777" i="12"/>
  <c r="A785" i="12"/>
  <c r="B782" i="12"/>
  <c r="B790" i="12"/>
  <c r="A784" i="12"/>
  <c r="B783" i="12"/>
  <c r="H570" i="1"/>
  <c r="H560" i="1"/>
  <c r="H569" i="1"/>
  <c r="H563" i="1"/>
  <c r="H567" i="1"/>
  <c r="H558" i="1"/>
  <c r="H561" i="1"/>
  <c r="H564" i="1"/>
  <c r="B611" i="1"/>
  <c r="G408" i="12"/>
  <c r="C614" i="1"/>
  <c r="Q406" i="12"/>
  <c r="P406" i="12"/>
  <c r="P405" i="12"/>
  <c r="Q405" i="12"/>
  <c r="J19" i="12"/>
  <c r="K497" i="1"/>
  <c r="I504" i="1"/>
  <c r="K562" i="1"/>
  <c r="K566" i="1"/>
  <c r="K569" i="1"/>
  <c r="B742" i="12"/>
  <c r="C695" i="12"/>
  <c r="K561" i="1"/>
  <c r="K559" i="1"/>
  <c r="K564" i="1"/>
  <c r="K558" i="1"/>
  <c r="K565" i="1"/>
  <c r="K568" i="1"/>
  <c r="K570" i="1"/>
  <c r="K567" i="1"/>
  <c r="K560" i="1"/>
  <c r="K563" i="1"/>
  <c r="B113" i="12" a="1"/>
  <c r="H252" i="12"/>
  <c r="I253" i="12"/>
  <c r="J254" i="12"/>
  <c r="D256" i="12"/>
  <c r="E257" i="12"/>
  <c r="F258" i="12"/>
  <c r="G259" i="12"/>
  <c r="H260" i="12"/>
  <c r="I261" i="12"/>
  <c r="J262" i="12"/>
  <c r="D264" i="12"/>
  <c r="E265" i="12"/>
  <c r="C255" i="12"/>
  <c r="C263" i="12"/>
  <c r="I256" i="12"/>
  <c r="G262" i="12"/>
  <c r="C260" i="12"/>
  <c r="H261" i="12"/>
  <c r="I252" i="12"/>
  <c r="J253" i="12"/>
  <c r="D255" i="12"/>
  <c r="E256" i="12"/>
  <c r="F257" i="12"/>
  <c r="G258" i="12"/>
  <c r="H259" i="12"/>
  <c r="I260" i="12"/>
  <c r="J261" i="12"/>
  <c r="D263" i="12"/>
  <c r="E264" i="12"/>
  <c r="F265" i="12"/>
  <c r="C256" i="12"/>
  <c r="C264" i="12"/>
  <c r="H255" i="12"/>
  <c r="E260" i="12"/>
  <c r="J265" i="12"/>
  <c r="H253" i="12"/>
  <c r="D257" i="12"/>
  <c r="G260" i="12"/>
  <c r="D265" i="12"/>
  <c r="J252" i="12"/>
  <c r="D254" i="12"/>
  <c r="E255" i="12"/>
  <c r="F256" i="12"/>
  <c r="G257" i="12"/>
  <c r="H258" i="12"/>
  <c r="I259" i="12"/>
  <c r="J260" i="12"/>
  <c r="D262" i="12"/>
  <c r="E263" i="12"/>
  <c r="F264" i="12"/>
  <c r="G265" i="12"/>
  <c r="C257" i="12"/>
  <c r="C265" i="12"/>
  <c r="F253" i="12"/>
  <c r="F261" i="12"/>
  <c r="C254" i="12"/>
  <c r="D253" i="12"/>
  <c r="E254" i="12"/>
  <c r="F255" i="12"/>
  <c r="G256" i="12"/>
  <c r="H257" i="12"/>
  <c r="I258" i="12"/>
  <c r="J259" i="12"/>
  <c r="D261" i="12"/>
  <c r="E262" i="12"/>
  <c r="F263" i="12"/>
  <c r="G264" i="12"/>
  <c r="H265" i="12"/>
  <c r="C258" i="12"/>
  <c r="G254" i="12"/>
  <c r="J257" i="12"/>
  <c r="H263" i="12"/>
  <c r="G252" i="12"/>
  <c r="C262" i="12"/>
  <c r="D252" i="12"/>
  <c r="E253" i="12"/>
  <c r="F254" i="12"/>
  <c r="G255" i="12"/>
  <c r="H256" i="12"/>
  <c r="I257" i="12"/>
  <c r="J258" i="12"/>
  <c r="D260" i="12"/>
  <c r="E261" i="12"/>
  <c r="F262" i="12"/>
  <c r="G263" i="12"/>
  <c r="H264" i="12"/>
  <c r="I265" i="12"/>
  <c r="C259" i="12"/>
  <c r="C252" i="12"/>
  <c r="E252" i="12"/>
  <c r="D259" i="12"/>
  <c r="I264" i="12"/>
  <c r="J255" i="12"/>
  <c r="F259" i="12"/>
  <c r="J263" i="12"/>
  <c r="F252" i="12"/>
  <c r="G253" i="12"/>
  <c r="H254" i="12"/>
  <c r="I255" i="12"/>
  <c r="J256" i="12"/>
  <c r="D258" i="12"/>
  <c r="E259" i="12"/>
  <c r="F260" i="12"/>
  <c r="G261" i="12"/>
  <c r="H262" i="12"/>
  <c r="I263" i="12"/>
  <c r="J264" i="12"/>
  <c r="C253" i="12"/>
  <c r="C261" i="12"/>
  <c r="I254" i="12"/>
  <c r="E258" i="12"/>
  <c r="I262" i="12"/>
  <c r="D695" i="12"/>
  <c r="C742" i="12"/>
  <c r="K557" i="1"/>
  <c r="K571" i="1"/>
  <c r="E695" i="12"/>
  <c r="M103" i="12"/>
  <c r="P103" i="12"/>
  <c r="P116" i="12" s="1"/>
  <c r="L103" i="12"/>
  <c r="B103" i="12"/>
  <c r="E103" i="12"/>
  <c r="K103" i="12"/>
  <c r="J103" i="12"/>
  <c r="D103" i="12"/>
  <c r="G103" i="12"/>
  <c r="C103" i="12"/>
  <c r="F103" i="12"/>
  <c r="I103" i="12"/>
  <c r="O103" i="12"/>
  <c r="H103" i="12"/>
  <c r="A252" i="12"/>
  <c r="B252" i="12" s="1"/>
  <c r="A260" i="12"/>
  <c r="B260" i="12" s="1"/>
  <c r="A253" i="12"/>
  <c r="B253" i="12" s="1"/>
  <c r="A261" i="12"/>
  <c r="B261" i="12" s="1"/>
  <c r="A255" i="12"/>
  <c r="B255" i="12" s="1"/>
  <c r="A259" i="12"/>
  <c r="B259" i="12" s="1"/>
  <c r="A254" i="12"/>
  <c r="B254" i="12" s="1"/>
  <c r="A263" i="12"/>
  <c r="B263" i="12" s="1"/>
  <c r="A264" i="12"/>
  <c r="B264" i="12" s="1"/>
  <c r="A256" i="12"/>
  <c r="B256" i="12" s="1"/>
  <c r="A265" i="12"/>
  <c r="B265" i="12" s="1"/>
  <c r="A257" i="12"/>
  <c r="B257" i="12" s="1"/>
  <c r="A262" i="12"/>
  <c r="B262" i="12" s="1"/>
  <c r="A258" i="12"/>
  <c r="B258" i="12" s="1"/>
  <c r="N59" i="1"/>
  <c r="B161" i="12"/>
  <c r="B104" i="12"/>
  <c r="M104" i="12"/>
  <c r="G104" i="12"/>
  <c r="J104" i="12"/>
  <c r="F104" i="12"/>
  <c r="O104" i="12"/>
  <c r="P104" i="12"/>
  <c r="P117" i="12" s="1"/>
  <c r="K104" i="12"/>
  <c r="E104" i="12"/>
  <c r="H104" i="12"/>
  <c r="C104" i="12"/>
  <c r="D104" i="12"/>
  <c r="N104" i="12"/>
  <c r="L104" i="12"/>
  <c r="G22" i="12"/>
  <c r="G354" i="1"/>
  <c r="B537" i="1"/>
  <c r="B538" i="1" s="1"/>
  <c r="E22" i="12"/>
  <c r="C22" i="12"/>
  <c r="C408" i="12"/>
  <c r="C364" i="1"/>
  <c r="I465" i="1"/>
  <c r="B548" i="1" s="1"/>
  <c r="C548" i="1" s="1"/>
  <c r="M21" i="12"/>
  <c r="I484" i="1"/>
  <c r="B549" i="1" s="1"/>
  <c r="C549" i="1" s="1"/>
  <c r="I297" i="1"/>
  <c r="I357" i="1" s="1"/>
  <c r="M22" i="12"/>
  <c r="E19" i="12"/>
  <c r="E405" i="12"/>
  <c r="G23" i="12"/>
  <c r="G409" i="12"/>
  <c r="J14" i="64" s="1"/>
  <c r="C19" i="12"/>
  <c r="C405" i="12"/>
  <c r="G19" i="12"/>
  <c r="G405" i="12"/>
  <c r="D19" i="12"/>
  <c r="D405" i="12"/>
  <c r="F23" i="12"/>
  <c r="F409" i="12"/>
  <c r="I14" i="64" s="1"/>
  <c r="L364" i="1"/>
  <c r="M226" i="1"/>
  <c r="J20" i="12"/>
  <c r="M289" i="1"/>
  <c r="N289" i="1" s="1"/>
  <c r="M254" i="1"/>
  <c r="N254" i="1" s="1"/>
  <c r="M259" i="1"/>
  <c r="N259" i="1" s="1"/>
  <c r="M255" i="1"/>
  <c r="N255" i="1" s="1"/>
  <c r="M251" i="1"/>
  <c r="N251" i="1" s="1"/>
  <c r="M257" i="1"/>
  <c r="M253" i="1"/>
  <c r="N253" i="1" s="1"/>
  <c r="M264" i="1"/>
  <c r="N264" i="1" s="1"/>
  <c r="M256" i="1"/>
  <c r="N256" i="1" s="1"/>
  <c r="M262" i="1"/>
  <c r="N262" i="1" s="1"/>
  <c r="M252" i="1"/>
  <c r="N252" i="1" s="1"/>
  <c r="M260" i="1"/>
  <c r="N260" i="1" s="1"/>
  <c r="M261" i="1"/>
  <c r="N261" i="1" s="1"/>
  <c r="M263" i="1"/>
  <c r="N263" i="1" s="1"/>
  <c r="M250" i="1"/>
  <c r="N250" i="1" s="1"/>
  <c r="M206" i="1"/>
  <c r="B330" i="1" l="1"/>
  <c r="N99" i="1"/>
  <c r="F22" i="12"/>
  <c r="B412" i="1"/>
  <c r="B533" i="1"/>
  <c r="B534" i="1" s="1"/>
  <c r="E373" i="12" a="1"/>
  <c r="G373" i="12" s="1"/>
  <c r="K354" i="1"/>
  <c r="B408" i="12"/>
  <c r="B406" i="12"/>
  <c r="B405" i="12"/>
  <c r="B407" i="12"/>
  <c r="B21" i="12"/>
  <c r="B166" i="12" s="1"/>
  <c r="B20" i="12"/>
  <c r="B165" i="12" s="1"/>
  <c r="B19" i="12"/>
  <c r="B164" i="12" s="1"/>
  <c r="B22" i="12"/>
  <c r="B167" i="12" s="1"/>
  <c r="N206" i="1"/>
  <c r="B61" i="12"/>
  <c r="B163" i="12"/>
  <c r="G344" i="1"/>
  <c r="C373" i="12"/>
  <c r="M403" i="12"/>
  <c r="M408" i="12"/>
  <c r="M404" i="12"/>
  <c r="M418" i="1"/>
  <c r="L418" i="1" s="1"/>
  <c r="M407" i="12"/>
  <c r="M406" i="12"/>
  <c r="M402" i="12"/>
  <c r="M405" i="12"/>
  <c r="B605" i="1"/>
  <c r="D613" i="1" s="1"/>
  <c r="E613" i="1" s="1"/>
  <c r="O407" i="12" s="1"/>
  <c r="B205" i="12"/>
  <c r="C23" i="12"/>
  <c r="F518" i="1"/>
  <c r="F525" i="1" s="1"/>
  <c r="B551" i="1" s="1"/>
  <c r="N226" i="1"/>
  <c r="B107" i="12" a="1"/>
  <c r="H107" i="12" s="1"/>
  <c r="L564" i="1"/>
  <c r="L563" i="1"/>
  <c r="L560" i="1"/>
  <c r="L561" i="1"/>
  <c r="L559" i="1"/>
  <c r="L567" i="1"/>
  <c r="L570" i="1"/>
  <c r="L557" i="1"/>
  <c r="L568" i="1"/>
  <c r="L569" i="1"/>
  <c r="L565" i="1"/>
  <c r="L566" i="1"/>
  <c r="L558" i="1"/>
  <c r="L562" i="1"/>
  <c r="N257" i="1"/>
  <c r="B97" i="63"/>
  <c r="C97" i="63" s="1"/>
  <c r="F408" i="12"/>
  <c r="D780" i="12"/>
  <c r="B168" i="12"/>
  <c r="B614" i="1"/>
  <c r="D783" i="12"/>
  <c r="D790" i="12"/>
  <c r="D786" i="12"/>
  <c r="D787" i="12"/>
  <c r="D778" i="12"/>
  <c r="D777" i="12"/>
  <c r="D789" i="12"/>
  <c r="D784" i="12"/>
  <c r="D781" i="12"/>
  <c r="D779" i="12"/>
  <c r="D782" i="12"/>
  <c r="D785" i="12"/>
  <c r="D788" i="12"/>
  <c r="M395" i="1"/>
  <c r="M163" i="12" s="1"/>
  <c r="B615" i="1"/>
  <c r="C409" i="12"/>
  <c r="F14" i="64" s="1"/>
  <c r="D408" i="12"/>
  <c r="D525" i="1"/>
  <c r="K504" i="1"/>
  <c r="B550" i="1" s="1"/>
  <c r="C550" i="1" s="1"/>
  <c r="E565" i="1"/>
  <c r="C113" i="12"/>
  <c r="B113" i="12"/>
  <c r="F113" i="12"/>
  <c r="H113" i="12"/>
  <c r="I113" i="12"/>
  <c r="J113" i="12"/>
  <c r="N113" i="12"/>
  <c r="O113" i="12"/>
  <c r="G113" i="12"/>
  <c r="M113" i="12"/>
  <c r="E113" i="12"/>
  <c r="L113" i="12"/>
  <c r="D113" i="12"/>
  <c r="K113" i="12"/>
  <c r="B490" i="12"/>
  <c r="B585" i="1"/>
  <c r="C585" i="1" s="1"/>
  <c r="B491" i="12"/>
  <c r="B586" i="1"/>
  <c r="C586" i="1" s="1"/>
  <c r="C604" i="12" s="1"/>
  <c r="L105" i="12"/>
  <c r="P105" i="12"/>
  <c r="P118" i="12" s="1"/>
  <c r="L106" i="12"/>
  <c r="D105" i="12"/>
  <c r="M106" i="12"/>
  <c r="F105" i="12"/>
  <c r="G106" i="12"/>
  <c r="I105" i="12"/>
  <c r="P106" i="12"/>
  <c r="P119" i="12" s="1"/>
  <c r="E105" i="12"/>
  <c r="O106" i="12"/>
  <c r="J105" i="12"/>
  <c r="C106" i="12"/>
  <c r="N106" i="12"/>
  <c r="B105" i="12"/>
  <c r="M105" i="12"/>
  <c r="H105" i="12"/>
  <c r="H106" i="12"/>
  <c r="F106" i="12"/>
  <c r="G105" i="12"/>
  <c r="K106" i="12"/>
  <c r="C105" i="12"/>
  <c r="O105" i="12"/>
  <c r="D106" i="12"/>
  <c r="I106" i="12"/>
  <c r="J106" i="12"/>
  <c r="B106" i="12"/>
  <c r="K105" i="12"/>
  <c r="G364" i="1"/>
  <c r="H23" i="12" s="1"/>
  <c r="E23" i="12"/>
  <c r="D23" i="12"/>
  <c r="D409" i="12"/>
  <c r="G14" i="64" s="1"/>
  <c r="J364" i="1"/>
  <c r="K23" i="12" s="1"/>
  <c r="I265" i="1"/>
  <c r="M258" i="1"/>
  <c r="M23" i="12"/>
  <c r="N350" i="1"/>
  <c r="M291" i="1"/>
  <c r="N291" i="1" s="1"/>
  <c r="M292" i="1"/>
  <c r="N292" i="1" s="1"/>
  <c r="M297" i="1"/>
  <c r="M302" i="1"/>
  <c r="N302" i="1" s="1"/>
  <c r="M301" i="1"/>
  <c r="N301" i="1" s="1"/>
  <c r="M296" i="1"/>
  <c r="M300" i="1"/>
  <c r="N300" i="1" s="1"/>
  <c r="M295" i="1"/>
  <c r="N295" i="1" s="1"/>
  <c r="M293" i="1"/>
  <c r="N293" i="1" s="1"/>
  <c r="M298" i="1"/>
  <c r="N298" i="1" s="1"/>
  <c r="M299" i="1"/>
  <c r="N299" i="1" s="1"/>
  <c r="M303" i="1"/>
  <c r="N303" i="1" s="1"/>
  <c r="M294" i="1"/>
  <c r="N294" i="1" s="1"/>
  <c r="N349" i="1"/>
  <c r="I304" i="1"/>
  <c r="M290" i="1"/>
  <c r="N290" i="1" s="1"/>
  <c r="N354" i="1" l="1"/>
  <c r="K364" i="1"/>
  <c r="M409" i="12" s="1"/>
  <c r="K14" i="64" s="1"/>
  <c r="E373" i="12"/>
  <c r="B535" i="1"/>
  <c r="B543" i="1" s="1"/>
  <c r="G562" i="1" s="1"/>
  <c r="H562" i="1" s="1"/>
  <c r="P14" i="64"/>
  <c r="F373" i="12"/>
  <c r="B62" i="12"/>
  <c r="B63" i="12"/>
  <c r="B409" i="12"/>
  <c r="M419" i="1"/>
  <c r="L419" i="1" s="1"/>
  <c r="N165" i="12" s="1"/>
  <c r="D611" i="1"/>
  <c r="E611" i="1" s="1"/>
  <c r="O405" i="12" s="1"/>
  <c r="D609" i="1"/>
  <c r="E609" i="1" s="1"/>
  <c r="O403" i="12" s="1"/>
  <c r="D615" i="1"/>
  <c r="E615" i="1" s="1"/>
  <c r="O409" i="12" s="1"/>
  <c r="M14" i="64" s="1"/>
  <c r="D610" i="1"/>
  <c r="E610" i="1" s="1"/>
  <c r="O404" i="12" s="1"/>
  <c r="D614" i="1"/>
  <c r="E614" i="1" s="1"/>
  <c r="O408" i="12" s="1"/>
  <c r="B453" i="12" s="1"/>
  <c r="D608" i="1"/>
  <c r="E608" i="1" s="1"/>
  <c r="O402" i="12" s="1"/>
  <c r="B447" i="12" s="1"/>
  <c r="D612" i="1"/>
  <c r="E612" i="1" s="1"/>
  <c r="O406" i="12" s="1"/>
  <c r="B452" i="12" s="1"/>
  <c r="F565" i="1"/>
  <c r="H565" i="1" s="1"/>
  <c r="O107" i="12"/>
  <c r="F107" i="12"/>
  <c r="D107" i="12"/>
  <c r="C107" i="12"/>
  <c r="P107" i="12"/>
  <c r="P120" i="12" s="1"/>
  <c r="K107" i="12"/>
  <c r="B107" i="12"/>
  <c r="E107" i="12"/>
  <c r="L107" i="12"/>
  <c r="M107" i="12"/>
  <c r="N107" i="12"/>
  <c r="G107" i="12"/>
  <c r="I107" i="12"/>
  <c r="J107" i="12"/>
  <c r="A741" i="12"/>
  <c r="B741" i="12"/>
  <c r="N296" i="1"/>
  <c r="B98" i="63"/>
  <c r="C98" i="63" s="1"/>
  <c r="D14" i="64"/>
  <c r="N297" i="1"/>
  <c r="B10" i="63"/>
  <c r="N258" i="1"/>
  <c r="B108" i="12" s="1" a="1"/>
  <c r="P108" i="12" s="1"/>
  <c r="P121" i="12" s="1"/>
  <c r="B9" i="63"/>
  <c r="C9" i="63" s="1"/>
  <c r="M168" i="12"/>
  <c r="AA14" i="64" s="1"/>
  <c r="M164" i="12"/>
  <c r="M165" i="12"/>
  <c r="M162" i="12"/>
  <c r="M167" i="12"/>
  <c r="M166" i="12"/>
  <c r="B728" i="12"/>
  <c r="P408" i="12"/>
  <c r="Q408" i="12"/>
  <c r="Q407" i="12"/>
  <c r="P407" i="12"/>
  <c r="J21" i="12"/>
  <c r="B64" i="12" s="1"/>
  <c r="B492" i="12"/>
  <c r="B587" i="1"/>
  <c r="C587" i="1" s="1"/>
  <c r="C605" i="12" s="1"/>
  <c r="J115" i="12"/>
  <c r="C115" i="12"/>
  <c r="K115" i="12"/>
  <c r="F115" i="12"/>
  <c r="G115" i="12"/>
  <c r="D115" i="12"/>
  <c r="L115" i="12"/>
  <c r="N115" i="12"/>
  <c r="O115" i="12"/>
  <c r="I115" i="12"/>
  <c r="E115" i="12"/>
  <c r="M115" i="12"/>
  <c r="H115" i="12"/>
  <c r="B115" i="12"/>
  <c r="B733" i="12"/>
  <c r="A733" i="12"/>
  <c r="C733" i="12"/>
  <c r="A732" i="12"/>
  <c r="A729" i="12"/>
  <c r="A730" i="12"/>
  <c r="A738" i="12"/>
  <c r="A737" i="12"/>
  <c r="A734" i="12"/>
  <c r="A735" i="12"/>
  <c r="A736" i="12"/>
  <c r="A731" i="12"/>
  <c r="A740" i="12"/>
  <c r="B730" i="12"/>
  <c r="A739" i="12"/>
  <c r="A728" i="12"/>
  <c r="B739" i="12"/>
  <c r="B737" i="12"/>
  <c r="C728" i="12"/>
  <c r="C735" i="12"/>
  <c r="C736" i="12"/>
  <c r="C741" i="12"/>
  <c r="B732" i="12"/>
  <c r="C737" i="12"/>
  <c r="C732" i="12"/>
  <c r="C738" i="12"/>
  <c r="B734" i="12"/>
  <c r="C729" i="12"/>
  <c r="C740" i="12"/>
  <c r="C734" i="12"/>
  <c r="B735" i="12"/>
  <c r="C730" i="12"/>
  <c r="C739" i="12"/>
  <c r="B729" i="12"/>
  <c r="B738" i="12"/>
  <c r="B740" i="12"/>
  <c r="B731" i="12"/>
  <c r="B736" i="12"/>
  <c r="C731" i="12"/>
  <c r="C603" i="12"/>
  <c r="M265" i="1"/>
  <c r="N361" i="1"/>
  <c r="N351" i="1"/>
  <c r="N353" i="1"/>
  <c r="N355" i="1"/>
  <c r="N359" i="1"/>
  <c r="N363" i="1"/>
  <c r="N362" i="1"/>
  <c r="N360" i="1"/>
  <c r="N358" i="1"/>
  <c r="N356" i="1"/>
  <c r="N352" i="1"/>
  <c r="N357" i="1"/>
  <c r="M304" i="1"/>
  <c r="J22" i="12"/>
  <c r="I364" i="1"/>
  <c r="L23" i="12" l="1"/>
  <c r="L168" i="12" s="1"/>
  <c r="Z14" i="64" s="1"/>
  <c r="B454" i="12"/>
  <c r="E14" i="64"/>
  <c r="B450" i="12"/>
  <c r="B528" i="12" s="1"/>
  <c r="B451" i="12"/>
  <c r="C643" i="12" s="1"/>
  <c r="N168" i="12"/>
  <c r="AB14" i="64" s="1"/>
  <c r="N163" i="12"/>
  <c r="N162" i="12"/>
  <c r="N166" i="12"/>
  <c r="B448" i="12"/>
  <c r="N167" i="12"/>
  <c r="N164" i="12"/>
  <c r="B449" i="12"/>
  <c r="B527" i="12" s="1"/>
  <c r="B530" i="12"/>
  <c r="N304" i="1"/>
  <c r="B109" i="12" a="1"/>
  <c r="C109" i="12" s="1"/>
  <c r="L108" i="12"/>
  <c r="O108" i="12"/>
  <c r="B108" i="12"/>
  <c r="C108" i="12"/>
  <c r="N265" i="1"/>
  <c r="E108" i="12"/>
  <c r="D108" i="12"/>
  <c r="M108" i="12"/>
  <c r="I108" i="12"/>
  <c r="K108" i="12"/>
  <c r="F108" i="12"/>
  <c r="H108" i="12"/>
  <c r="J108" i="12"/>
  <c r="G108" i="12"/>
  <c r="N108" i="12"/>
  <c r="C10" i="63"/>
  <c r="B65" i="12"/>
  <c r="P409" i="12"/>
  <c r="N14" i="64" s="1"/>
  <c r="Q409" i="12"/>
  <c r="O14" i="64" s="1"/>
  <c r="N117" i="12"/>
  <c r="N119" i="12"/>
  <c r="N116" i="12"/>
  <c r="N120" i="12"/>
  <c r="N118" i="12"/>
  <c r="L118" i="12"/>
  <c r="L116" i="12"/>
  <c r="L120" i="12"/>
  <c r="L119" i="12"/>
  <c r="L117" i="12"/>
  <c r="H118" i="12"/>
  <c r="H116" i="12"/>
  <c r="H120" i="12"/>
  <c r="H117" i="12"/>
  <c r="H119" i="12"/>
  <c r="G118" i="12"/>
  <c r="G120" i="12"/>
  <c r="G117" i="12"/>
  <c r="G116" i="12"/>
  <c r="G119" i="12"/>
  <c r="M117" i="12"/>
  <c r="M116" i="12"/>
  <c r="M120" i="12"/>
  <c r="M119" i="12"/>
  <c r="M118" i="12"/>
  <c r="F117" i="12"/>
  <c r="F119" i="12"/>
  <c r="F116" i="12"/>
  <c r="F120" i="12"/>
  <c r="F118" i="12"/>
  <c r="E117" i="12"/>
  <c r="E119" i="12"/>
  <c r="E116" i="12"/>
  <c r="E120" i="12"/>
  <c r="E118" i="12"/>
  <c r="K116" i="12"/>
  <c r="K120" i="12"/>
  <c r="K119" i="12"/>
  <c r="K118" i="12"/>
  <c r="K117" i="12"/>
  <c r="D116" i="12"/>
  <c r="D120" i="12"/>
  <c r="D118" i="12"/>
  <c r="D119" i="12"/>
  <c r="D117" i="12"/>
  <c r="I119" i="12"/>
  <c r="I117" i="12"/>
  <c r="I118" i="12"/>
  <c r="I116" i="12"/>
  <c r="I120" i="12"/>
  <c r="C116" i="12"/>
  <c r="C120" i="12"/>
  <c r="C119" i="12"/>
  <c r="C118" i="12"/>
  <c r="C117" i="12"/>
  <c r="B117" i="12"/>
  <c r="B118" i="12"/>
  <c r="B116" i="12"/>
  <c r="B119" i="12"/>
  <c r="B120" i="12"/>
  <c r="O118" i="12"/>
  <c r="O116" i="12"/>
  <c r="O120" i="12"/>
  <c r="O117" i="12"/>
  <c r="O119" i="12"/>
  <c r="J117" i="12"/>
  <c r="J119" i="12"/>
  <c r="J118" i="12"/>
  <c r="J116" i="12"/>
  <c r="J120" i="12"/>
  <c r="O353" i="1"/>
  <c r="O352" i="1"/>
  <c r="O356" i="1"/>
  <c r="O351" i="1"/>
  <c r="O358" i="1"/>
  <c r="O360" i="1"/>
  <c r="O362" i="1"/>
  <c r="O350" i="1"/>
  <c r="O361" i="1"/>
  <c r="O359" i="1"/>
  <c r="O349" i="1"/>
  <c r="O357" i="1"/>
  <c r="O355" i="1"/>
  <c r="O354" i="1"/>
  <c r="C551" i="1"/>
  <c r="B552" i="1"/>
  <c r="C552" i="1" s="1"/>
  <c r="B110" i="12" a="1"/>
  <c r="N110" i="12" s="1"/>
  <c r="N364" i="1"/>
  <c r="J23" i="12"/>
  <c r="C642" i="12" l="1"/>
  <c r="C641" i="12"/>
  <c r="B529" i="12"/>
  <c r="E121" i="12"/>
  <c r="C121" i="12"/>
  <c r="L121" i="12"/>
  <c r="G121" i="12"/>
  <c r="K121" i="12"/>
  <c r="N121" i="12"/>
  <c r="B121" i="12"/>
  <c r="H121" i="12"/>
  <c r="M121" i="12"/>
  <c r="O121" i="12"/>
  <c r="D121" i="12"/>
  <c r="F121" i="12"/>
  <c r="J121" i="12"/>
  <c r="D109" i="12"/>
  <c r="E109" i="12"/>
  <c r="O109" i="12"/>
  <c r="N109" i="12"/>
  <c r="F109" i="12"/>
  <c r="J109" i="12"/>
  <c r="M109" i="12"/>
  <c r="H109" i="12"/>
  <c r="G109" i="12"/>
  <c r="P109" i="12"/>
  <c r="P122" i="12" s="1"/>
  <c r="B109" i="12"/>
  <c r="L109" i="12"/>
  <c r="I109" i="12"/>
  <c r="K109" i="12"/>
  <c r="I121" i="12"/>
  <c r="B66" i="12"/>
  <c r="C14" i="64"/>
  <c r="F323" i="12"/>
  <c r="H322" i="12"/>
  <c r="J321" i="12"/>
  <c r="L320" i="12"/>
  <c r="D320" i="12"/>
  <c r="F319" i="12"/>
  <c r="H318" i="12"/>
  <c r="J317" i="12"/>
  <c r="L316" i="12"/>
  <c r="D316" i="12"/>
  <c r="F315" i="12"/>
  <c r="H314" i="12"/>
  <c r="J313" i="12"/>
  <c r="L312" i="12"/>
  <c r="D312" i="12"/>
  <c r="F311" i="12"/>
  <c r="H310" i="12"/>
  <c r="C314" i="12"/>
  <c r="C322" i="12"/>
  <c r="I323" i="12"/>
  <c r="E321" i="12"/>
  <c r="I319" i="12"/>
  <c r="M317" i="12"/>
  <c r="G316" i="12"/>
  <c r="K314" i="12"/>
  <c r="K310" i="12"/>
  <c r="C319" i="12"/>
  <c r="I310" i="12"/>
  <c r="M323" i="12"/>
  <c r="E323" i="12"/>
  <c r="G322" i="12"/>
  <c r="I321" i="12"/>
  <c r="K320" i="12"/>
  <c r="M319" i="12"/>
  <c r="E319" i="12"/>
  <c r="G318" i="12"/>
  <c r="I317" i="12"/>
  <c r="K316" i="12"/>
  <c r="M315" i="12"/>
  <c r="E315" i="12"/>
  <c r="G314" i="12"/>
  <c r="I313" i="12"/>
  <c r="K312" i="12"/>
  <c r="M311" i="12"/>
  <c r="E311" i="12"/>
  <c r="G310" i="12"/>
  <c r="C315" i="12"/>
  <c r="C323" i="12"/>
  <c r="K318" i="12"/>
  <c r="E317" i="12"/>
  <c r="I315" i="12"/>
  <c r="G312" i="12"/>
  <c r="C311" i="12"/>
  <c r="M312" i="12"/>
  <c r="L323" i="12"/>
  <c r="D323" i="12"/>
  <c r="F322" i="12"/>
  <c r="H321" i="12"/>
  <c r="J320" i="12"/>
  <c r="L319" i="12"/>
  <c r="D319" i="12"/>
  <c r="F318" i="12"/>
  <c r="H317" i="12"/>
  <c r="J316" i="12"/>
  <c r="L315" i="12"/>
  <c r="D315" i="12"/>
  <c r="F314" i="12"/>
  <c r="H313" i="12"/>
  <c r="J312" i="12"/>
  <c r="L311" i="12"/>
  <c r="D311" i="12"/>
  <c r="F310" i="12"/>
  <c r="C316" i="12"/>
  <c r="M321" i="12"/>
  <c r="M313" i="12"/>
  <c r="C313" i="12"/>
  <c r="K323" i="12"/>
  <c r="M322" i="12"/>
  <c r="E322" i="12"/>
  <c r="G321" i="12"/>
  <c r="I320" i="12"/>
  <c r="K319" i="12"/>
  <c r="M318" i="12"/>
  <c r="E318" i="12"/>
  <c r="G317" i="12"/>
  <c r="I316" i="12"/>
  <c r="K315" i="12"/>
  <c r="M314" i="12"/>
  <c r="E314" i="12"/>
  <c r="G313" i="12"/>
  <c r="I312" i="12"/>
  <c r="K311" i="12"/>
  <c r="M310" i="12"/>
  <c r="E310" i="12"/>
  <c r="C317" i="12"/>
  <c r="C310" i="12"/>
  <c r="G320" i="12"/>
  <c r="I311" i="12"/>
  <c r="J323" i="12"/>
  <c r="L322" i="12"/>
  <c r="D322" i="12"/>
  <c r="F321" i="12"/>
  <c r="H320" i="12"/>
  <c r="J319" i="12"/>
  <c r="L318" i="12"/>
  <c r="D318" i="12"/>
  <c r="F317" i="12"/>
  <c r="H316" i="12"/>
  <c r="J315" i="12"/>
  <c r="L314" i="12"/>
  <c r="D314" i="12"/>
  <c r="F313" i="12"/>
  <c r="H312" i="12"/>
  <c r="J311" i="12"/>
  <c r="L310" i="12"/>
  <c r="D310" i="12"/>
  <c r="C318" i="12"/>
  <c r="K322" i="12"/>
  <c r="E313" i="12"/>
  <c r="E312" i="12"/>
  <c r="H323" i="12"/>
  <c r="J322" i="12"/>
  <c r="L321" i="12"/>
  <c r="D321" i="12"/>
  <c r="F320" i="12"/>
  <c r="H319" i="12"/>
  <c r="J318" i="12"/>
  <c r="L317" i="12"/>
  <c r="D317" i="12"/>
  <c r="F316" i="12"/>
  <c r="H315" i="12"/>
  <c r="J314" i="12"/>
  <c r="L313" i="12"/>
  <c r="D313" i="12"/>
  <c r="F312" i="12"/>
  <c r="H311" i="12"/>
  <c r="J310" i="12"/>
  <c r="C312" i="12"/>
  <c r="C320" i="12"/>
  <c r="G323" i="12"/>
  <c r="I322" i="12"/>
  <c r="K321" i="12"/>
  <c r="M320" i="12"/>
  <c r="E320" i="12"/>
  <c r="G319" i="12"/>
  <c r="I318" i="12"/>
  <c r="K317" i="12"/>
  <c r="M316" i="12"/>
  <c r="E316" i="12"/>
  <c r="G315" i="12"/>
  <c r="I314" i="12"/>
  <c r="K313" i="12"/>
  <c r="G311" i="12"/>
  <c r="C321" i="12"/>
  <c r="I558" i="1"/>
  <c r="I559" i="1"/>
  <c r="I570" i="1"/>
  <c r="I562" i="1"/>
  <c r="I565" i="1"/>
  <c r="I566" i="1"/>
  <c r="I569" i="1"/>
  <c r="I561" i="1"/>
  <c r="F695" i="12"/>
  <c r="I568" i="1"/>
  <c r="I557" i="1"/>
  <c r="I564" i="1"/>
  <c r="I563" i="1"/>
  <c r="I560" i="1"/>
  <c r="I567" i="1"/>
  <c r="A315" i="12"/>
  <c r="A323" i="12"/>
  <c r="A316" i="12"/>
  <c r="A310" i="12"/>
  <c r="A313" i="12"/>
  <c r="A317" i="12"/>
  <c r="A320" i="12"/>
  <c r="A322" i="12"/>
  <c r="A318" i="12"/>
  <c r="A312" i="12"/>
  <c r="A314" i="12"/>
  <c r="A311" i="12"/>
  <c r="A319" i="12"/>
  <c r="A321" i="12"/>
  <c r="B588" i="1"/>
  <c r="C588" i="1" s="1"/>
  <c r="C606" i="12" s="1"/>
  <c r="C645" i="12" s="1"/>
  <c r="B493" i="12"/>
  <c r="B531" i="12" s="1"/>
  <c r="B589" i="1"/>
  <c r="C589" i="1" s="1"/>
  <c r="C607" i="12" s="1"/>
  <c r="C646" i="12" s="1"/>
  <c r="B494" i="12"/>
  <c r="B532" i="12" s="1"/>
  <c r="C644" i="12"/>
  <c r="B110" i="12"/>
  <c r="C110" i="12"/>
  <c r="E110" i="12"/>
  <c r="H110" i="12"/>
  <c r="I110" i="12"/>
  <c r="K110" i="12"/>
  <c r="G110" i="12"/>
  <c r="D110" i="12"/>
  <c r="L110" i="12"/>
  <c r="M110" i="12"/>
  <c r="F110" i="12"/>
  <c r="J110" i="12"/>
  <c r="P110" i="12"/>
  <c r="P123" i="12" s="1"/>
  <c r="O110" i="12"/>
  <c r="O122" i="12" l="1"/>
  <c r="L122" i="12"/>
  <c r="K122" i="12"/>
  <c r="G122" i="12"/>
  <c r="F122" i="12"/>
  <c r="B122" i="12"/>
  <c r="E122" i="12"/>
  <c r="J122" i="12"/>
  <c r="H122" i="12"/>
  <c r="N122" i="12"/>
  <c r="M122" i="12"/>
  <c r="I122" i="12"/>
  <c r="D122" i="12"/>
  <c r="C122" i="12"/>
  <c r="C681" i="12"/>
  <c r="C682" i="12"/>
  <c r="B681" i="12"/>
  <c r="B682" i="12"/>
  <c r="B690" i="12"/>
  <c r="B687" i="12"/>
  <c r="B683" i="12"/>
  <c r="B691" i="12"/>
  <c r="B684" i="12"/>
  <c r="B692" i="12"/>
  <c r="B685" i="12"/>
  <c r="B693" i="12"/>
  <c r="B686" i="12"/>
  <c r="B694" i="12"/>
  <c r="B688" i="12"/>
  <c r="B689" i="12"/>
  <c r="J123" i="12"/>
  <c r="L123" i="12"/>
  <c r="M123" i="12"/>
  <c r="D123" i="12"/>
  <c r="F123" i="12"/>
  <c r="E123" i="12"/>
  <c r="B123" i="12"/>
  <c r="N123" i="12"/>
  <c r="I123" i="12"/>
  <c r="H123" i="12"/>
  <c r="K123" i="12"/>
  <c r="G123" i="12"/>
  <c r="O123" i="12"/>
  <c r="C123" i="12"/>
  <c r="A681" i="12"/>
  <c r="A690" i="12"/>
  <c r="A682" i="12"/>
  <c r="A691" i="12"/>
  <c r="A688" i="12"/>
  <c r="A683" i="12"/>
  <c r="A692" i="12"/>
  <c r="A684" i="12"/>
  <c r="A693" i="12"/>
  <c r="A689" i="12"/>
  <c r="A685" i="12"/>
  <c r="A694" i="12"/>
  <c r="A686" i="12"/>
  <c r="A687" i="12"/>
  <c r="F682" i="12"/>
  <c r="D684" i="12"/>
  <c r="G685" i="12"/>
  <c r="E687" i="12"/>
  <c r="C689" i="12"/>
  <c r="F690" i="12"/>
  <c r="D692" i="12"/>
  <c r="G693" i="12"/>
  <c r="G681" i="12"/>
  <c r="F685" i="12"/>
  <c r="C692" i="12"/>
  <c r="F681" i="12"/>
  <c r="G682" i="12"/>
  <c r="E684" i="12"/>
  <c r="C686" i="12"/>
  <c r="F687" i="12"/>
  <c r="D689" i="12"/>
  <c r="G690" i="12"/>
  <c r="E692" i="12"/>
  <c r="C694" i="12"/>
  <c r="D681" i="12"/>
  <c r="C684" i="12"/>
  <c r="C683" i="12"/>
  <c r="F684" i="12"/>
  <c r="D686" i="12"/>
  <c r="G687" i="12"/>
  <c r="E689" i="12"/>
  <c r="C691" i="12"/>
  <c r="F692" i="12"/>
  <c r="D694" i="12"/>
  <c r="G688" i="12"/>
  <c r="D683" i="12"/>
  <c r="G684" i="12"/>
  <c r="E686" i="12"/>
  <c r="C688" i="12"/>
  <c r="F689" i="12"/>
  <c r="D691" i="12"/>
  <c r="G692" i="12"/>
  <c r="E694" i="12"/>
  <c r="D687" i="12"/>
  <c r="E683" i="12"/>
  <c r="C685" i="12"/>
  <c r="F686" i="12"/>
  <c r="D688" i="12"/>
  <c r="G689" i="12"/>
  <c r="E691" i="12"/>
  <c r="C693" i="12"/>
  <c r="F694" i="12"/>
  <c r="E690" i="12"/>
  <c r="F683" i="12"/>
  <c r="D685" i="12"/>
  <c r="G686" i="12"/>
  <c r="E688" i="12"/>
  <c r="C690" i="12"/>
  <c r="F691" i="12"/>
  <c r="D693" i="12"/>
  <c r="G694" i="12"/>
  <c r="E682" i="12"/>
  <c r="F693" i="12"/>
  <c r="D682" i="12"/>
  <c r="G683" i="12"/>
  <c r="E685" i="12"/>
  <c r="C687" i="12"/>
  <c r="F688" i="12"/>
  <c r="D690" i="12"/>
  <c r="G691" i="12"/>
  <c r="E693" i="12"/>
  <c r="E681" i="12"/>
  <c r="B312" i="12"/>
  <c r="B322" i="12"/>
  <c r="B320" i="12"/>
  <c r="B321" i="12"/>
  <c r="B319" i="12"/>
  <c r="B311" i="12"/>
  <c r="B310" i="12"/>
  <c r="B317" i="12"/>
  <c r="B313" i="12"/>
  <c r="B314" i="12"/>
  <c r="B316" i="12"/>
  <c r="B323" i="12"/>
  <c r="B318" i="12"/>
  <c r="B315" i="12"/>
  <c r="K393" i="1" l="1"/>
  <c r="K395" i="1" s="1"/>
  <c r="D393" i="1"/>
  <c r="D395" i="1" s="1"/>
  <c r="L2" i="73"/>
  <c r="L3" i="73" s="1"/>
  <c r="L4" i="73" s="1"/>
  <c r="K163" i="12" l="1"/>
  <c r="K164" i="12"/>
  <c r="K165" i="12"/>
  <c r="K162" i="12"/>
  <c r="K166" i="12"/>
  <c r="K167" i="12"/>
  <c r="K168" i="12"/>
  <c r="Y14" i="64" s="1"/>
  <c r="L11" i="73"/>
  <c r="L10" i="73"/>
  <c r="L15" i="73"/>
  <c r="B17" i="73" s="1"/>
  <c r="L16" i="73"/>
  <c r="L14" i="73"/>
  <c r="L9" i="73"/>
  <c r="L13" i="73"/>
  <c r="L7" i="73"/>
  <c r="L8" i="73"/>
  <c r="L17" i="73"/>
  <c r="L12" i="73"/>
  <c r="D164" i="12"/>
  <c r="D167" i="12"/>
  <c r="D165" i="12"/>
  <c r="D162" i="12"/>
  <c r="D168" i="12"/>
  <c r="R14" i="64" s="1"/>
  <c r="D166" i="12"/>
  <c r="D163" i="12"/>
  <c r="I393" i="1"/>
  <c r="I395" i="1" s="1"/>
  <c r="G393" i="1"/>
  <c r="G395" i="1" s="1"/>
  <c r="E393" i="1"/>
  <c r="E395" i="1" s="1"/>
  <c r="C393" i="1"/>
  <c r="C395" i="1" s="1"/>
  <c r="H393" i="1"/>
  <c r="H395" i="1" s="1"/>
  <c r="F393" i="1"/>
  <c r="F395" i="1" s="1"/>
  <c r="A386" i="1" l="1"/>
  <c r="J392" i="1" s="1"/>
  <c r="J393" i="1" s="1"/>
  <c r="J395" i="1" s="1"/>
  <c r="J165" i="12" s="1"/>
  <c r="C407" i="1"/>
  <c r="F162" i="12" s="1"/>
  <c r="C408" i="1"/>
  <c r="F163" i="12" s="1"/>
  <c r="C411" i="1"/>
  <c r="F166" i="12" s="1"/>
  <c r="C410" i="1"/>
  <c r="F165" i="12" s="1"/>
  <c r="C409" i="1"/>
  <c r="F164" i="12" s="1"/>
  <c r="C413" i="1"/>
  <c r="F168" i="12" s="1"/>
  <c r="T14" i="64" s="1"/>
  <c r="C412" i="1"/>
  <c r="F167" i="12" s="1"/>
  <c r="C167" i="12"/>
  <c r="C163" i="12"/>
  <c r="C165" i="12"/>
  <c r="C162" i="12"/>
  <c r="C168" i="12"/>
  <c r="C166" i="12"/>
  <c r="C164" i="12"/>
  <c r="H168" i="12"/>
  <c r="V14" i="64" s="1"/>
  <c r="H166" i="12"/>
  <c r="H163" i="12"/>
  <c r="H162" i="12"/>
  <c r="H165" i="12"/>
  <c r="H164" i="12"/>
  <c r="H167" i="12"/>
  <c r="G168" i="12"/>
  <c r="U14" i="64" s="1"/>
  <c r="G166" i="12"/>
  <c r="G162" i="12"/>
  <c r="G164" i="12"/>
  <c r="G167" i="12"/>
  <c r="G163" i="12"/>
  <c r="G165" i="12"/>
  <c r="I166" i="12"/>
  <c r="I165" i="12"/>
  <c r="I163" i="12"/>
  <c r="I168" i="12"/>
  <c r="W14" i="64" s="1"/>
  <c r="I162" i="12"/>
  <c r="I164" i="12"/>
  <c r="I167" i="12"/>
  <c r="E162" i="12"/>
  <c r="E163" i="12"/>
  <c r="E164" i="12"/>
  <c r="E168" i="12"/>
  <c r="S14" i="64" s="1"/>
  <c r="E167" i="12"/>
  <c r="E165" i="12"/>
  <c r="E166" i="12"/>
  <c r="J162" i="12" l="1"/>
  <c r="B206" i="12" s="1"/>
  <c r="J167" i="12"/>
  <c r="J163" i="12"/>
  <c r="J166" i="12"/>
  <c r="B210" i="12" s="1"/>
  <c r="J164" i="12"/>
  <c r="J168" i="12"/>
  <c r="X14" i="64" s="1"/>
  <c r="Q14" i="64"/>
  <c r="B208" i="12" l="1"/>
  <c r="B564" i="12" s="1"/>
  <c r="B603" i="12" s="1"/>
  <c r="B642" i="12" s="1"/>
  <c r="B212" i="12"/>
  <c r="B568" i="12" s="1"/>
  <c r="B607" i="12" s="1"/>
  <c r="B646" i="12" s="1"/>
  <c r="B207" i="12"/>
  <c r="B563" i="12" s="1"/>
  <c r="B602" i="12" s="1"/>
  <c r="B641" i="12" s="1"/>
  <c r="B211" i="12"/>
  <c r="B567" i="12" s="1"/>
  <c r="B606" i="12" s="1"/>
  <c r="B645" i="12" s="1"/>
  <c r="B209" i="12"/>
  <c r="B565" i="12" s="1"/>
  <c r="B604" i="12" s="1"/>
  <c r="B643" i="12" s="1"/>
  <c r="B566" i="12"/>
  <c r="B605" i="12" s="1"/>
  <c r="B644" i="12" s="1"/>
  <c r="B45" i="73"/>
  <c r="B43" i="73" l="1"/>
  <c r="B46" i="73"/>
  <c r="B44"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tc={5E660F7E-7A05-49DD-ABBE-65442333BEA7}</author>
    <author>tc={7BE00282-7B27-4EF8-BDEA-74D01E3EE978}</author>
    <author>tc={64C80D0A-D9D0-4F8A-A75A-3FF8021DB07A}</author>
    <author>tc={4F2B63E2-6AF8-46B1-ADAD-4802CFF0E5FC}</author>
    <author>tc={BA514364-C2B3-407D-8B9E-8B3066DA33C2}</author>
  </authors>
  <commentList>
    <comment ref="F160" authorId="0" shapeId="0" xr:uid="{5E660F7E-7A05-49DD-ABBE-65442333BEA7}">
      <text>
        <t>[Threaded comment]
Your version of Excel allows you to read this threaded comment; however, any edits to it will get removed if the file is opened in a newer version of Excel. Learn more: https://go.microsoft.com/fwlink/?linkid=870924
Comment:
    Petroleum fuels use a price adjustment to account for refineries’ consuming their own petroleum byproducts (refinery fuel gas and petcoke) rather than using refined petroleum fuels.</t>
      </text>
    </comment>
    <comment ref="K160" authorId="1" shapeId="0" xr:uid="{7BE00282-7B27-4EF8-BDEA-74D01E3EE978}">
      <text>
        <t>[Threaded comment]
Your version of Excel allows you to read this threaded comment; however, any edits to it will get removed if the file is opened in a newer version of Excel. Learn more: https://go.microsoft.com/fwlink/?linkid=870924
Comment:
    The energy use graphs show electricity used to make green H2, to make it easier to see the industrial sector’s total electricity demand.  But this expenditures graph shows the cost per unit of green H2, not per unit of electricity used to make green H2, since hydrogen costs depend on a range of factors other than electricity price (such as electrolyzer costs and load factors), and projected future hydrogen costs are available in cited sources.</t>
      </text>
    </comment>
    <comment ref="C369" authorId="2" shapeId="0" xr:uid="{64C80D0A-D9D0-4F8A-A75A-3FF8021DB07A}">
      <text>
        <t>[Threaded comment]
Your version of Excel allows you to read this threaded comment; however, any edits to it will get removed if the file is opened in a newer version of Excel. Learn more: https://go.microsoft.com/fwlink/?linkid=870924
Comment:
    Includes HGL, NGL, LPG (ethane, propane, butane, etc.)</t>
      </text>
    </comment>
    <comment ref="M401" authorId="3" shapeId="0" xr:uid="{4F2B63E2-6AF8-46B1-ADAD-4802CFF0E5FC}">
      <text>
        <t>[Threaded comment]
Your version of Excel allows you to read this threaded comment; however, any edits to it will get removed if the file is opened in a newer version of Excel. Learn more: https://go.microsoft.com/fwlink/?linkid=870924
Comment:
    In this emissions graph, this column includes use of fossil fuels with carbon capture to produce blue hydrogen as well as direct use of fossil fuels with carbon capture (i.e., for energy/heat).</t>
      </text>
    </comment>
    <comment ref="D776" authorId="4" shapeId="0" xr:uid="{BA514364-C2B3-407D-8B9E-8B3066DA33C2}">
      <text>
        <t>[Threaded comment]
Your version of Excel allows you to read this threaded comment; however, any edits to it will get removed if the file is opened in a newer version of Excel. Learn more: https://go.microsoft.com/fwlink/?linkid=870924
Comment:
    The percentages in the columns to the left have been prepared so they can be added linearly - i.e., we already account for interactive effects on the “Calculations” tab.</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I13" authorId="0" shapeId="0" xr:uid="{87C39E86-DA01-4B44-8D77-E0AD1E316BF1}">
      <text>
        <r>
          <rPr>
            <b/>
            <sz val="9"/>
            <color indexed="81"/>
            <rFont val="Tahoma"/>
            <family val="2"/>
          </rPr>
          <t>Hongyou Lu:</t>
        </r>
        <r>
          <rPr>
            <sz val="9"/>
            <color indexed="81"/>
            <rFont val="Tahoma"/>
            <family val="2"/>
          </rPr>
          <t xml:space="preserve">
Based on reported clinker capacity 1840 million tonnes in 2022 (http://www.cbminfo.com/BMI/jclhh/_470905/7193696/index.html)</t>
        </r>
      </text>
    </comment>
    <comment ref="F19" authorId="0" shapeId="0" xr:uid="{6A27F991-3A08-42D9-A948-13F60A448AEF}">
      <text>
        <r>
          <rPr>
            <b/>
            <sz val="9"/>
            <color indexed="81"/>
            <rFont val="Tahoma"/>
            <family val="2"/>
          </rPr>
          <t>Hongyou Lu:</t>
        </r>
        <r>
          <rPr>
            <sz val="9"/>
            <color indexed="81"/>
            <rFont val="Tahoma"/>
            <family val="2"/>
          </rPr>
          <t xml:space="preserve">
based on DOE Cement Liftoff Report</t>
        </r>
      </text>
    </comment>
    <comment ref="J19" authorId="0" shapeId="0" xr:uid="{B5897229-6D1A-4BB3-8345-71E6FE320A14}">
      <text>
        <r>
          <rPr>
            <b/>
            <sz val="9"/>
            <color indexed="81"/>
            <rFont val="Tahoma"/>
            <family val="2"/>
          </rPr>
          <t>Hongyou Lu:</t>
        </r>
        <r>
          <rPr>
            <sz val="9"/>
            <color indexed="81"/>
            <rFont val="Tahoma"/>
            <family val="2"/>
          </rPr>
          <t xml:space="preserve">
based on DOE Cement Liftoff Report</t>
        </r>
      </text>
    </comment>
    <comment ref="R19" authorId="0" shapeId="0" xr:uid="{5FFFF199-CE61-4BA7-B432-57499D08F64C}">
      <text>
        <r>
          <rPr>
            <b/>
            <sz val="9"/>
            <color indexed="81"/>
            <rFont val="Tahoma"/>
            <family val="2"/>
          </rPr>
          <t>Hongyou Lu:</t>
        </r>
        <r>
          <rPr>
            <sz val="9"/>
            <color indexed="81"/>
            <rFont val="Tahoma"/>
            <family val="2"/>
          </rPr>
          <t xml:space="preserve">
http://www.cbminfo.com/BMI/jclhh/_470905/7193696/index.html</t>
        </r>
      </text>
    </comment>
    <comment ref="I20" authorId="0" shapeId="0" xr:uid="{E383C82C-9A78-4392-A81C-8E72E6AE69FC}">
      <text>
        <r>
          <rPr>
            <b/>
            <sz val="9"/>
            <color indexed="81"/>
            <rFont val="Tahoma"/>
            <family val="2"/>
          </rPr>
          <t>Hongyou Lu:</t>
        </r>
        <r>
          <rPr>
            <sz val="9"/>
            <color indexed="81"/>
            <rFont val="Tahoma"/>
            <family val="2"/>
          </rPr>
          <t xml:space="preserve">
Additional capacity impact
</t>
        </r>
      </text>
    </comment>
    <comment ref="D22" authorId="0" shapeId="0" xr:uid="{5A2B9BA9-CAD8-4F4F-B623-D44E98DB2F69}">
      <text>
        <r>
          <rPr>
            <b/>
            <sz val="9"/>
            <color indexed="81"/>
            <rFont val="Tahoma"/>
            <family val="2"/>
          </rPr>
          <t>Hongyou Lu:</t>
        </r>
        <r>
          <rPr>
            <sz val="9"/>
            <color indexed="81"/>
            <rFont val="Tahoma"/>
            <family val="2"/>
          </rPr>
          <t xml:space="preserve">
Assuming LC3 clinker to cement ratio at 0.5. LC3 adoption rate reaches 8% by 2030; the rest of the cement remains a clinker to cement ratio of 0.66 (2022 avg). By 2030, the clinker to cement ratio nationally declines to 0.65. This is based on our cement modeling results</t>
        </r>
      </text>
    </comment>
    <comment ref="H22" authorId="0" shapeId="0" xr:uid="{AFD51A86-7373-4CD8-AE8E-FA70B9B7B1C0}">
      <text>
        <r>
          <rPr>
            <b/>
            <sz val="9"/>
            <color indexed="81"/>
            <rFont val="Tahoma"/>
            <family val="2"/>
          </rPr>
          <t>Hongyou Lu:</t>
        </r>
        <r>
          <rPr>
            <sz val="9"/>
            <color indexed="81"/>
            <rFont val="Tahoma"/>
            <family val="2"/>
          </rPr>
          <t xml:space="preserve">
Assuming LC3 clinker to cement ratio at 0.4 by 2060. The rest of the cement remains a clinker to cement ratio of 0.66 (2022 avg). By 2060, the national avg of the clinker to cement ratio declines to 0.55. This is based on our cement modeling results</t>
        </r>
      </text>
    </comment>
    <comment ref="I22" authorId="0" shapeId="0" xr:uid="{0013AB99-48D6-47C0-BA24-320B3AC83D03}">
      <text>
        <r>
          <rPr>
            <b/>
            <sz val="9"/>
            <color indexed="81"/>
            <rFont val="Tahoma"/>
            <family val="2"/>
          </rPr>
          <t>Hongyou Lu:</t>
        </r>
        <r>
          <rPr>
            <sz val="9"/>
            <color indexed="81"/>
            <rFont val="Tahoma"/>
            <family val="2"/>
          </rPr>
          <t xml:space="preserve">
Additional capacity impact</t>
        </r>
      </text>
    </comment>
    <comment ref="I25" authorId="0" shapeId="0" xr:uid="{277FBEA2-FB2C-46A8-9F09-4A4DA5483EF7}">
      <text>
        <r>
          <rPr>
            <b/>
            <sz val="9"/>
            <color indexed="81"/>
            <rFont val="Tahoma"/>
            <family val="2"/>
          </rPr>
          <t>Hongyou Lu:</t>
        </r>
        <r>
          <rPr>
            <sz val="9"/>
            <color indexed="81"/>
            <rFont val="Tahoma"/>
            <family val="2"/>
          </rPr>
          <t xml:space="preserve">
cumulative capacity impact by 2060</t>
        </r>
      </text>
    </comment>
    <comment ref="O27" authorId="0" shapeId="0" xr:uid="{52561F1C-1125-4974-A9BE-0CD21E5D5DD5}">
      <text>
        <r>
          <rPr>
            <b/>
            <sz val="9"/>
            <color indexed="81"/>
            <rFont val="Tahoma"/>
            <family val="2"/>
          </rPr>
          <t>Hongyou Lu:</t>
        </r>
        <r>
          <rPr>
            <sz val="9"/>
            <color indexed="81"/>
            <rFont val="Tahoma"/>
            <family val="2"/>
          </rPr>
          <t xml:space="preserve">
increased the per unit cost of H2 injection, due to increased H2 injection rate (15% to 35%)</t>
        </r>
      </text>
    </comment>
    <comment ref="I29" authorId="0" shapeId="0" xr:uid="{C4D84713-EFDB-4F4D-AA46-BA436F9E015C}">
      <text>
        <r>
          <rPr>
            <b/>
            <sz val="9"/>
            <color indexed="81"/>
            <rFont val="Tahoma"/>
            <family val="2"/>
          </rPr>
          <t>Hongyou Lu:</t>
        </r>
        <r>
          <rPr>
            <sz val="9"/>
            <color indexed="81"/>
            <rFont val="Tahoma"/>
            <family val="2"/>
          </rPr>
          <t xml:space="preserve">
accumulative</t>
        </r>
      </text>
    </comment>
    <comment ref="I30" authorId="0" shapeId="0" xr:uid="{9DC3CA82-CB22-49DC-AE28-90F2380CDCDF}">
      <text>
        <r>
          <rPr>
            <b/>
            <sz val="9"/>
            <color indexed="81"/>
            <rFont val="Tahoma"/>
            <family val="2"/>
          </rPr>
          <t>Hongyou Lu:</t>
        </r>
        <r>
          <rPr>
            <sz val="9"/>
            <color indexed="81"/>
            <rFont val="Tahoma"/>
            <family val="2"/>
          </rPr>
          <t xml:space="preserve">
accumulative</t>
        </r>
      </text>
    </comment>
    <comment ref="O31" authorId="0" shapeId="0" xr:uid="{B32A3042-9A8A-4D72-8E31-3110F454EB04}">
      <text>
        <r>
          <rPr>
            <b/>
            <sz val="9"/>
            <color indexed="81"/>
            <rFont val="Tahoma"/>
            <family val="2"/>
          </rPr>
          <t>Hongyou Lu:</t>
        </r>
        <r>
          <rPr>
            <sz val="9"/>
            <color indexed="81"/>
            <rFont val="Tahoma"/>
            <family val="2"/>
          </rPr>
          <t xml:space="preserve">
Assuming CAPEX decreases by 10% by 2060, due to large scale adoption</t>
        </r>
      </text>
    </comment>
    <comment ref="I36" authorId="0" shapeId="0" xr:uid="{9AE22EC2-A23E-42B4-8B2E-FBC69A3E1AAF}">
      <text>
        <r>
          <rPr>
            <b/>
            <sz val="9"/>
            <color indexed="81"/>
            <rFont val="Tahoma"/>
            <family val="2"/>
          </rPr>
          <t>Hongyou Lu:</t>
        </r>
        <r>
          <rPr>
            <sz val="9"/>
            <color indexed="81"/>
            <rFont val="Tahoma"/>
            <family val="2"/>
          </rPr>
          <t xml:space="preserve">
Based on reported clinker capacity 1840 million tonnes in 2022 (http://www.cbminfo.com/BMI/jclhh/_470905/7193696/index.html)</t>
        </r>
      </text>
    </comment>
    <comment ref="F42" authorId="0" shapeId="0" xr:uid="{7830EA89-F142-4DCB-B050-B93953795414}">
      <text>
        <r>
          <rPr>
            <b/>
            <sz val="9"/>
            <color indexed="81"/>
            <rFont val="Tahoma"/>
            <family val="2"/>
          </rPr>
          <t>Hongyou Lu:</t>
        </r>
        <r>
          <rPr>
            <sz val="9"/>
            <color indexed="81"/>
            <rFont val="Tahoma"/>
            <family val="2"/>
          </rPr>
          <t xml:space="preserve">
based on DOE Cement Liftoff Report</t>
        </r>
      </text>
    </comment>
    <comment ref="J42" authorId="0" shapeId="0" xr:uid="{DAB2D130-5E71-4062-B97A-2A44D460E5A9}">
      <text>
        <r>
          <rPr>
            <b/>
            <sz val="9"/>
            <color indexed="81"/>
            <rFont val="Tahoma"/>
            <family val="2"/>
          </rPr>
          <t>Hongyou Lu:</t>
        </r>
        <r>
          <rPr>
            <sz val="9"/>
            <color indexed="81"/>
            <rFont val="Tahoma"/>
            <family val="2"/>
          </rPr>
          <t xml:space="preserve">
based on DOE Cement Liftoff Report</t>
        </r>
      </text>
    </comment>
    <comment ref="I43" authorId="0" shapeId="0" xr:uid="{15959F2A-C22A-45E2-872B-14A657239A2A}">
      <text>
        <r>
          <rPr>
            <b/>
            <sz val="9"/>
            <color indexed="81"/>
            <rFont val="Tahoma"/>
            <family val="2"/>
          </rPr>
          <t>Hongyou Lu:</t>
        </r>
        <r>
          <rPr>
            <sz val="9"/>
            <color indexed="81"/>
            <rFont val="Tahoma"/>
            <family val="2"/>
          </rPr>
          <t xml:space="preserve">
Additional</t>
        </r>
      </text>
    </comment>
    <comment ref="D45" authorId="0" shapeId="0" xr:uid="{536F719F-1B6F-4EE2-AC34-D2EE801D7119}">
      <text>
        <r>
          <rPr>
            <b/>
            <sz val="9"/>
            <color indexed="81"/>
            <rFont val="Tahoma"/>
            <family val="2"/>
          </rPr>
          <t>Hongyou Lu:</t>
        </r>
        <r>
          <rPr>
            <sz val="9"/>
            <color indexed="81"/>
            <rFont val="Tahoma"/>
            <family val="2"/>
          </rPr>
          <t xml:space="preserve">
Assuming LC3 clinker to cement ratio at 0.5. LC3 adoption rate reaches 20% by 2030; the rest of the cement remains a clinker to cement ratio of 0.66 (2022 avg). By 2030, the clinker to cement ratio nationally declines to 0.6. This is based on our cement modeling results</t>
        </r>
      </text>
    </comment>
    <comment ref="H45" authorId="0" shapeId="0" xr:uid="{8868E370-3D26-404D-8CCC-BECBA39E9B3B}">
      <text>
        <r>
          <rPr>
            <b/>
            <sz val="9"/>
            <color indexed="81"/>
            <rFont val="Tahoma"/>
            <family val="2"/>
          </rPr>
          <t>Hongyou Lu:</t>
        </r>
        <r>
          <rPr>
            <sz val="9"/>
            <color indexed="81"/>
            <rFont val="Tahoma"/>
            <family val="2"/>
          </rPr>
          <t xml:space="preserve">
Assuming LC3 clinker to cement ratio declines to 0.4. The rest of the cement remains a clinker to cement ratio of 0.66 (2022 avg). By 2060, the national avg of the clinker to cement ratio declines to 0.4. This is based on our cement modeling results</t>
        </r>
      </text>
    </comment>
    <comment ref="I45" authorId="0" shapeId="0" xr:uid="{10A35846-A130-4C3B-8F38-3E6EDB3F9A84}">
      <text>
        <r>
          <rPr>
            <b/>
            <sz val="9"/>
            <color indexed="81"/>
            <rFont val="Tahoma"/>
            <family val="2"/>
          </rPr>
          <t>Hongyou Lu:</t>
        </r>
        <r>
          <rPr>
            <sz val="9"/>
            <color indexed="81"/>
            <rFont val="Tahoma"/>
            <family val="2"/>
          </rPr>
          <t xml:space="preserve">
Additional </t>
        </r>
      </text>
    </comment>
    <comment ref="O45" authorId="0" shapeId="0" xr:uid="{030D49F5-B035-4CD6-A50F-7DBA9EE92310}">
      <text>
        <r>
          <rPr>
            <b/>
            <sz val="9"/>
            <color indexed="81"/>
            <rFont val="Tahoma"/>
            <family val="2"/>
          </rPr>
          <t>Hongyou Lu:</t>
        </r>
        <r>
          <rPr>
            <sz val="9"/>
            <color indexed="81"/>
            <rFont val="Tahoma"/>
            <family val="2"/>
          </rPr>
          <t xml:space="preserve">
CAPEX cost declines further due to large scale adoption of calcined clay</t>
        </r>
      </text>
    </comment>
    <comment ref="I48" authorId="0" shapeId="0" xr:uid="{97C64D1B-F877-4232-8BF6-299F8E064959}">
      <text>
        <r>
          <rPr>
            <b/>
            <sz val="9"/>
            <color indexed="81"/>
            <rFont val="Tahoma"/>
            <family val="2"/>
          </rPr>
          <t>Hongyou Lu:</t>
        </r>
        <r>
          <rPr>
            <sz val="9"/>
            <color indexed="81"/>
            <rFont val="Tahoma"/>
            <family val="2"/>
          </rPr>
          <t xml:space="preserve">
cumulative capacity impact by 2060</t>
        </r>
      </text>
    </comment>
    <comment ref="N48" authorId="0" shapeId="0" xr:uid="{2FF6D952-52BD-435B-85B5-D12DB1BCB918}">
      <text>
        <r>
          <rPr>
            <b/>
            <sz val="9"/>
            <color indexed="81"/>
            <rFont val="Tahoma"/>
            <family val="2"/>
          </rPr>
          <t>Hongyou Lu:</t>
        </r>
        <r>
          <rPr>
            <sz val="9"/>
            <color indexed="81"/>
            <rFont val="Tahoma"/>
            <family val="2"/>
          </rPr>
          <t xml:space="preserve">
Compared to ETP, assume that CEP scenario will have lower CAPEX for alternative fuels due to larger adoption and scaling up</t>
        </r>
      </text>
    </comment>
    <comment ref="O50" authorId="0" shapeId="0" xr:uid="{99237D4D-9EF5-4668-84AC-70146733B596}">
      <text>
        <r>
          <rPr>
            <b/>
            <sz val="9"/>
            <color indexed="81"/>
            <rFont val="Tahoma"/>
            <family val="2"/>
          </rPr>
          <t>Hongyou Lu:</t>
        </r>
        <r>
          <rPr>
            <sz val="9"/>
            <color indexed="81"/>
            <rFont val="Tahoma"/>
            <family val="2"/>
          </rPr>
          <t xml:space="preserve">
increased the per unit cost of H2 injection, due to increased H2 injection rate (15% to 35%)</t>
        </r>
      </text>
    </comment>
    <comment ref="I52" authorId="0" shapeId="0" xr:uid="{79C222C1-472F-4314-A4E0-ACA479A88C1D}">
      <text>
        <r>
          <rPr>
            <b/>
            <sz val="9"/>
            <color indexed="81"/>
            <rFont val="Tahoma"/>
            <family val="2"/>
          </rPr>
          <t>Hongyou Lu:</t>
        </r>
        <r>
          <rPr>
            <sz val="9"/>
            <color indexed="81"/>
            <rFont val="Tahoma"/>
            <family val="2"/>
          </rPr>
          <t xml:space="preserve">
accumulative</t>
        </r>
      </text>
    </comment>
    <comment ref="I53" authorId="0" shapeId="0" xr:uid="{79DC794B-664A-4E5E-B0F9-E9DFF62E0C03}">
      <text>
        <r>
          <rPr>
            <b/>
            <sz val="9"/>
            <color indexed="81"/>
            <rFont val="Tahoma"/>
            <family val="2"/>
          </rPr>
          <t>Hongyou Lu:</t>
        </r>
        <r>
          <rPr>
            <sz val="9"/>
            <color indexed="81"/>
            <rFont val="Tahoma"/>
            <family val="2"/>
          </rPr>
          <t xml:space="preserve">
accumulative</t>
        </r>
      </text>
    </comment>
    <comment ref="H58" authorId="0" shapeId="0" xr:uid="{3C9F7F94-51BA-418D-A678-628E5A21D8D2}">
      <text>
        <r>
          <rPr>
            <b/>
            <sz val="9"/>
            <color indexed="81"/>
            <rFont val="Tahoma"/>
            <family val="2"/>
          </rPr>
          <t>Hongyou Lu:</t>
        </r>
        <r>
          <rPr>
            <sz val="9"/>
            <color indexed="81"/>
            <rFont val="Tahoma"/>
            <family val="2"/>
          </rPr>
          <t xml:space="preserve">
76% utilization rate (same as Row37-39)</t>
        </r>
      </text>
    </comment>
    <comment ref="I58" authorId="0" shapeId="0" xr:uid="{F82B4E76-E7F8-4D24-8774-92DBBEA7C63C}">
      <text>
        <r>
          <rPr>
            <b/>
            <sz val="9"/>
            <color indexed="81"/>
            <rFont val="Tahoma"/>
            <family val="2"/>
          </rPr>
          <t>Hongyou Lu:</t>
        </r>
        <r>
          <rPr>
            <sz val="9"/>
            <color indexed="81"/>
            <rFont val="Tahoma"/>
            <family val="2"/>
          </rPr>
          <t xml:space="preserve">
76% utilization rate (same as Row37-39)</t>
        </r>
      </text>
    </comment>
    <comment ref="A67" authorId="0" shapeId="0" xr:uid="{A6A0A04E-9747-42CA-B7AB-C0D19A0D34B3}">
      <text>
        <r>
          <rPr>
            <b/>
            <sz val="9"/>
            <color indexed="81"/>
            <rFont val="Tahoma"/>
            <family val="2"/>
          </rPr>
          <t>Hongyou Lu:</t>
        </r>
        <r>
          <rPr>
            <sz val="9"/>
            <color indexed="81"/>
            <rFont val="Tahoma"/>
            <family val="2"/>
          </rPr>
          <t xml:space="preserve">
I am not sure why this one is more expensive than the kiln</t>
        </r>
      </text>
    </comment>
    <comment ref="B75" authorId="0" shapeId="0" xr:uid="{8365A05C-8524-402C-BE3C-55567D11443F}">
      <text>
        <r>
          <rPr>
            <b/>
            <sz val="9"/>
            <color indexed="81"/>
            <rFont val="Tahoma"/>
            <family val="2"/>
          </rPr>
          <t>Hongyou Lu:</t>
        </r>
        <r>
          <rPr>
            <sz val="9"/>
            <color indexed="81"/>
            <rFont val="Tahoma"/>
            <family val="2"/>
          </rPr>
          <t xml:space="preserve">
DOE cited NETL study, which shows 544 million CAPEX for a 1.5 million tonne capacity plant</t>
        </r>
      </text>
    </comment>
    <comment ref="G167" authorId="0" shapeId="0" xr:uid="{21915AF5-35CE-48D0-B8F7-D752ABC17432}">
      <text>
        <r>
          <rPr>
            <b/>
            <sz val="9"/>
            <color indexed="81"/>
            <rFont val="Tahoma"/>
            <family val="2"/>
          </rPr>
          <t>Hongyou Lu:</t>
        </r>
        <r>
          <rPr>
            <sz val="9"/>
            <color indexed="81"/>
            <rFont val="Tahoma"/>
            <family val="2"/>
          </rPr>
          <t xml:space="preserve">
from China Cement Roadmap (LBNL)</t>
        </r>
      </text>
    </comment>
    <comment ref="G216" authorId="0" shapeId="0" xr:uid="{2D1905B4-6567-41BE-838F-5DEA018FC818}">
      <text>
        <r>
          <rPr>
            <b/>
            <sz val="9"/>
            <color indexed="81"/>
            <rFont val="Tahoma"/>
            <family val="2"/>
          </rPr>
          <t>Hongyou Lu:</t>
        </r>
        <r>
          <rPr>
            <sz val="9"/>
            <color indexed="81"/>
            <rFont val="Tahoma"/>
            <family val="2"/>
          </rPr>
          <t xml:space="preserve">
from China Cement Roadmap (LBNL)</t>
        </r>
      </text>
    </comment>
    <comment ref="F231" authorId="0" shapeId="0" xr:uid="{472B3A64-9A9B-4CDF-9AAE-683D1D00D816}">
      <text>
        <r>
          <rPr>
            <b/>
            <sz val="9"/>
            <color indexed="81"/>
            <rFont val="Tahoma"/>
            <family val="2"/>
          </rPr>
          <t>Hongyou Lu:</t>
        </r>
        <r>
          <rPr>
            <sz val="9"/>
            <color indexed="81"/>
            <rFont val="Tahoma"/>
            <family val="2"/>
          </rPr>
          <t xml:space="preserve">
from Indonesia Cement Roadmap (LBNL)</t>
        </r>
      </text>
    </comment>
    <comment ref="F242" authorId="0" shapeId="0" xr:uid="{73F6D3E6-8CF1-4D53-8394-6C9A370C2C76}">
      <text>
        <r>
          <rPr>
            <b/>
            <sz val="9"/>
            <color indexed="81"/>
            <rFont val="Tahoma"/>
            <family val="2"/>
          </rPr>
          <t>Hongyou Lu:</t>
        </r>
        <r>
          <rPr>
            <sz val="9"/>
            <color indexed="81"/>
            <rFont val="Tahoma"/>
            <family val="2"/>
          </rPr>
          <t xml:space="preserve">
from Indonesia Cement Roadmap (LBNL)</t>
        </r>
      </text>
    </comment>
    <comment ref="F280" authorId="0" shapeId="0" xr:uid="{49161F93-D009-4ECC-83F3-96D4DC10A59E}">
      <text>
        <r>
          <rPr>
            <b/>
            <sz val="9"/>
            <color indexed="81"/>
            <rFont val="Tahoma"/>
            <family val="2"/>
          </rPr>
          <t>Hongyou Lu:</t>
        </r>
        <r>
          <rPr>
            <sz val="9"/>
            <color indexed="81"/>
            <rFont val="Tahoma"/>
            <family val="2"/>
          </rPr>
          <t xml:space="preserve">
from China Cement Roadmap (LBNL)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C17" authorId="0" shapeId="0" xr:uid="{93163912-2D22-4449-BA23-DDD865F03553}">
      <text>
        <r>
          <rPr>
            <b/>
            <sz val="9"/>
            <color indexed="81"/>
            <rFont val="Tahoma"/>
            <family val="2"/>
          </rPr>
          <t>Hongyou Lu:</t>
        </r>
        <r>
          <rPr>
            <sz val="9"/>
            <color indexed="81"/>
            <rFont val="Tahoma"/>
            <family val="2"/>
          </rPr>
          <t xml:space="preserve">
internal assumption</t>
        </r>
      </text>
    </comment>
    <comment ref="D17" authorId="0" shapeId="0" xr:uid="{A6D6B96E-070E-41F7-8274-8C20DD1E785D}">
      <text>
        <r>
          <rPr>
            <b/>
            <sz val="9"/>
            <color indexed="81"/>
            <rFont val="Tahoma"/>
            <family val="2"/>
          </rPr>
          <t>Hongyou Lu:</t>
        </r>
        <r>
          <rPr>
            <sz val="9"/>
            <color indexed="81"/>
            <rFont val="Tahoma"/>
            <family val="2"/>
          </rPr>
          <t xml:space="preserve">
internal assumption</t>
        </r>
      </text>
    </comment>
    <comment ref="C18" authorId="0" shapeId="0" xr:uid="{C8032B3A-2759-496A-8ED3-240ABDCFB380}">
      <text>
        <r>
          <rPr>
            <b/>
            <sz val="9"/>
            <color indexed="81"/>
            <rFont val="Tahoma"/>
            <family val="2"/>
          </rPr>
          <t>Hongyou Lu:</t>
        </r>
        <r>
          <rPr>
            <sz val="9"/>
            <color indexed="81"/>
            <rFont val="Tahoma"/>
            <family val="2"/>
          </rPr>
          <t xml:space="preserve">
internal assumption</t>
        </r>
      </text>
    </comment>
    <comment ref="D18" authorId="0" shapeId="0" xr:uid="{F81BD005-E07D-4560-91B1-888ED87F4C08}">
      <text>
        <r>
          <rPr>
            <b/>
            <sz val="9"/>
            <color indexed="81"/>
            <rFont val="Tahoma"/>
            <family val="2"/>
          </rPr>
          <t>Hongyou Lu:</t>
        </r>
        <r>
          <rPr>
            <sz val="9"/>
            <color indexed="81"/>
            <rFont val="Tahoma"/>
            <family val="2"/>
          </rPr>
          <t xml:space="preserve">
Internal assumption</t>
        </r>
      </text>
    </comment>
    <comment ref="B19" authorId="0" shapeId="0" xr:uid="{AEC8CC76-2993-4C10-A4EF-ECA5F81574B2}">
      <text>
        <r>
          <rPr>
            <b/>
            <sz val="9"/>
            <color indexed="81"/>
            <rFont val="Tahoma"/>
            <family val="2"/>
          </rPr>
          <t>Hongyou Lu:</t>
        </r>
        <r>
          <rPr>
            <sz val="9"/>
            <color indexed="81"/>
            <rFont val="Tahoma"/>
            <family val="2"/>
          </rPr>
          <t xml:space="preserve">
Government goal: 到2030年，能效基准水平和标杆水平进一步提高，达到标杆水平企业比例大幅提升，行业整体能效水平和碳排放强度达到国际先进水平，为如期实现碳达峰目标提供有力支撑。
The %s are my estimates</t>
        </r>
      </text>
    </comment>
    <comment ref="B28" authorId="0" shapeId="0" xr:uid="{7FE0D595-20A4-48C0-9DFA-3CE1100491F6}">
      <text>
        <r>
          <rPr>
            <b/>
            <sz val="9"/>
            <color indexed="81"/>
            <rFont val="Tahoma"/>
            <family val="2"/>
          </rPr>
          <t>Hongyou Lu:</t>
        </r>
        <r>
          <rPr>
            <sz val="9"/>
            <color indexed="81"/>
            <rFont val="Tahoma"/>
            <family val="2"/>
          </rPr>
          <t xml:space="preserve">
smaller than 2030 upgraded capacity, so need to invest more in these capacities</t>
        </r>
      </text>
    </comment>
    <comment ref="B35" authorId="0" shapeId="0" xr:uid="{8B499B93-7E34-4606-AE95-4191947182D8}">
      <text>
        <r>
          <rPr>
            <b/>
            <sz val="9"/>
            <color indexed="81"/>
            <rFont val="Tahoma"/>
            <family val="2"/>
          </rPr>
          <t>Hongyou Lu:</t>
        </r>
        <r>
          <rPr>
            <sz val="9"/>
            <color indexed="81"/>
            <rFont val="Tahoma"/>
            <family val="2"/>
          </rPr>
          <t xml:space="preserve">
smaller than 2030 upgraded capacity, so need to invest more in these capacities</t>
        </r>
      </text>
    </comment>
    <comment ref="B43" authorId="0" shapeId="0" xr:uid="{780BF7D8-6FBB-459C-8BB9-EBECD8CA55D8}">
      <text>
        <r>
          <rPr>
            <b/>
            <sz val="9"/>
            <color indexed="81"/>
            <rFont val="Tahoma"/>
            <family val="2"/>
          </rPr>
          <t>Hongyou Lu:</t>
        </r>
        <r>
          <rPr>
            <sz val="9"/>
            <color indexed="81"/>
            <rFont val="Tahoma"/>
            <family val="2"/>
          </rPr>
          <t xml:space="preserve">
12% of 2030 capacity</t>
        </r>
      </text>
    </comment>
    <comment ref="B52" authorId="0" shapeId="0" xr:uid="{69AD632D-ACE9-49B5-872F-FA50B4E25ACB}">
      <text>
        <r>
          <rPr>
            <b/>
            <sz val="9"/>
            <color indexed="81"/>
            <rFont val="Tahoma"/>
            <family val="2"/>
          </rPr>
          <t>Hongyou Lu:</t>
        </r>
        <r>
          <rPr>
            <sz val="9"/>
            <color indexed="81"/>
            <rFont val="Tahoma"/>
            <family val="2"/>
          </rPr>
          <t xml:space="preserve">
12% of 2030 capacity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I13" authorId="0" shapeId="0" xr:uid="{D3156286-BC53-4059-AA5E-4C7A8969A93C}">
      <text>
        <r>
          <rPr>
            <b/>
            <sz val="9"/>
            <color indexed="81"/>
            <rFont val="Tahoma"/>
            <family val="2"/>
          </rPr>
          <t>Hongyou Lu:</t>
        </r>
        <r>
          <rPr>
            <sz val="9"/>
            <color indexed="81"/>
            <rFont val="Tahoma"/>
            <family val="2"/>
          </rPr>
          <t xml:space="preserve">
Based on reported clinker capacity 79 million tonnes in 2022. Estimated clinker capacity utilization rate of 57%</t>
        </r>
      </text>
    </comment>
    <comment ref="F19" authorId="0" shapeId="0" xr:uid="{86A91917-8B0D-432E-A437-2B0F93D58CA1}">
      <text>
        <r>
          <rPr>
            <b/>
            <sz val="9"/>
            <color indexed="81"/>
            <rFont val="Tahoma"/>
            <family val="2"/>
          </rPr>
          <t>Hongyou Lu:</t>
        </r>
        <r>
          <rPr>
            <sz val="9"/>
            <color indexed="81"/>
            <rFont val="Tahoma"/>
            <family val="2"/>
          </rPr>
          <t xml:space="preserve">
based on DOE Cement Liftoff Report</t>
        </r>
      </text>
    </comment>
    <comment ref="J19" authorId="0" shapeId="0" xr:uid="{354411A9-C246-46D5-B3F2-2D49B4CA3D1F}">
      <text>
        <r>
          <rPr>
            <b/>
            <sz val="9"/>
            <color indexed="81"/>
            <rFont val="Tahoma"/>
            <family val="2"/>
          </rPr>
          <t>Hongyou Lu:</t>
        </r>
        <r>
          <rPr>
            <sz val="9"/>
            <color indexed="81"/>
            <rFont val="Tahoma"/>
            <family val="2"/>
          </rPr>
          <t xml:space="preserve">
based on DOE Cement Liftoff Report</t>
        </r>
      </text>
    </comment>
    <comment ref="R19" authorId="0" shapeId="0" xr:uid="{059F7EB8-7C30-4F29-BA54-34CBC77CF519}">
      <text>
        <r>
          <rPr>
            <b/>
            <sz val="9"/>
            <color indexed="81"/>
            <rFont val="Tahoma"/>
            <family val="2"/>
          </rPr>
          <t>Hongyou Lu:</t>
        </r>
        <r>
          <rPr>
            <sz val="9"/>
            <color indexed="81"/>
            <rFont val="Tahoma"/>
            <family val="2"/>
          </rPr>
          <t xml:space="preserve">
http://www.cbminfo.com/BMI/jclhh/_470905/7193696/index.html</t>
        </r>
      </text>
    </comment>
    <comment ref="I20" authorId="0" shapeId="0" xr:uid="{E3D0943F-5D31-4E86-B7D3-55C8CE7B5807}">
      <text>
        <r>
          <rPr>
            <b/>
            <sz val="9"/>
            <color indexed="81"/>
            <rFont val="Tahoma"/>
            <family val="2"/>
          </rPr>
          <t>Hongyou Lu:</t>
        </r>
        <r>
          <rPr>
            <sz val="9"/>
            <color indexed="81"/>
            <rFont val="Tahoma"/>
            <family val="2"/>
          </rPr>
          <t xml:space="preserve">
Additional capacity impact
</t>
        </r>
      </text>
    </comment>
    <comment ref="N20" authorId="0" shapeId="0" xr:uid="{6E59297B-76EE-453C-9743-5EA76901FA8F}">
      <text>
        <r>
          <rPr>
            <b/>
            <sz val="9"/>
            <color indexed="81"/>
            <rFont val="Tahoma"/>
            <family val="2"/>
          </rPr>
          <t>Hongyou Lu:</t>
        </r>
        <r>
          <rPr>
            <sz val="9"/>
            <color indexed="81"/>
            <rFont val="Tahoma"/>
            <family val="2"/>
          </rPr>
          <t xml:space="preserve">
Large production scale in China --&gt; lower CAPEX</t>
        </r>
      </text>
    </comment>
    <comment ref="D22" authorId="0" shapeId="0" xr:uid="{8EE730BE-2AA7-4DD0-8ADB-4861EF81E60B}">
      <text>
        <r>
          <rPr>
            <b/>
            <sz val="9"/>
            <color indexed="81"/>
            <rFont val="Tahoma"/>
            <family val="2"/>
          </rPr>
          <t>Hongyou Lu:</t>
        </r>
        <r>
          <rPr>
            <sz val="9"/>
            <color indexed="81"/>
            <rFont val="Tahoma"/>
            <family val="2"/>
          </rPr>
          <t xml:space="preserve">
Assuming LC3 clinker to cement ratio at 0.5. LC3 adoption rate reaches 20% by 2030; the rest of the cement remains a clinker to cement ratio of 0.7 (2022 avg). By 2030, the clinker to cement ratio nationally declines to 0.65. This is based on our cement modeling results</t>
        </r>
      </text>
    </comment>
    <comment ref="H22" authorId="0" shapeId="0" xr:uid="{EDC121B1-C793-4692-B108-F94C10B1A882}">
      <text>
        <r>
          <rPr>
            <b/>
            <sz val="9"/>
            <color indexed="81"/>
            <rFont val="Tahoma"/>
            <family val="2"/>
          </rPr>
          <t>Hongyou Lu:</t>
        </r>
        <r>
          <rPr>
            <sz val="9"/>
            <color indexed="81"/>
            <rFont val="Tahoma"/>
            <family val="2"/>
          </rPr>
          <t xml:space="preserve">
Assuming LC3 clinker to cement ratio at 0.4 by 2060. The rest of the cement remains a clinker to cement ratio of 0.7 (2022 avg). By 2060, the national avg of the clinker to cement ratio declines to 0.5. This is based on our cement modeling results</t>
        </r>
      </text>
    </comment>
    <comment ref="I22" authorId="0" shapeId="0" xr:uid="{809E811C-A621-4D95-90DA-7BAF3D873C3C}">
      <text>
        <r>
          <rPr>
            <b/>
            <sz val="9"/>
            <color indexed="81"/>
            <rFont val="Tahoma"/>
            <family val="2"/>
          </rPr>
          <t>Hongyou Lu:</t>
        </r>
        <r>
          <rPr>
            <sz val="9"/>
            <color indexed="81"/>
            <rFont val="Tahoma"/>
            <family val="2"/>
          </rPr>
          <t xml:space="preserve">
Additional capacity impact</t>
        </r>
      </text>
    </comment>
    <comment ref="R23" authorId="0" shapeId="0" xr:uid="{FCB5E13B-2CB3-4B8D-BC55-01B14CC0DAB4}">
      <text>
        <r>
          <rPr>
            <b/>
            <sz val="9"/>
            <color indexed="81"/>
            <rFont val="Tahoma"/>
            <family val="2"/>
          </rPr>
          <t>Hongyou Lu:</t>
        </r>
        <r>
          <rPr>
            <sz val="9"/>
            <color indexed="81"/>
            <rFont val="Tahoma"/>
            <family val="2"/>
          </rPr>
          <t xml:space="preserve">
avg of 8-22 kWh/t clinker
</t>
        </r>
      </text>
    </comment>
    <comment ref="I25" authorId="0" shapeId="0" xr:uid="{1575563D-E56B-4386-9233-27FB52854BBC}">
      <text>
        <r>
          <rPr>
            <b/>
            <sz val="9"/>
            <color indexed="81"/>
            <rFont val="Tahoma"/>
            <family val="2"/>
          </rPr>
          <t>Hongyou Lu:</t>
        </r>
        <r>
          <rPr>
            <sz val="9"/>
            <color indexed="81"/>
            <rFont val="Tahoma"/>
            <family val="2"/>
          </rPr>
          <t xml:space="preserve">
cumulative capacity impact by 2060</t>
        </r>
      </text>
    </comment>
    <comment ref="S26" authorId="0" shapeId="0" xr:uid="{2CF9B370-EEB8-4BAF-AB5F-B5B83C9CD88E}">
      <text>
        <r>
          <rPr>
            <b/>
            <sz val="9"/>
            <color indexed="81"/>
            <rFont val="Tahoma"/>
            <family val="2"/>
          </rPr>
          <t>Hongyou Lu:</t>
        </r>
        <r>
          <rPr>
            <sz val="9"/>
            <color indexed="81"/>
            <rFont val="Tahoma"/>
            <family val="2"/>
          </rPr>
          <t xml:space="preserve">
weighted average based on adoption rates</t>
        </r>
      </text>
    </comment>
    <comment ref="O27" authorId="0" shapeId="0" xr:uid="{88067F89-12C1-42A7-9DFE-95188392C27E}">
      <text>
        <r>
          <rPr>
            <b/>
            <sz val="9"/>
            <color indexed="81"/>
            <rFont val="Tahoma"/>
            <family val="2"/>
          </rPr>
          <t>Hongyou Lu:</t>
        </r>
        <r>
          <rPr>
            <sz val="9"/>
            <color indexed="81"/>
            <rFont val="Tahoma"/>
            <family val="2"/>
          </rPr>
          <t xml:space="preserve">
doubled the cost given we are substituting 15% of H2 (rather than 10%)</t>
        </r>
      </text>
    </comment>
    <comment ref="I29" authorId="0" shapeId="0" xr:uid="{21B8CBF1-D883-491A-B683-520D9ECE74ED}">
      <text>
        <r>
          <rPr>
            <b/>
            <sz val="9"/>
            <color indexed="81"/>
            <rFont val="Tahoma"/>
            <family val="2"/>
          </rPr>
          <t>Hongyou Lu:</t>
        </r>
        <r>
          <rPr>
            <sz val="9"/>
            <color indexed="81"/>
            <rFont val="Tahoma"/>
            <family val="2"/>
          </rPr>
          <t xml:space="preserve">
accumulative</t>
        </r>
      </text>
    </comment>
    <comment ref="I30" authorId="0" shapeId="0" xr:uid="{E2411588-21DA-4E01-83A1-51B10DA3415C}">
      <text>
        <r>
          <rPr>
            <b/>
            <sz val="9"/>
            <color indexed="81"/>
            <rFont val="Tahoma"/>
            <family val="2"/>
          </rPr>
          <t>Hongyou Lu:</t>
        </r>
        <r>
          <rPr>
            <sz val="9"/>
            <color indexed="81"/>
            <rFont val="Tahoma"/>
            <family val="2"/>
          </rPr>
          <t xml:space="preserve">
accumulative</t>
        </r>
      </text>
    </comment>
    <comment ref="O31" authorId="0" shapeId="0" xr:uid="{978369C8-5DC5-410D-A7D2-52F57F059D11}">
      <text>
        <r>
          <rPr>
            <b/>
            <sz val="9"/>
            <color indexed="81"/>
            <rFont val="Tahoma"/>
            <family val="2"/>
          </rPr>
          <t>Hongyou Lu:</t>
        </r>
        <r>
          <rPr>
            <sz val="9"/>
            <color indexed="81"/>
            <rFont val="Tahoma"/>
            <family val="2"/>
          </rPr>
          <t xml:space="preserve">
Assuming CAPEX decreases by 10% by 2060, due to large scale adoption</t>
        </r>
      </text>
    </comment>
    <comment ref="H36" authorId="0" shapeId="0" xr:uid="{D96BD58C-BDC3-4EED-87FB-0BAC83FCEA9F}">
      <text>
        <r>
          <rPr>
            <b/>
            <sz val="9"/>
            <color indexed="81"/>
            <rFont val="Tahoma"/>
            <family val="2"/>
          </rPr>
          <t>Hongyou Lu:</t>
        </r>
        <r>
          <rPr>
            <sz val="9"/>
            <color indexed="81"/>
            <rFont val="Tahoma"/>
            <family val="2"/>
          </rPr>
          <t xml:space="preserve">
60% utilization rate </t>
        </r>
      </text>
    </comment>
    <comment ref="I36" authorId="0" shapeId="0" xr:uid="{2AAA2180-08A4-4E47-90D3-6FD50E09F61E}">
      <text>
        <r>
          <rPr>
            <b/>
            <sz val="9"/>
            <color indexed="81"/>
            <rFont val="Tahoma"/>
            <family val="2"/>
          </rPr>
          <t>Hongyou Lu:</t>
        </r>
        <r>
          <rPr>
            <sz val="9"/>
            <color indexed="81"/>
            <rFont val="Tahoma"/>
            <family val="2"/>
          </rPr>
          <t xml:space="preserve">
60% utilization rate </t>
        </r>
      </text>
    </comment>
    <comment ref="A44" authorId="0" shapeId="0" xr:uid="{D22D2ECB-6A91-4B1A-8127-0FC5A3B89C3E}">
      <text>
        <r>
          <rPr>
            <b/>
            <sz val="9"/>
            <color indexed="81"/>
            <rFont val="Tahoma"/>
            <family val="2"/>
          </rPr>
          <t>Hongyou Lu:</t>
        </r>
        <r>
          <rPr>
            <sz val="9"/>
            <color indexed="81"/>
            <rFont val="Tahoma"/>
            <family val="2"/>
          </rPr>
          <t xml:space="preserve">
I am not sure why this one is more expensive than the kiln</t>
        </r>
      </text>
    </comment>
    <comment ref="B52" authorId="0" shapeId="0" xr:uid="{5A8E5161-2B7E-42B8-A937-649FB397C401}">
      <text>
        <r>
          <rPr>
            <b/>
            <sz val="9"/>
            <color indexed="81"/>
            <rFont val="Tahoma"/>
            <family val="2"/>
          </rPr>
          <t>Hongyou Lu:</t>
        </r>
        <r>
          <rPr>
            <sz val="9"/>
            <color indexed="81"/>
            <rFont val="Tahoma"/>
            <family val="2"/>
          </rPr>
          <t xml:space="preserve">
DOE cited NETL study, which shows 544 million CAPEX for a 1.5 million tonne capacity plant</t>
        </r>
      </text>
    </comment>
    <comment ref="G115" authorId="0" shapeId="0" xr:uid="{5E7E99B5-BBD4-4F74-8B0C-1C904FCC88A4}">
      <text>
        <r>
          <rPr>
            <b/>
            <sz val="9"/>
            <color indexed="81"/>
            <rFont val="Tahoma"/>
            <family val="2"/>
          </rPr>
          <t>Hongyou Lu:</t>
        </r>
        <r>
          <rPr>
            <sz val="9"/>
            <color indexed="81"/>
            <rFont val="Tahoma"/>
            <family val="2"/>
          </rPr>
          <t xml:space="preserve">
from Indonesia Cement Roadmap (LBNL)</t>
        </r>
      </text>
    </comment>
    <comment ref="G167" authorId="0" shapeId="0" xr:uid="{166FEF75-B0DC-44B3-8328-FB45A7FFE94D}">
      <text>
        <r>
          <rPr>
            <b/>
            <sz val="9"/>
            <color indexed="81"/>
            <rFont val="Tahoma"/>
            <family val="2"/>
          </rPr>
          <t>Hongyou Lu:</t>
        </r>
        <r>
          <rPr>
            <sz val="9"/>
            <color indexed="81"/>
            <rFont val="Tahoma"/>
            <family val="2"/>
          </rPr>
          <t xml:space="preserve">
from Indonesia Cement Roadmap (LBNL)</t>
        </r>
      </text>
    </comment>
    <comment ref="G178" authorId="0" shapeId="0" xr:uid="{E233DA62-58EE-48C9-895E-177FB8FF0F24}">
      <text>
        <r>
          <rPr>
            <b/>
            <sz val="9"/>
            <color indexed="81"/>
            <rFont val="Tahoma"/>
            <family val="2"/>
          </rPr>
          <t>Hongyou Lu:</t>
        </r>
        <r>
          <rPr>
            <sz val="9"/>
            <color indexed="81"/>
            <rFont val="Tahoma"/>
            <family val="2"/>
          </rPr>
          <t xml:space="preserve">
from Indonesia Cement Roadmap (LBNL)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E13" authorId="0" shapeId="0" xr:uid="{0E909187-189B-457D-9853-CCA1AFC52D81}">
      <text>
        <r>
          <rPr>
            <b/>
            <sz val="9"/>
            <color indexed="81"/>
            <rFont val="Tahoma"/>
            <family val="2"/>
          </rPr>
          <t>Hongyou Lu:</t>
        </r>
        <r>
          <rPr>
            <sz val="9"/>
            <color indexed="81"/>
            <rFont val="Tahoma"/>
            <family val="2"/>
          </rPr>
          <t xml:space="preserve">
https://doi.org/10.3390/su16020942</t>
        </r>
      </text>
    </comment>
    <comment ref="I13" authorId="0" shapeId="0" xr:uid="{2D7E08A5-0825-43DE-AC68-DD9C1BD1E676}">
      <text>
        <r>
          <rPr>
            <b/>
            <sz val="9"/>
            <color indexed="81"/>
            <rFont val="Tahoma"/>
            <family val="2"/>
          </rPr>
          <t>Hongyou Lu:</t>
        </r>
        <r>
          <rPr>
            <sz val="9"/>
            <color indexed="81"/>
            <rFont val="Tahoma"/>
            <family val="2"/>
          </rPr>
          <t xml:space="preserve">
Based on reported clinker capacity 110 million tonnes in 2022. Estimated clinker capacity utilization rate of 80%</t>
        </r>
      </text>
    </comment>
    <comment ref="N14" authorId="0" shapeId="0" xr:uid="{32DFDF14-FD9A-4B88-8980-B930B7351287}">
      <text>
        <r>
          <rPr>
            <b/>
            <sz val="9"/>
            <color indexed="81"/>
            <rFont val="Tahoma"/>
            <family val="2"/>
          </rPr>
          <t>Hongyou Lu:</t>
        </r>
        <r>
          <rPr>
            <sz val="9"/>
            <color indexed="81"/>
            <rFont val="Tahoma"/>
            <family val="2"/>
          </rPr>
          <t xml:space="preserve">
https://www.globalcement.com/news/item/18372-vietnamese-cement-surplus-to-remain-in-2025#:~:text=Vietnam%3A%20The%20general%20director%20of,domestic%20demand%20of%2063.5Mt.</t>
        </r>
      </text>
    </comment>
    <comment ref="F19" authorId="0" shapeId="0" xr:uid="{DE6DCD1E-85A7-4211-BFA2-9E2200135AB7}">
      <text>
        <r>
          <rPr>
            <b/>
            <sz val="9"/>
            <color indexed="81"/>
            <rFont val="Tahoma"/>
            <family val="2"/>
          </rPr>
          <t>Hongyou Lu:</t>
        </r>
        <r>
          <rPr>
            <sz val="9"/>
            <color indexed="81"/>
            <rFont val="Tahoma"/>
            <family val="2"/>
          </rPr>
          <t xml:space="preserve">
based on DOE Cement Liftoff Report</t>
        </r>
      </text>
    </comment>
    <comment ref="J19" authorId="0" shapeId="0" xr:uid="{DAAFFC26-7029-45F6-9EAA-55875DE424E9}">
      <text>
        <r>
          <rPr>
            <b/>
            <sz val="9"/>
            <color indexed="81"/>
            <rFont val="Tahoma"/>
            <family val="2"/>
          </rPr>
          <t>Hongyou Lu:</t>
        </r>
        <r>
          <rPr>
            <sz val="9"/>
            <color indexed="81"/>
            <rFont val="Tahoma"/>
            <family val="2"/>
          </rPr>
          <t xml:space="preserve">
based on DOE Cement Liftoff Report</t>
        </r>
      </text>
    </comment>
    <comment ref="R19" authorId="0" shapeId="0" xr:uid="{4C4B7895-80FF-4CC6-B050-3AD1C54ECC25}">
      <text>
        <r>
          <rPr>
            <b/>
            <sz val="9"/>
            <color indexed="81"/>
            <rFont val="Tahoma"/>
            <family val="2"/>
          </rPr>
          <t>Hongyou Lu:</t>
        </r>
        <r>
          <rPr>
            <sz val="9"/>
            <color indexed="81"/>
            <rFont val="Tahoma"/>
            <family val="2"/>
          </rPr>
          <t xml:space="preserve">
http://www.cbminfo.com/BMI/jclhh/_470905/7193696/index.html</t>
        </r>
      </text>
    </comment>
    <comment ref="T19" authorId="0" shapeId="0" xr:uid="{D7F1B23D-E109-48B9-87C5-D1C49FD13FB2}">
      <text>
        <r>
          <rPr>
            <b/>
            <sz val="9"/>
            <color indexed="81"/>
            <rFont val="Tahoma"/>
            <family val="2"/>
          </rPr>
          <t>Hongyou Lu:</t>
        </r>
        <r>
          <rPr>
            <sz val="9"/>
            <color indexed="81"/>
            <rFont val="Tahoma"/>
            <family val="2"/>
          </rPr>
          <t xml:space="preserve">
Internal assumption, based on China's goal of 30% of the capaicty reaching Level 1 Energy Intensity by 2030; however, their plan also include measures such as fuel switching, alternative raw materials </t>
        </r>
      </text>
    </comment>
    <comment ref="I20" authorId="0" shapeId="0" xr:uid="{2AD9C9FE-A830-44E7-90A8-23FD4227A29F}">
      <text>
        <r>
          <rPr>
            <b/>
            <sz val="9"/>
            <color indexed="81"/>
            <rFont val="Tahoma"/>
            <family val="2"/>
          </rPr>
          <t>Hongyou Lu:</t>
        </r>
        <r>
          <rPr>
            <sz val="9"/>
            <color indexed="81"/>
            <rFont val="Tahoma"/>
            <family val="2"/>
          </rPr>
          <t xml:space="preserve">
Additional capacity impact
</t>
        </r>
      </text>
    </comment>
    <comment ref="I22" authorId="0" shapeId="0" xr:uid="{1BBF464B-B849-45FA-B9F8-7E5286F2CB22}">
      <text>
        <r>
          <rPr>
            <b/>
            <sz val="9"/>
            <color indexed="81"/>
            <rFont val="Tahoma"/>
            <family val="2"/>
          </rPr>
          <t>Hongyou Lu:</t>
        </r>
        <r>
          <rPr>
            <sz val="9"/>
            <color indexed="81"/>
            <rFont val="Tahoma"/>
            <family val="2"/>
          </rPr>
          <t xml:space="preserve">
Additional capacity impact</t>
        </r>
      </text>
    </comment>
    <comment ref="D25" authorId="0" shapeId="0" xr:uid="{ADEE5869-ECEC-4C3D-A761-52E5C810C289}">
      <text>
        <r>
          <rPr>
            <b/>
            <sz val="9"/>
            <color indexed="81"/>
            <rFont val="Tahoma"/>
            <family val="2"/>
          </rPr>
          <t>Hongyou Lu:</t>
        </r>
        <r>
          <rPr>
            <sz val="9"/>
            <color indexed="81"/>
            <rFont val="Tahoma"/>
            <family val="2"/>
          </rPr>
          <t xml:space="preserve">
Source: https://ipen.org/sites/default/files/documents/summary_plastic_wates_cgfed_final_nov18.pdf 
The Government of Viet Nam sets objectives of using alternative fuels
in the clinker manufacturing process at 15% and 30% in 2030 and 2050 respectively. </t>
        </r>
      </text>
    </comment>
    <comment ref="H25" authorId="0" shapeId="0" xr:uid="{0D46AAF1-3D0F-4012-B5D9-544E743152B0}">
      <text>
        <r>
          <rPr>
            <b/>
            <sz val="9"/>
            <color indexed="81"/>
            <rFont val="Tahoma"/>
            <family val="2"/>
          </rPr>
          <t>Hongyou Lu:</t>
        </r>
        <r>
          <rPr>
            <sz val="9"/>
            <color indexed="81"/>
            <rFont val="Tahoma"/>
            <family val="2"/>
          </rPr>
          <t xml:space="preserve">
Source: https://ipen.org/sites/default/files/documents/summary_plastic_wates_cgfed_final_nov18.pdf 
The Government of Viet Nam sets objectives of using alternative fuels
in the clinker manufacturing process at 15% and 30% in 2030 and 2050 respectively. </t>
        </r>
      </text>
    </comment>
    <comment ref="I25" authorId="0" shapeId="0" xr:uid="{A0633F52-2ACD-4FE7-B125-DAF9C5450427}">
      <text>
        <r>
          <rPr>
            <b/>
            <sz val="9"/>
            <color indexed="81"/>
            <rFont val="Tahoma"/>
            <family val="2"/>
          </rPr>
          <t>Hongyou Lu:</t>
        </r>
        <r>
          <rPr>
            <sz val="9"/>
            <color indexed="81"/>
            <rFont val="Tahoma"/>
            <family val="2"/>
          </rPr>
          <t xml:space="preserve">
cumulative capacity impact by 2050</t>
        </r>
      </text>
    </comment>
    <comment ref="O27" authorId="0" shapeId="0" xr:uid="{6392911A-2E50-4828-934E-C2DDA3AE4AFC}">
      <text>
        <r>
          <rPr>
            <b/>
            <sz val="9"/>
            <color indexed="81"/>
            <rFont val="Tahoma"/>
            <family val="2"/>
          </rPr>
          <t>Hongyou Lu:</t>
        </r>
        <r>
          <rPr>
            <sz val="9"/>
            <color indexed="81"/>
            <rFont val="Tahoma"/>
            <family val="2"/>
          </rPr>
          <t xml:space="preserve">
doubled the cost given we are substituting 15% of H2 (rather than 10%)</t>
        </r>
      </text>
    </comment>
    <comment ref="I29" authorId="0" shapeId="0" xr:uid="{CC4FFBB7-7189-462B-8B2E-BD87B320D9DE}">
      <text>
        <r>
          <rPr>
            <b/>
            <sz val="9"/>
            <color indexed="81"/>
            <rFont val="Tahoma"/>
            <family val="2"/>
          </rPr>
          <t>Hongyou Lu:</t>
        </r>
        <r>
          <rPr>
            <sz val="9"/>
            <color indexed="81"/>
            <rFont val="Tahoma"/>
            <family val="2"/>
          </rPr>
          <t xml:space="preserve">
accumulative</t>
        </r>
      </text>
    </comment>
    <comment ref="I30" authorId="0" shapeId="0" xr:uid="{2DC54148-0235-4D98-93A9-142D2F9CF7C0}">
      <text>
        <r>
          <rPr>
            <b/>
            <sz val="9"/>
            <color indexed="81"/>
            <rFont val="Tahoma"/>
            <family val="2"/>
          </rPr>
          <t>Hongyou Lu:</t>
        </r>
        <r>
          <rPr>
            <sz val="9"/>
            <color indexed="81"/>
            <rFont val="Tahoma"/>
            <family val="2"/>
          </rPr>
          <t xml:space="preserve">
accumulative</t>
        </r>
      </text>
    </comment>
    <comment ref="O31" authorId="0" shapeId="0" xr:uid="{B27AFBEA-7499-457F-8D0F-A26E7C6FC340}">
      <text>
        <r>
          <rPr>
            <b/>
            <sz val="9"/>
            <color indexed="81"/>
            <rFont val="Tahoma"/>
            <family val="2"/>
          </rPr>
          <t>Hongyou Lu:</t>
        </r>
        <r>
          <rPr>
            <sz val="9"/>
            <color indexed="81"/>
            <rFont val="Tahoma"/>
            <family val="2"/>
          </rPr>
          <t xml:space="preserve">
Assuming CAPEX decreases by 10% by 2060, due to large scale adoption</t>
        </r>
      </text>
    </comment>
    <comment ref="H36" authorId="0" shapeId="0" xr:uid="{9759AC9C-591D-45D5-A839-336EDC2BCD2C}">
      <text>
        <r>
          <rPr>
            <b/>
            <sz val="9"/>
            <color indexed="81"/>
            <rFont val="Tahoma"/>
            <family val="2"/>
          </rPr>
          <t>Hongyou Lu:</t>
        </r>
        <r>
          <rPr>
            <sz val="9"/>
            <color indexed="81"/>
            <rFont val="Tahoma"/>
            <family val="2"/>
          </rPr>
          <t xml:space="preserve">
60% utilization rate </t>
        </r>
      </text>
    </comment>
    <comment ref="I36" authorId="0" shapeId="0" xr:uid="{5BB2FD1C-56AB-416D-8146-CC9941178821}">
      <text>
        <r>
          <rPr>
            <b/>
            <sz val="9"/>
            <color indexed="81"/>
            <rFont val="Tahoma"/>
            <family val="2"/>
          </rPr>
          <t>Hongyou Lu:</t>
        </r>
        <r>
          <rPr>
            <sz val="9"/>
            <color indexed="81"/>
            <rFont val="Tahoma"/>
            <family val="2"/>
          </rPr>
          <t xml:space="preserve">
60% utilization rate </t>
        </r>
      </text>
    </comment>
    <comment ref="A44" authorId="0" shapeId="0" xr:uid="{2540EC56-9749-4960-AD00-BBF085546DAB}">
      <text>
        <r>
          <rPr>
            <b/>
            <sz val="9"/>
            <color indexed="81"/>
            <rFont val="Tahoma"/>
            <family val="2"/>
          </rPr>
          <t>Hongyou Lu:</t>
        </r>
        <r>
          <rPr>
            <sz val="9"/>
            <color indexed="81"/>
            <rFont val="Tahoma"/>
            <family val="2"/>
          </rPr>
          <t xml:space="preserve">
I am not sure why this one is more expensive than the kiln</t>
        </r>
      </text>
    </comment>
    <comment ref="B52" authorId="0" shapeId="0" xr:uid="{CB47C210-9DE4-4C21-A1CB-845D0A8B5675}">
      <text>
        <r>
          <rPr>
            <b/>
            <sz val="9"/>
            <color indexed="81"/>
            <rFont val="Tahoma"/>
            <family val="2"/>
          </rPr>
          <t>Hongyou Lu:</t>
        </r>
        <r>
          <rPr>
            <sz val="9"/>
            <color indexed="81"/>
            <rFont val="Tahoma"/>
            <family val="2"/>
          </rPr>
          <t xml:space="preserve">
DOE cited NETL study, which shows 544 million CAPEX for a 1.5 million tonne capacity plant</t>
        </r>
      </text>
    </comment>
    <comment ref="G115" authorId="0" shapeId="0" xr:uid="{BB568403-27BE-4388-9399-D73DF49FECCD}">
      <text>
        <r>
          <rPr>
            <b/>
            <sz val="9"/>
            <color indexed="81"/>
            <rFont val="Tahoma"/>
            <family val="2"/>
          </rPr>
          <t>Hongyou Lu:</t>
        </r>
        <r>
          <rPr>
            <sz val="9"/>
            <color indexed="81"/>
            <rFont val="Tahoma"/>
            <family val="2"/>
          </rPr>
          <t xml:space="preserve">
scalled using Indonesia data
</t>
        </r>
      </text>
    </comment>
    <comment ref="J135" authorId="0" shapeId="0" xr:uid="{BE30899B-574B-401F-990C-502A05C11916}">
      <text>
        <r>
          <rPr>
            <b/>
            <sz val="9"/>
            <color indexed="81"/>
            <rFont val="Tahoma"/>
            <family val="2"/>
          </rPr>
          <t>Hongyou Lu:</t>
        </r>
        <r>
          <rPr>
            <sz val="9"/>
            <color indexed="81"/>
            <rFont val="Tahoma"/>
            <family val="2"/>
          </rPr>
          <t xml:space="preserve">
Source: https://ipen.org/sites/default/files/documents/summary_plastic_wates_cgfed_final_nov18.pdf 
The Government of Viet Nam sets objectives of using alternative fuels
in the clinker manufacturing process at 15% and 30% in 2030 and 2050 respectively. </t>
        </r>
      </text>
    </comment>
    <comment ref="G167" authorId="0" shapeId="0" xr:uid="{CC86DEFC-47A9-4F33-8B8F-ECD8329745EF}">
      <text>
        <r>
          <rPr>
            <b/>
            <sz val="9"/>
            <color indexed="81"/>
            <rFont val="Tahoma"/>
            <family val="2"/>
          </rPr>
          <t>Hongyou Lu:</t>
        </r>
        <r>
          <rPr>
            <sz val="9"/>
            <color indexed="81"/>
            <rFont val="Tahoma"/>
            <family val="2"/>
          </rPr>
          <t xml:space="preserve">
from Indonesia Cement Roadmap (LBNL)</t>
        </r>
      </text>
    </comment>
    <comment ref="G178" authorId="0" shapeId="0" xr:uid="{F90C5B24-AE21-4D68-B72B-DD15D4BC2667}">
      <text>
        <r>
          <rPr>
            <b/>
            <sz val="9"/>
            <color indexed="81"/>
            <rFont val="Tahoma"/>
            <family val="2"/>
          </rPr>
          <t>Hongyou Lu:</t>
        </r>
        <r>
          <rPr>
            <sz val="9"/>
            <color indexed="81"/>
            <rFont val="Tahoma"/>
            <family val="2"/>
          </rPr>
          <t xml:space="preserve">
from Indonesia Cement Roadmap (LBNL)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tc={7EE8B387-6AC9-49EA-A811-12AE3251BFB9}</author>
    <author>tc={49AD3013-2045-44A4-B71F-C6BABC35F901}</author>
    <author>tc={B8EFEB7E-2BC2-41DA-96DB-A22F30A467A0}</author>
    <author>tc={0608E419-8E55-4BD9-A8CA-7C7DDC90299B}</author>
    <author>tc={1ABAE96B-0841-4048-9D49-3162E8F6E481}</author>
    <author>tc={67B7B9D8-E891-4EDF-87C4-CD68F20B40C9}</author>
    <author>tc={CE0746A3-ED5F-4C0A-9A55-C177867995C8}</author>
    <author>tc={79A942D9-09A3-484E-A17F-361CB9A257B8}</author>
    <author>tc={CD04B647-BE38-4FF8-8EC6-5288939CE626}</author>
    <author>tc={9EB4D21D-A4AA-472F-AA18-4B5678E2D455}</author>
    <author>tc={709336B6-1CA6-42A9-873E-6ED2B56B06A7}</author>
  </authors>
  <commentList>
    <comment ref="H7" authorId="0" shapeId="0" xr:uid="{7EE8B387-6AC9-49EA-A811-12AE3251BFB9}">
      <text>
        <t>[Threaded comment]
Your version of Excel allows you to read this threaded comment; however, any edits to it will get removed if the file is opened in a newer version of Excel. Learn more: https://go.microsoft.com/fwlink/?linkid=870924
Comment:
    Assuming this is fuel switching to natural gas (since H2-DRI-EAF has its own row). Switching from coal to natural gas is not currently a strategy employed in the six-tier scenario because it is aiming at full decarbonization without lock-in of fossil fuel technologies.</t>
      </text>
    </comment>
    <comment ref="H14" authorId="1" shapeId="0" xr:uid="{49AD3013-2045-44A4-B71F-C6BABC35F901}">
      <text>
        <t>[Threaded comment]
Your version of Excel allows you to read this threaded comment; however, any edits to it will get removed if the file is opened in a newer version of Excel. Learn more: https://go.microsoft.com/fwlink/?linkid=870924
Comment:
    Wastes (such as plastics and tires) are not carbon-neutral, and can be more emissions-intensive than some fossil fuels, so we don’t use this strategy in the six-tier scenario.</t>
      </text>
    </comment>
    <comment ref="H15" authorId="2" shapeId="0" xr:uid="{B8EFEB7E-2BC2-41DA-96DB-A22F30A467A0}">
      <text>
        <t>[Threaded comment]
Your version of Excel allows you to read this threaded comment; however, any edits to it will get removed if the file is opened in a newer version of Excel. Learn more: https://go.microsoft.com/fwlink/?linkid=870924
Comment:
    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
      </text>
    </comment>
    <comment ref="H23" authorId="3" shapeId="0" xr:uid="{0608E419-8E55-4BD9-A8CA-7C7DDC90299B}">
      <text>
        <t>[Threaded comment]
Your version of Excel allows you to read this threaded comment; however, any edits to it will get removed if the file is opened in a newer version of Excel. Learn more: https://go.microsoft.com/fwlink/?linkid=870924
Comment:
    Wastes (such as plastics and tires) are not carbon-neutral, and can be more emissions-intensive than some fossil fuels, so we don’t use this strategy in the six-tier scenario.</t>
      </text>
    </comment>
    <comment ref="H24" authorId="4" shapeId="0" xr:uid="{1ABAE96B-0841-4048-9D49-3162E8F6E481}">
      <text>
        <t>[Threaded comment]
Your version of Excel allows you to read this threaded comment; however, any edits to it will get removed if the file is opened in a newer version of Excel. Learn more: https://go.microsoft.com/fwlink/?linkid=870924
Comment:
    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
      </text>
    </comment>
    <comment ref="H35" authorId="5" shapeId="0" xr:uid="{67B7B9D8-E891-4EDF-87C4-CD68F20B40C9}">
      <text>
        <t>[Threaded comment]
Your version of Excel allows you to read this threaded comment; however, any edits to it will get removed if the file is opened in a newer version of Excel. Learn more: https://go.microsoft.com/fwlink/?linkid=870924
Comment:
    Assuming this is fuel switching to natural gas (since H2-DRI-EAF has its own row). Switching from coal to natural gas is not currently a strategy employed in the six-tier scenario because it is aiming at full decarbonization without lock-in of fossil fuel technologies.</t>
      </text>
    </comment>
    <comment ref="H42" authorId="6" shapeId="0" xr:uid="{CE0746A3-ED5F-4C0A-9A55-C177867995C8}">
      <text>
        <t>[Threaded comment]
Your version of Excel allows you to read this threaded comment; however, any edits to it will get removed if the file is opened in a newer version of Excel. Learn more: https://go.microsoft.com/fwlink/?linkid=870924
Comment:
    Wastes (such as plastics and tires) are not carbon-neutral, and can be more emissions-intensive than some fossil fuels, so we don’t use this strategy in the six-tier scenario.</t>
      </text>
    </comment>
    <comment ref="H43" authorId="7" shapeId="0" xr:uid="{79A942D9-09A3-484E-A17F-361CB9A257B8}">
      <text>
        <t>[Threaded comment]
Your version of Excel allows you to read this threaded comment; however, any edits to it will get removed if the file is opened in a newer version of Excel. Learn more: https://go.microsoft.com/fwlink/?linkid=870924
Comment:
    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
      </text>
    </comment>
    <comment ref="H54" authorId="8" shapeId="0" xr:uid="{CD04B647-BE38-4FF8-8EC6-5288939CE626}">
      <text>
        <t>[Threaded comment]
Your version of Excel allows you to read this threaded comment; however, any edits to it will get removed if the file is opened in a newer version of Excel. Learn more: https://go.microsoft.com/fwlink/?linkid=870924
Comment:
    Assuming this is fuel switching to natural gas (since H2-DRI-EAF has its own row). Switching from coal to natural gas is not currently a strategy employed in the six-tier scenario because it is aiming at full decarbonization without lock-in of fossil fuel technologies.</t>
      </text>
    </comment>
    <comment ref="H62" authorId="9" shapeId="0" xr:uid="{9EB4D21D-A4AA-472F-AA18-4B5678E2D455}">
      <text>
        <t>[Threaded comment]
Your version of Excel allows you to read this threaded comment; however, any edits to it will get removed if the file is opened in a newer version of Excel. Learn more: https://go.microsoft.com/fwlink/?linkid=870924
Comment:
    Wastes (such as plastics and tires) are not carbon-neutral, and can be more emissions-intensive than some fossil fuels, so we don’t use this strategy in the six-tier scenario.</t>
      </text>
    </comment>
    <comment ref="H63" authorId="10" shapeId="0" xr:uid="{709336B6-1CA6-42A9-873E-6ED2B56B06A7}">
      <text>
        <t>[Threaded comment]
Your version of Excel allows you to read this threaded comment; however, any edits to it will get removed if the file is opened in a newer version of Excel. Learn more: https://go.microsoft.com/fwlink/?linkid=870924
Comment:
    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C6" authorId="0" shapeId="0" xr:uid="{C7D292C9-1751-42AD-8A65-E179ECC55FCF}">
      <text>
        <r>
          <rPr>
            <b/>
            <sz val="9"/>
            <color indexed="81"/>
            <rFont val="Tahoma"/>
            <family val="2"/>
          </rPr>
          <t>Hongyou Lu:</t>
        </r>
        <r>
          <rPr>
            <sz val="9"/>
            <color indexed="81"/>
            <rFont val="Tahoma"/>
            <family val="2"/>
          </rPr>
          <t xml:space="preserve">
for the whole non-metallic minerals sector</t>
        </r>
      </text>
    </comment>
    <comment ref="C10" authorId="0" shapeId="0" xr:uid="{612A3872-BD91-431E-A885-2B23C0AE284B}">
      <text>
        <r>
          <rPr>
            <b/>
            <sz val="9"/>
            <color indexed="81"/>
            <rFont val="Tahoma"/>
            <family val="2"/>
          </rPr>
          <t>Hongyou Lu:</t>
        </r>
        <r>
          <rPr>
            <sz val="9"/>
            <color indexed="81"/>
            <rFont val="Tahoma"/>
            <family val="2"/>
          </rPr>
          <t xml:space="preserve">
for the whole non-metallic minerals sector</t>
        </r>
      </text>
    </comment>
    <comment ref="C14" authorId="0" shapeId="0" xr:uid="{6A3357C1-8429-44BC-BCEF-12A0B5B9398F}">
      <text>
        <r>
          <rPr>
            <b/>
            <sz val="9"/>
            <color indexed="81"/>
            <rFont val="Tahoma"/>
            <family val="2"/>
          </rPr>
          <t>Hongyou Lu:</t>
        </r>
        <r>
          <rPr>
            <sz val="9"/>
            <color indexed="81"/>
            <rFont val="Tahoma"/>
            <family val="2"/>
          </rPr>
          <t xml:space="preserve">
for the whole non-metallic minerals sector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tc={70AE1264-C2EC-46AC-909D-C13C4630B003}</author>
  </authors>
  <commentList>
    <comment ref="D8" authorId="0" shapeId="0" xr:uid="{70AE1264-C2EC-46AC-909D-C13C4630B003}">
      <text>
        <t>[Threaded comment]
Your version of Excel allows you to read this threaded comment; however, any edits to it will get removed if the file is opened in a newer version of Excel. Learn more: https://go.microsoft.com/fwlink/?linkid=870924
Comment:
    Changed from 1% to 0% so figures add up to 100% (eliminating rounding error)</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tc={E51543BA-479D-4C15-BEA4-E4E2C6D082E4}</author>
    <author>tc={939D89A6-6510-4703-A90B-28938D1A3A26}</author>
    <author>tc={A659BCB2-C6E1-49F7-98A3-5FC62B3BA2F7}</author>
    <author>tc={7C557406-5779-4B1A-AB09-B93B2ECA490A}</author>
  </authors>
  <commentList>
    <comment ref="D7" authorId="0" shapeId="0" xr:uid="{E51543BA-479D-4C15-BEA4-E4E2C6D082E4}">
      <text>
        <t>[Threaded comment]
Your version of Excel allows you to read this threaded comment; however, any edits to it will get removed if the file is opened in a newer version of Excel. Learn more: https://go.microsoft.com/fwlink/?linkid=870924
Comment:
    This represents losses in latent heat in formed water vapor and heat loss through furnace openings and skin. The percentage loss from this source is additive, not multiplicative, with burner efficiency.</t>
      </text>
    </comment>
    <comment ref="D8" authorId="1" shapeId="0" xr:uid="{939D89A6-6510-4703-A90B-28938D1A3A26}">
      <text>
        <t>[Threaded comment]
Your version of Excel allows you to read this threaded comment; however, any edits to it will get removed if the file is opened in a newer version of Excel. Learn more: https://go.microsoft.com/fwlink/?linkid=870924
Comment:
    This represents losses in latent heat in formed water vapor and heat loss through furnace openings and skin. The percentage loss from this source is additive, not multiplicative, with burner efficiency.</t>
      </text>
    </comment>
    <comment ref="E14" authorId="2" shapeId="0" xr:uid="{A659BCB2-C6E1-49F7-98A3-5FC62B3BA2F7}">
      <text>
        <t>[Threaded comment]
Your version of Excel allows you to read this threaded comment; however, any edits to it will get removed if the file is opened in a newer version of Excel. Learn more: https://go.microsoft.com/fwlink/?linkid=870924
Comment:
    Using a 50 °C temperature lift (e.g., from 25 °C to 75 °C)</t>
      </text>
    </comment>
    <comment ref="E15" authorId="3" shapeId="0" xr:uid="{7C557406-5779-4B1A-AB09-B93B2ECA490A}">
      <text>
        <t>[Threaded comment]
Your version of Excel allows you to read this threaded comment; however, any edits to it will get removed if the file is opened in a newer version of Excel. Learn more: https://go.microsoft.com/fwlink/?linkid=870924
Comment:
    Using a 100 °C temperature lift (e.g., from 25 °C to 75 °C)</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tc={2DA524E2-5847-4498-90DF-6BA056EF8D05}</author>
    <author>tc={B5C88A2E-7D6A-447C-9EFD-DAA36AE38861}</author>
    <author>Hongyou Lu</author>
  </authors>
  <commentList>
    <comment ref="G21" authorId="0" shapeId="0" xr:uid="{2DA524E2-5847-4498-90DF-6BA056EF8D05}">
      <text>
        <t>[Threaded comment]
Your version of Excel allows you to read this threaded comment; however, any edits to it will get removed if the file is opened in a newer version of Excel. Learn more: https://go.microsoft.com/fwlink/?linkid=870924
Comment:
    Currently bioenergy prices estimated by setting equal to coal prices.</t>
      </text>
    </comment>
    <comment ref="H23" authorId="1" shapeId="0" xr:uid="{B5C88A2E-7D6A-447C-9EFD-DAA36AE38861}">
      <text>
        <t>[Threaded comment]
Your version of Excel allows you to read this threaded comment; however, any edits to it will get removed if the file is opened in a newer version of Excel. Learn more: https://go.microsoft.com/fwlink/?linkid=870924
Comment:
    We estimate 2050 price of steam from coal by taking the 2021 price of steam from coal and multiplying it by the price ratio of coal in 2050 to coal in 2021. Of course, steam would have to be made from some other fuel in 2050 to meet China’s targets, but predicting the future of the steam system is outside of the industry sector and outside the scope of this report. This price adjustment for 2050 looks reasonable and is in line with the price adjustments for other fuels.</t>
      </text>
    </comment>
    <comment ref="A36" authorId="2" shapeId="0" xr:uid="{4A890CBC-4BD2-4F43-84F8-0F4988D24EC7}">
      <text>
        <r>
          <rPr>
            <b/>
            <sz val="9"/>
            <color indexed="81"/>
            <rFont val="Tahoma"/>
            <family val="2"/>
          </rPr>
          <t>Hongyou Lu:</t>
        </r>
        <r>
          <rPr>
            <sz val="9"/>
            <color indexed="81"/>
            <rFont val="Tahoma"/>
            <family val="2"/>
          </rPr>
          <t xml:space="preserve">
If not specified, prices are for coal-based steam for industrial users</t>
        </r>
      </text>
    </comment>
    <comment ref="C36" authorId="2" shapeId="0" xr:uid="{63AA7F3B-8B7A-4557-9043-19A847FC1D58}">
      <text>
        <r>
          <rPr>
            <b/>
            <sz val="9"/>
            <color indexed="81"/>
            <rFont val="Tahoma"/>
            <family val="2"/>
          </rPr>
          <t>Hongyou Lu:</t>
        </r>
        <r>
          <rPr>
            <sz val="9"/>
            <color indexed="81"/>
            <rFont val="Tahoma"/>
            <family val="2"/>
          </rPr>
          <t xml:space="preserve">
prices vary by sale volume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tc={87CE51C5-8261-4968-A983-348A7B7A1F82}</author>
  </authors>
  <commentList>
    <comment ref="C43" authorId="0" shapeId="0" xr:uid="{87CE51C5-8261-4968-A983-348A7B7A1F82}">
      <text>
        <t>[Threaded comment]
Your version of Excel allows you to read this threaded comment; however, any edits to it will get removed if the file is opened in a newer version of Excel. Learn more: https://go.microsoft.com/fwlink/?linkid=870924
Comment:
    We include a value here for refining &amp; fuel processing to calculate the product demand growth consistently across our industry categories, but we don’t ultimately reference this value in the “Other Country-Specific Data” tab, as we use a global projection of demand for refined fuels there instead.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tc={76FB70BD-3509-46D9-AAF4-1ABD89211935}</author>
    <author>tc={80899790-CAD1-4147-A629-EF402A60E6AB}</author>
  </authors>
  <commentList>
    <comment ref="A16" authorId="0" shapeId="0" xr:uid="{76FB70BD-3509-46D9-AAF4-1ABD89211935}">
      <text>
        <t>[Threaded comment]
Your version of Excel allows you to read this threaded comment; however, any edits to it will get removed if the file is opened in a newer version of Excel. Learn more: https://go.microsoft.com/fwlink/?linkid=870924
Comment:
    Projections of natural demand reduction (or increase) are typically only available for materials, such as steel, cement, aluminum, and plastics. Those materials are used in goods, so we must apply the same demand reduction percentage to the industries that supply the goods made of those materials. This is different from material efficiency - see the comment on material efficiency, below.</t>
      </text>
    </comment>
    <comment ref="A38" authorId="1" shapeId="0" xr:uid="{80899790-CAD1-4147-A629-EF402A60E6AB}">
      <text>
        <t>[Threaded comment]
Your version of Excel allows you to read this threaded comment; however, any edits to it will get removed if the file is opened in a newer version of Excel. Learn more: https://go.microsoft.com/fwlink/?linkid=870924
Comment:
    Material efficiency reduces the energy use of the industries that supply materials. It might not significantly reduce the energy use of the industries that assemble products, as it might not be much less energy-intensive to assemble a material-efficient product like a car versus a traditional car. Therefore, this lever should generally be used only for material-supplying industries.</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tc={14BEFB73-5AF2-4638-9DC1-ED7CBF6399D1}</author>
  </authors>
  <commentList>
    <comment ref="A70" authorId="0" shapeId="0" xr:uid="{14BEFB73-5AF2-4638-9DC1-ED7CBF6399D1}">
      <text>
        <t>[Threaded comment]
Your version of Excel allows you to read this threaded comment; however, any edits to it will get removed if the file is opened in a newer version of Excel. Learn more: https://go.microsoft.com/fwlink/?linkid=870924
Comment:
    This likely excludes refining because this data source has not been treating refining as a manufacturing or industrial sector activity, and the electricity use is too low relative to the petroleum use of refineries in Viet Nam.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tc={6E1707AF-D833-4B46-AB57-7F7E75BCA9F9}</author>
    <author>tc={E7C97C37-FFB6-4FB7-B371-86CE62D76C73}</author>
    <author>tc={14277188-846F-4A7D-AD10-26EA017EDD48}</author>
    <author>tc={F8F54410-E62B-4743-8849-98A6ECEDC20B}</author>
    <author>tc={09C3BC63-4074-4AC8-8D45-80BF5EB7044C}</author>
    <author>tc={08114A1A-8D2B-4354-9528-CC82368FE69E}</author>
    <author>tc={E8393E8B-4368-4B39-9D67-1F0B8F3E7326}</author>
    <author>tc={FC9C7000-8E0E-4699-8B3D-564F7C3209E3}</author>
    <author>tc={3C042E00-742D-42E4-90D3-FD8949293CE0}</author>
    <author>tc={17D68645-E5DD-4BBC-A506-67855A37F8D0}</author>
    <author>tc={147A9336-7832-4A25-AD0E-0B946117BF4F}</author>
  </authors>
  <commentList>
    <comment ref="B24" authorId="0" shapeId="0" xr:uid="{6E1707AF-D833-4B46-AB57-7F7E75BCA9F9}">
      <text>
        <t>[Threaded comment]
Your version of Excel allows you to read this threaded comment; however, any edits to it will get removed if the file is opened in a newer version of Excel. Learn more: https://go.microsoft.com/fwlink/?linkid=870924
Comment:
    Projections of natural demand reduction (or increase) are typically only available for materials, such as steel, cement, aluminum, and plastics. Those materials are used in goods, so we must apply the same material demand reduction percentage to the industries that supply the goods made of those materials. This is different from material efficiency - see the comment to the right.</t>
      </text>
    </comment>
    <comment ref="B64" authorId="1" shapeId="0" xr:uid="{E7C97C37-FFB6-4FB7-B371-86CE62D76C73}">
      <text>
        <t>[Threaded comment]
Your version of Excel allows you to read this threaded comment; however, any edits to it will get removed if the file is opened in a newer version of Excel. Learn more: https://go.microsoft.com/fwlink/?linkid=870924
Comment:
    Material efficiency reduces the energy use of the industries that supply materials. It might not significantly reduce the energy use of the industries that assemble products, as it might not be much less energy-intensive to assemble a material-efficient product like a car versus a traditional car. Therefore, this lever should generally be used only for material-supplying industries.</t>
      </text>
    </comment>
    <comment ref="H64" authorId="2" shapeId="0" xr:uid="{14277188-846F-4A7D-AD10-26EA017EDD48}">
      <text>
        <t>[Threaded comment]
Your version of Excel allows you to read this threaded comment; however, any edits to it will get removed if the file is opened in a newer version of Excel. Learn more: https://go.microsoft.com/fwlink/?linkid=870924
Comment:
    Use the percentages in this column when multiplying by the “Future BAU” energy use amount.</t>
      </text>
    </comment>
    <comment ref="I64" authorId="3" shapeId="0" xr:uid="{F8F54410-E62B-4743-8849-98A6ECEDC20B}">
      <text>
        <t>[Threaded comment]
Your version of Excel allows you to read this threaded comment; however, any edits to it will get removed if the file is opened in a newer version of Excel. Learn more: https://go.microsoft.com/fwlink/?linkid=870924
Comment:
    Use the percentages in this column when multiplying by the 2022 Actual energy use amount (typically to build a graph that breaks out the natural demand change and the policy-driven demand reduction effects).</t>
      </text>
    </comment>
    <comment ref="E124" authorId="4" shapeId="0" xr:uid="{09C3BC63-4074-4AC8-8D45-80BF5EB7044C}">
      <text>
        <t>[Threaded comment]
Your version of Excel allows you to read this threaded comment; however, any edits to it will get removed if the file is opened in a newer version of Excel. Learn more: https://go.microsoft.com/fwlink/?linkid=870924
Comment:
    All combustible energy for non-heating uses is assumed to be electrified. It largely consists of machine drive (diesel engines that can be replaced by electric motors), with a minor contribution from cooling (which can be provided by electrical chillers).</t>
      </text>
    </comment>
    <comment ref="F340" authorId="5" shapeId="0" xr:uid="{08114A1A-8D2B-4354-9528-CC82368FE69E}">
      <text>
        <t>[Threaded comment]
Your version of Excel allows you to read this threaded comment; however, any edits to it will get removed if the file is opened in a newer version of Excel. Learn more: https://go.microsoft.com/fwlink/?linkid=870924
Comment:
    Includes the HGL, NGL, LPG category</t>
      </text>
    </comment>
    <comment ref="F395" authorId="6" shapeId="0" xr:uid="{E8393E8B-4368-4B39-9D67-1F0B8F3E7326}">
      <text>
        <t>[Threaded comment]
Your version of Excel allows you to read this threaded comment; however, any edits to it will get removed if the file is opened in a newer version of Excel. Learn more: https://go.microsoft.com/fwlink/?linkid=870924
Comment:
    See below for adjustment for refinery byproduct fuels.</t>
      </text>
    </comment>
    <comment ref="A418" authorId="7" shapeId="0" xr:uid="{FC9C7000-8E0E-4699-8B3D-564F7C3209E3}">
      <text>
        <t>[Threaded comment]
Your version of Excel allows you to read this threaded comment; however, any edits to it will get removed if the file is opened in a newer version of Excel. Learn more: https://go.microsoft.com/fwlink/?linkid=870924
Comment:
    This is a minimum carbon price based on the existing rate as of 2025.</t>
      </text>
    </comment>
    <comment ref="A419" authorId="8" shapeId="0" xr:uid="{3C042E00-742D-42E4-90D3-FD8949293CE0}">
      <text>
        <t>[Threaded comment]
Your version of Excel allows you to read this threaded comment; however, any edits to it will get removed if the file is opened in a newer version of Excel. Learn more: https://go.microsoft.com/fwlink/?linkid=870924
Comment:
    This carbon price rate is the higher of the minimum rate (see comment in the cell above) or the user-selected rate, as specified in a control setting near the top of the “Graphs” tab.</t>
      </text>
    </comment>
    <comment ref="H496" authorId="9" shapeId="0" xr:uid="{17D68645-E5DD-4BBC-A506-67855A37F8D0}">
      <text>
        <t>[Threaded comment]
Your version of Excel allows you to read this threaded comment; however, any edits to it will get removed if the file is opened in a newer version of Excel. Learn more: https://go.microsoft.com/fwlink/?linkid=870924
Comment:
    Includes calcination emissions</t>
      </text>
    </comment>
    <comment ref="B622" authorId="10" shapeId="0" xr:uid="{147A9336-7832-4A25-AD0E-0B946117BF4F}">
      <text>
        <t>[Threaded comment]
Your version of Excel allows you to read this threaded comment; however, any edits to it will get removed if the file is opened in a newer version of Excel. Learn more: https://go.microsoft.com/fwlink/?linkid=870924
Comment:
    Energy efficiency does not reduce calcination emissions, so we adjust for it in this cell.</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B6" authorId="0" shapeId="0" xr:uid="{07E04191-79BF-4887-A512-E8E2C7A77ACA}">
      <text>
        <r>
          <rPr>
            <b/>
            <sz val="9"/>
            <color indexed="81"/>
            <rFont val="Tahoma"/>
            <family val="2"/>
          </rPr>
          <t>Hongyou Lu:</t>
        </r>
        <r>
          <rPr>
            <sz val="9"/>
            <color indexed="81"/>
            <rFont val="Tahoma"/>
            <family val="2"/>
          </rPr>
          <t xml:space="preserve">
2MW system</t>
        </r>
      </text>
    </comment>
    <comment ref="C6" authorId="0" shapeId="0" xr:uid="{F153F835-95AA-477B-BEA3-B0673053CBB2}">
      <text>
        <r>
          <rPr>
            <b/>
            <sz val="9"/>
            <color indexed="81"/>
            <rFont val="Tahoma"/>
            <family val="2"/>
          </rPr>
          <t>Hongyou Lu:</t>
        </r>
        <r>
          <rPr>
            <sz val="9"/>
            <color indexed="81"/>
            <rFont val="Tahoma"/>
            <family val="2"/>
          </rPr>
          <t xml:space="preserve">
80 MW system</t>
        </r>
      </text>
    </comment>
    <comment ref="F7" authorId="0" shapeId="0" xr:uid="{55FF207C-6357-411A-AAB8-6B12ED655C30}">
      <text>
        <r>
          <rPr>
            <b/>
            <sz val="9"/>
            <color indexed="81"/>
            <rFont val="Tahoma"/>
            <family val="2"/>
          </rPr>
          <t>Hongyou Lu:</t>
        </r>
        <r>
          <rPr>
            <sz val="9"/>
            <color indexed="81"/>
            <rFont val="Tahoma"/>
            <family val="2"/>
          </rPr>
          <t xml:space="preserve">
https://lcri-tools.epri.com/tea-electrolysis/capex-rates</t>
        </r>
      </text>
    </comment>
    <comment ref="F8" authorId="0" shapeId="0" xr:uid="{A2719CC4-ABC8-4D83-BB83-BE18CA7A242A}">
      <text>
        <r>
          <rPr>
            <b/>
            <sz val="9"/>
            <color indexed="81"/>
            <rFont val="Tahoma"/>
            <family val="2"/>
          </rPr>
          <t>Hongyou Lu:</t>
        </r>
        <r>
          <rPr>
            <sz val="9"/>
            <color indexed="81"/>
            <rFont val="Tahoma"/>
            <family val="2"/>
          </rPr>
          <t xml:space="preserve">
https://lcri-tools.epri.com/tea-electrolysis/capex-rates</t>
        </r>
      </text>
    </comment>
    <comment ref="F9" authorId="0" shapeId="0" xr:uid="{BEEB64B8-0036-472F-9EF5-5A8C1E33E6E4}">
      <text>
        <r>
          <rPr>
            <b/>
            <sz val="9"/>
            <color indexed="81"/>
            <rFont val="Tahoma"/>
            <family val="2"/>
          </rPr>
          <t>Hongyou Lu:</t>
        </r>
        <r>
          <rPr>
            <sz val="9"/>
            <color indexed="81"/>
            <rFont val="Tahoma"/>
            <family val="2"/>
          </rPr>
          <t xml:space="preserve">
https://lcri-tools.epri.com/tea-electrolysis/capex-rates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B55" authorId="0" shapeId="0" xr:uid="{938C1BF4-F3A5-42A8-A116-4E2E1114DE7B}">
      <text>
        <r>
          <rPr>
            <b/>
            <sz val="9"/>
            <color indexed="81"/>
            <rFont val="Tahoma"/>
            <family val="2"/>
          </rPr>
          <t>Hongyou Lu:</t>
        </r>
        <r>
          <rPr>
            <sz val="9"/>
            <color indexed="81"/>
            <rFont val="Tahoma"/>
            <family val="2"/>
          </rPr>
          <t xml:space="preserve">
historical data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B7" authorId="0" shapeId="0" xr:uid="{A79B9E58-CC51-49FC-A583-2BE4F2B6D832}">
      <text>
        <r>
          <rPr>
            <b/>
            <sz val="9"/>
            <color indexed="81"/>
            <rFont val="Tahoma"/>
            <family val="2"/>
          </rPr>
          <t>Hongyou Lu:</t>
        </r>
        <r>
          <rPr>
            <sz val="9"/>
            <color indexed="81"/>
            <rFont val="Tahoma"/>
            <family val="2"/>
          </rPr>
          <t xml:space="preserve">
from IEA 2022 Indonesia report</t>
        </r>
      </text>
    </comment>
    <comment ref="C7" authorId="0" shapeId="0" xr:uid="{B832C4E5-2613-4EB0-B0CC-03E0710B4EE3}">
      <text>
        <r>
          <rPr>
            <b/>
            <sz val="9"/>
            <color indexed="81"/>
            <rFont val="Tahoma"/>
            <family val="2"/>
          </rPr>
          <t>Hongyou Lu:</t>
        </r>
        <r>
          <rPr>
            <sz val="9"/>
            <color indexed="81"/>
            <rFont val="Tahoma"/>
            <family val="2"/>
          </rPr>
          <t xml:space="preserve">
estimated based on IEA 2022 Indonesia Report APS Scenario</t>
        </r>
      </text>
    </comment>
    <comment ref="D8" authorId="0" shapeId="0" xr:uid="{8FE27EDA-F9E6-423C-A734-F41B529F7FBD}">
      <text>
        <r>
          <rPr>
            <b/>
            <sz val="9"/>
            <color indexed="81"/>
            <rFont val="Tahoma"/>
            <family val="2"/>
          </rPr>
          <t>Hongyou Lu:</t>
        </r>
        <r>
          <rPr>
            <sz val="9"/>
            <color indexed="81"/>
            <rFont val="Tahoma"/>
            <family val="2"/>
          </rPr>
          <t xml:space="preserve">
https://www.mdpi.com/1996-1073/14/21/7033</t>
        </r>
      </text>
    </comment>
    <comment ref="D9" authorId="0" shapeId="0" xr:uid="{86442D97-A2B1-4AC5-857B-02CCA04FD84E}">
      <text>
        <r>
          <rPr>
            <b/>
            <sz val="9"/>
            <color indexed="81"/>
            <rFont val="Tahoma"/>
            <family val="2"/>
          </rPr>
          <t>Hongyou Lu:</t>
        </r>
        <r>
          <rPr>
            <sz val="9"/>
            <color indexed="81"/>
            <rFont val="Tahoma"/>
            <family val="2"/>
          </rPr>
          <t xml:space="preserve">
https://www.mdpi.com/1996-1073/14/17/5424#:~:text=The%20expected%20average%20solar%20PV,%25%20variation%20about%20the%20mean.)</t>
        </r>
      </text>
    </comment>
    <comment ref="D10" authorId="0" shapeId="0" xr:uid="{9A784E37-C304-4533-91B9-7B3A2DC24833}">
      <text>
        <r>
          <rPr>
            <b/>
            <sz val="9"/>
            <color indexed="81"/>
            <rFont val="Tahoma"/>
            <family val="2"/>
          </rPr>
          <t>Hongyou Lu:</t>
        </r>
        <r>
          <rPr>
            <sz val="9"/>
            <color indexed="81"/>
            <rFont val="Tahoma"/>
            <family val="2"/>
          </rPr>
          <t xml:space="preserve">
https://theaseanpost.com/article/wind-energy-potential-indonesia#:~:text=IRENA%20states%20that%20the%20Indonesian,total%20potential%20identified%20so%20far.
The above source cites 25%
The second source cites 36%
https://www.mdpi.com/1996-1073/14/21/7033</t>
        </r>
      </text>
    </comment>
    <comment ref="D11" authorId="0" shapeId="0" xr:uid="{C592D60D-0D54-4FB3-BAD0-8C0FAB1DE583}">
      <text>
        <r>
          <rPr>
            <b/>
            <sz val="9"/>
            <color indexed="81"/>
            <rFont val="Tahoma"/>
            <family val="2"/>
          </rPr>
          <t>Hongyou Lu:</t>
        </r>
        <r>
          <rPr>
            <sz val="9"/>
            <color indexed="81"/>
            <rFont val="Tahoma"/>
            <family val="2"/>
          </rPr>
          <t xml:space="preserve">
Indoneisa B2EV report</t>
        </r>
      </text>
    </comment>
    <comment ref="D12" authorId="0" shapeId="0" xr:uid="{274B274E-0EBA-4FA0-AEB4-F02F12A6F73A}">
      <text>
        <r>
          <rPr>
            <b/>
            <sz val="9"/>
            <color indexed="81"/>
            <rFont val="Tahoma"/>
            <family val="2"/>
          </rPr>
          <t>Hongyou Lu:</t>
        </r>
        <r>
          <rPr>
            <sz val="9"/>
            <color indexed="81"/>
            <rFont val="Tahoma"/>
            <family val="2"/>
          </rPr>
          <t xml:space="preserve">
https://penerbit.brin.go.id/press/catalog/download/562/478/11499?inline=1#:~:text=In%20general%2C%20the%20capacity%20factor,(93%25%20capacity%20factor).
The above source indicates is above 90%
The second source mentioned 76%
https://www.mdpi.com/1996-1073/14/21/7033</t>
        </r>
      </text>
    </comment>
    <comment ref="B14" authorId="0" shapeId="0" xr:uid="{A2B741D4-3A62-4A20-B535-C8E60702CEBA}">
      <text>
        <r>
          <rPr>
            <b/>
            <sz val="9"/>
            <color indexed="81"/>
            <rFont val="Tahoma"/>
            <family val="2"/>
          </rPr>
          <t>Hongyou Lu:</t>
        </r>
        <r>
          <rPr>
            <sz val="9"/>
            <color indexed="81"/>
            <rFont val="Tahoma"/>
            <family val="2"/>
          </rPr>
          <t xml:space="preserve">
no operational in Indonesia now, expects to be small ~1% of total renewable capacity</t>
        </r>
      </text>
    </comment>
    <comment ref="C14" authorId="0" shapeId="0" xr:uid="{53520D02-3667-4E85-91DA-1CB1BC035161}">
      <text>
        <r>
          <rPr>
            <b/>
            <sz val="9"/>
            <color indexed="81"/>
            <rFont val="Tahoma"/>
            <family val="2"/>
          </rPr>
          <t>Hongyou Lu:</t>
        </r>
        <r>
          <rPr>
            <sz val="9"/>
            <color indexed="81"/>
            <rFont val="Tahoma"/>
            <family val="2"/>
          </rPr>
          <t xml:space="preserve">
no operational in Indonesia now, expects to be small ~1% of total renewable capacity</t>
        </r>
      </text>
    </comment>
    <comment ref="B15" authorId="0" shapeId="0" xr:uid="{BF95F12A-6AFF-4653-AB39-393A4DFC564A}">
      <text>
        <r>
          <rPr>
            <b/>
            <sz val="9"/>
            <color indexed="81"/>
            <rFont val="Tahoma"/>
            <family val="2"/>
          </rPr>
          <t>Hongyou Lu:</t>
        </r>
        <r>
          <rPr>
            <sz val="9"/>
            <color indexed="81"/>
            <rFont val="Tahoma"/>
            <family val="2"/>
          </rPr>
          <t xml:space="preserve">
based on the ratio in China</t>
        </r>
      </text>
    </comment>
    <comment ref="C15" authorId="0" shapeId="0" xr:uid="{2B294671-6CAA-47CA-BE28-C2D13B4F35BD}">
      <text>
        <r>
          <rPr>
            <b/>
            <sz val="9"/>
            <color indexed="81"/>
            <rFont val="Tahoma"/>
            <family val="2"/>
          </rPr>
          <t>Hongyou Lu:</t>
        </r>
        <r>
          <rPr>
            <sz val="9"/>
            <color indexed="81"/>
            <rFont val="Tahoma"/>
            <family val="2"/>
          </rPr>
          <t xml:space="preserve">
based on the ratio in China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D6" authorId="0" shapeId="0" xr:uid="{B484A6C1-1E0F-4236-BE0F-95B9C1675E37}">
      <text>
        <r>
          <rPr>
            <b/>
            <sz val="9"/>
            <color indexed="81"/>
            <rFont val="Tahoma"/>
            <family val="2"/>
          </rPr>
          <t>Hongyou Lu:</t>
        </r>
        <r>
          <rPr>
            <sz val="9"/>
            <color indexed="81"/>
            <rFont val="Tahoma"/>
            <family val="2"/>
          </rPr>
          <t xml:space="preserve">
https://finance.sina.cn/2024-02-05/detail-inafyhcm7550429.d.html</t>
        </r>
      </text>
    </comment>
    <comment ref="B21" authorId="0" shapeId="0" xr:uid="{6747E37F-31D7-42FF-8F74-FC221F61EF30}">
      <text>
        <r>
          <rPr>
            <b/>
            <sz val="9"/>
            <color indexed="81"/>
            <rFont val="Tahoma"/>
            <family val="2"/>
          </rPr>
          <t>Hongyou Lu:</t>
        </r>
        <r>
          <rPr>
            <sz val="9"/>
            <color indexed="81"/>
            <rFont val="Tahoma"/>
            <family val="2"/>
          </rPr>
          <t xml:space="preserve">
http://www.csteelnews.com/xwzx/djbd/202310/t20231025_80799.html#:~:text=%E5%88%B0%E6%9C%AC%E4%B8%96%E7%BA%AA%E5%88%9D%E5%BC%80%E5%A7%8B,%E6%AF%94%E4%BE%8B%E5%B9%B3%E5%9D%87%E8%BE%BE50%25%EF%BC%89%E3%80%82</t>
        </r>
      </text>
    </comment>
    <comment ref="A56" authorId="0" shapeId="0" xr:uid="{6B8D8215-6961-438C-AAD9-3ABCFCF11F42}">
      <text>
        <r>
          <rPr>
            <b/>
            <sz val="9"/>
            <color indexed="81"/>
            <rFont val="Tahoma"/>
            <family val="2"/>
          </rPr>
          <t>Hongyou Lu:</t>
        </r>
        <r>
          <rPr>
            <sz val="9"/>
            <color indexed="81"/>
            <rFont val="Tahoma"/>
            <family val="2"/>
          </rPr>
          <t xml:space="preserve">
CAPEX is the same as DRI-EAF; but differs in OPEX (H2 production, transportation, storage) </t>
        </r>
      </text>
    </comment>
    <comment ref="A66" authorId="0" shapeId="0" xr:uid="{BB574D8D-DE10-4F66-B0F1-07E265BA76E2}">
      <text>
        <r>
          <rPr>
            <b/>
            <sz val="9"/>
            <color indexed="81"/>
            <rFont val="Tahoma"/>
            <family val="2"/>
          </rPr>
          <t>Hongyou Lu:</t>
        </r>
        <r>
          <rPr>
            <sz val="9"/>
            <color indexed="81"/>
            <rFont val="Tahoma"/>
            <family val="2"/>
          </rPr>
          <t xml:space="preserve">
CAPEX is the same as DRI-EAF; but differs in OPEX (H2 production, transportation, storage) </t>
        </r>
      </text>
    </comment>
    <comment ref="A81" authorId="0" shapeId="0" xr:uid="{8102C317-F0B6-4937-B554-DBBC7838F722}">
      <text>
        <r>
          <rPr>
            <b/>
            <sz val="9"/>
            <color indexed="81"/>
            <rFont val="Tahoma"/>
            <family val="2"/>
          </rPr>
          <t>Hongyou Lu:</t>
        </r>
        <r>
          <rPr>
            <sz val="9"/>
            <color indexed="81"/>
            <rFont val="Tahoma"/>
            <family val="2"/>
          </rPr>
          <t xml:space="preserve">
CAPEX is the same as DRI-EAF; but differs in OPEX (H2 production, transportation, storage)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D6" authorId="0" shapeId="0" xr:uid="{44D4D1B5-6C77-4B33-B88D-6AA7580B0CF5}">
      <text>
        <r>
          <rPr>
            <b/>
            <sz val="9"/>
            <color indexed="81"/>
            <rFont val="Tahoma"/>
            <family val="2"/>
          </rPr>
          <t>Hongyou Lu:</t>
        </r>
        <r>
          <rPr>
            <sz val="9"/>
            <color indexed="81"/>
            <rFont val="Tahoma"/>
            <family val="2"/>
          </rPr>
          <t xml:space="preserve">
MOI: https://setkab.go.id/en/minister-increase-national-steel-industry-utilization-to-curb-import/
Local steel industry is now utilizing only about 50 percent of its capacity, Agus added, partly because companies cannot keep up with the competition of imported products particularly in terms of price and quality.
Read more: https://setkab.go.id/en/minister-increase-national-steel-industry-utilization-to-curb-import/
https://energyandcleanair.org/publication/indonesia-iron-and-steels-full-potential-hinges-on-low-carbon-technologies/#:~:text=Between%202019%20and%202023%2C%20the,2035%20target%20of%2025%20Mt.
Between 2019 and 2023, the utilisation rate ranged within 40-60%, while 35-40% of this total domestic output was exported.</t>
        </r>
      </text>
    </comment>
    <comment ref="A57" authorId="0" shapeId="0" xr:uid="{2FFEAD97-0511-4106-AD10-43059C3FDB7D}">
      <text>
        <r>
          <rPr>
            <b/>
            <sz val="9"/>
            <color indexed="81"/>
            <rFont val="Tahoma"/>
            <family val="2"/>
          </rPr>
          <t>Hongyou Lu:</t>
        </r>
        <r>
          <rPr>
            <sz val="9"/>
            <color indexed="81"/>
            <rFont val="Tahoma"/>
            <family val="2"/>
          </rPr>
          <t xml:space="preserve">
CAPEX is the same as DRI-EAF; but differs in OPEX (H2 production, transportation, storage) </t>
        </r>
      </text>
    </comment>
    <comment ref="A67" authorId="0" shapeId="0" xr:uid="{9B67E9B9-68DE-49F3-AD16-3BC06486C139}">
      <text>
        <r>
          <rPr>
            <b/>
            <sz val="9"/>
            <color indexed="81"/>
            <rFont val="Tahoma"/>
            <family val="2"/>
          </rPr>
          <t>Hongyou Lu:</t>
        </r>
        <r>
          <rPr>
            <sz val="9"/>
            <color indexed="81"/>
            <rFont val="Tahoma"/>
            <family val="2"/>
          </rPr>
          <t xml:space="preserve">
CAPEX is the same as DRI-EAF; but differs in OPEX (H2 production, transportation, storage) </t>
        </r>
      </text>
    </comment>
    <comment ref="A83" authorId="0" shapeId="0" xr:uid="{4FF251D2-CEC9-463B-8810-45F10AD31D2A}">
      <text>
        <r>
          <rPr>
            <b/>
            <sz val="9"/>
            <color indexed="81"/>
            <rFont val="Tahoma"/>
            <family val="2"/>
          </rPr>
          <t>Hongyou Lu:</t>
        </r>
        <r>
          <rPr>
            <sz val="9"/>
            <color indexed="81"/>
            <rFont val="Tahoma"/>
            <family val="2"/>
          </rPr>
          <t xml:space="preserve">
CAPEX is the same as DRI-EAF; but differs in OPEX (H2 production, transportation, storage)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E6" authorId="0" shapeId="0" xr:uid="{654DDA8D-2E90-4C51-BCBB-E34B6E3C8A23}">
      <text>
        <r>
          <rPr>
            <b/>
            <sz val="9"/>
            <color indexed="81"/>
            <rFont val="Tahoma"/>
            <family val="2"/>
          </rPr>
          <t>Hongyou Lu:</t>
        </r>
        <r>
          <rPr>
            <sz val="9"/>
            <color indexed="81"/>
            <rFont val="Tahoma"/>
            <family val="2"/>
          </rPr>
          <t xml:space="preserve">
https://www.nbr.org/publication/the-potential-of-hydrogen-for-decarbonizing-iron-and-steel-production-in-vietnam/</t>
        </r>
      </text>
    </comment>
    <comment ref="A60" authorId="0" shapeId="0" xr:uid="{FE941F98-DF73-49F6-BE65-0AA25413FFDB}">
      <text>
        <r>
          <rPr>
            <b/>
            <sz val="9"/>
            <color indexed="81"/>
            <rFont val="Tahoma"/>
            <family val="2"/>
          </rPr>
          <t>Hongyou Lu:</t>
        </r>
        <r>
          <rPr>
            <sz val="9"/>
            <color indexed="81"/>
            <rFont val="Tahoma"/>
            <family val="2"/>
          </rPr>
          <t xml:space="preserve">
CAPEX is the same as DRI-EAF; but differs in OPEX (H2 production, transportation, storage) </t>
        </r>
      </text>
    </comment>
    <comment ref="A70" authorId="0" shapeId="0" xr:uid="{BF3A72AC-5FCC-4FE6-B75A-6D5E428E9C2F}">
      <text>
        <r>
          <rPr>
            <b/>
            <sz val="9"/>
            <color indexed="81"/>
            <rFont val="Tahoma"/>
            <family val="2"/>
          </rPr>
          <t>Hongyou Lu:</t>
        </r>
        <r>
          <rPr>
            <sz val="9"/>
            <color indexed="81"/>
            <rFont val="Tahoma"/>
            <family val="2"/>
          </rPr>
          <t xml:space="preserve">
CAPEX is the same as DRI-EAF; but differs in OPEX (H2 production, transportation, storage) </t>
        </r>
      </text>
    </comment>
    <comment ref="A85" authorId="0" shapeId="0" xr:uid="{6B46360D-63B7-4DA1-969D-FA6E5A0F1434}">
      <text>
        <r>
          <rPr>
            <b/>
            <sz val="9"/>
            <color indexed="81"/>
            <rFont val="Tahoma"/>
            <family val="2"/>
          </rPr>
          <t>Hongyou Lu:</t>
        </r>
        <r>
          <rPr>
            <sz val="9"/>
            <color indexed="81"/>
            <rFont val="Tahoma"/>
            <family val="2"/>
          </rPr>
          <t xml:space="preserve">
CAPEX is the same as DRI-EAF; but differs in OPEX (H2 production, transportation, storage)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<sst xmlns="http://schemas.openxmlformats.org/spreadsheetml/2006/main" count="22077" uniqueCount="5160">
  <si>
    <t>Industrial Transformation Technology and Investment Model</t>
  </si>
  <si>
    <t>August 2025</t>
  </si>
  <si>
    <t>Model version: 59</t>
  </si>
  <si>
    <r>
      <rPr>
        <b/>
        <sz val="11"/>
        <color theme="1"/>
        <rFont val="Aptos Narrow"/>
        <family val="2"/>
        <scheme val="minor"/>
      </rPr>
      <t>Computer Model Contributors:</t>
    </r>
    <r>
      <rPr>
        <sz val="11"/>
        <color theme="1"/>
        <rFont val="Aptos Narrow"/>
        <family val="2"/>
        <scheme val="minor"/>
      </rPr>
      <t xml:space="preserve"> Jeffrey Rissman,</t>
    </r>
    <r>
      <rPr>
        <vertAlign val="superscript"/>
        <sz val="11"/>
        <color theme="1"/>
        <rFont val="Aptos Narrow"/>
        <family val="2"/>
        <scheme val="minor"/>
      </rPr>
      <t>1</t>
    </r>
    <r>
      <rPr>
        <sz val="11"/>
        <color theme="1"/>
        <rFont val="Aptos Narrow"/>
        <family val="2"/>
        <scheme val="minor"/>
      </rPr>
      <t xml:space="preserve"> Hongyou Lu,</t>
    </r>
    <r>
      <rPr>
        <vertAlign val="superscript"/>
        <sz val="11"/>
        <color theme="1"/>
        <rFont val="Aptos Narrow"/>
        <family val="2"/>
        <scheme val="minor"/>
      </rPr>
      <t>2</t>
    </r>
    <r>
      <rPr>
        <sz val="11"/>
        <color theme="1"/>
        <rFont val="Aptos Narrow"/>
        <family val="2"/>
        <scheme val="minor"/>
      </rPr>
      <t xml:space="preserve"> Sonali Deshpande,</t>
    </r>
    <r>
      <rPr>
        <vertAlign val="superscript"/>
        <sz val="11"/>
        <color theme="1"/>
        <rFont val="Aptos Narrow"/>
        <family val="2"/>
        <scheme val="minor"/>
      </rPr>
      <t>1</t>
    </r>
    <r>
      <rPr>
        <sz val="11"/>
        <color theme="1"/>
        <rFont val="Aptos Narrow"/>
        <family val="2"/>
        <scheme val="minor"/>
      </rPr>
      <t xml:space="preserve"> Nik Sawe,</t>
    </r>
    <r>
      <rPr>
        <vertAlign val="superscript"/>
        <sz val="11"/>
        <color theme="1"/>
        <rFont val="Aptos Narrow"/>
        <family val="2"/>
        <scheme val="minor"/>
      </rPr>
      <t>1</t>
    </r>
    <r>
      <rPr>
        <sz val="11"/>
        <color theme="1"/>
        <rFont val="Aptos Narrow"/>
        <family val="2"/>
        <scheme val="minor"/>
      </rPr>
      <t xml:space="preserve"> Hon Leung Curtis Wong</t>
    </r>
    <r>
      <rPr>
        <vertAlign val="superscript"/>
        <sz val="11"/>
        <color theme="1"/>
        <rFont val="Aptos Narrow"/>
        <family val="2"/>
        <scheme val="minor"/>
      </rPr>
      <t>2</t>
    </r>
  </si>
  <si>
    <r>
      <rPr>
        <vertAlign val="superscript"/>
        <sz val="11"/>
        <color theme="1"/>
        <rFont val="Aptos Narrow"/>
        <family val="2"/>
        <scheme val="minor"/>
      </rPr>
      <t>1</t>
    </r>
    <r>
      <rPr>
        <sz val="11"/>
        <color theme="1"/>
        <rFont val="Aptos Narrow"/>
        <family val="2"/>
        <scheme val="minor"/>
      </rPr>
      <t xml:space="preserve"> Energy Innovation: Policy and Technology LLC</t>
    </r>
  </si>
  <si>
    <r>
      <rPr>
        <vertAlign val="superscript"/>
        <sz val="11"/>
        <color theme="1"/>
        <rFont val="Aptos Narrow"/>
        <family val="2"/>
        <scheme val="minor"/>
      </rPr>
      <t>2</t>
    </r>
    <r>
      <rPr>
        <sz val="11"/>
        <color theme="1"/>
        <rFont val="Aptos Narrow"/>
        <family val="2"/>
        <scheme val="minor"/>
      </rPr>
      <t xml:space="preserve"> Lawrence Berkeley National Laboratory</t>
    </r>
  </si>
  <si>
    <t>This Excel-based computer model was used to generate the model results appearing in the World Bank report:</t>
  </si>
  <si>
    <t>Industrial Decarbonization in East Asia: Transforming Energy, Finance, Technology, and Jobs</t>
  </si>
  <si>
    <t>Complete data source citations appear on the "References" tab. Reference numbers are used on other tabs to indicate which data source(s) on the References tab provided which input data values.</t>
  </si>
  <si>
    <t>Key to tab colors:</t>
  </si>
  <si>
    <t>Light blue: Output graphs</t>
  </si>
  <si>
    <t>Green: Consolidated input data and scenario settings</t>
  </si>
  <si>
    <t>Gray: Main calculations</t>
  </si>
  <si>
    <t>Pink: Unit conversion factors</t>
  </si>
  <si>
    <t>Orange: References</t>
  </si>
  <si>
    <t>No color: Raw input data and supporting calculations</t>
  </si>
  <si>
    <t>Select a country:</t>
  </si>
  <si>
    <t>China</t>
  </si>
  <si>
    <t>Sensitivity Analysis</t>
  </si>
  <si>
    <t>BAU 2050 Energy Use</t>
  </si>
  <si>
    <t>+0%</t>
  </si>
  <si>
    <t>Select a year:</t>
  </si>
  <si>
    <t>Energy Costs</t>
  </si>
  <si>
    <t>Capital Costs</t>
  </si>
  <si>
    <t>2050 policy-driven electricity cost reduction:</t>
  </si>
  <si>
    <t>Discount Rate</t>
  </si>
  <si>
    <t>7%</t>
  </si>
  <si>
    <t>This lever does not affect clean H2 costs. Use the lever to the right to alter H2 cost assumptions.</t>
  </si>
  <si>
    <t>2050 carbon price</t>
  </si>
  <si>
    <r>
      <t>USD / tonne CO</t>
    </r>
    <r>
      <rPr>
        <vertAlign val="subscript"/>
        <sz val="11"/>
        <color theme="1"/>
        <rFont val="Aptos Narrow"/>
        <family val="2"/>
        <scheme val="minor"/>
      </rPr>
      <t>2</t>
    </r>
  </si>
  <si>
    <t>2050 Clean H2 Price Scenario</t>
  </si>
  <si>
    <t>High Improvement</t>
  </si>
  <si>
    <t>A user-set 2050 carbon price has no effect if it is lower than the 2050 BAU (i.e., minimum) carbon price.</t>
  </si>
  <si>
    <t>High improvement is based on projections for 2050 and is $1.80/kg in China, $3.50/kg in Indonesia, $2.17/kg in Vietnam, and $3/kg in the United States.</t>
  </si>
  <si>
    <t>Low improvement is based on projections for 2030 and is $2.50/kg in China, $5.10/kg in Indonesia, $4.00/kg in Vietmam, and $5/kg in the United States.</t>
  </si>
  <si>
    <t>Show feedstocks on emissions graphs?</t>
  </si>
  <si>
    <t>Present day is $3.90/kg in China, $11.11/kg in Indonesia, $8.33/kg in Vietmam, and $7.25/kg in the United States.</t>
  </si>
  <si>
    <t>For more explanation, see the note on the "Calculations" tab in rows 329-335.</t>
  </si>
  <si>
    <t>Energy Use by Energy Type</t>
  </si>
  <si>
    <t>Fossil Feedstocks</t>
  </si>
  <si>
    <t>Coal</t>
  </si>
  <si>
    <t>Coke</t>
  </si>
  <si>
    <t>Coal/Coke Byproducts</t>
  </si>
  <si>
    <t>Petroleum</t>
  </si>
  <si>
    <t>Natural Gas</t>
  </si>
  <si>
    <t>Bioenergy and Waste</t>
  </si>
  <si>
    <t>Purchased Heat</t>
  </si>
  <si>
    <t>Direct Use of Electricity</t>
  </si>
  <si>
    <t>Electricity for Green H2</t>
  </si>
  <si>
    <t>Blue Hydrogen</t>
  </si>
  <si>
    <t>Fossil Fuels w/ Carbon Capture</t>
  </si>
  <si>
    <t>2022 Actual</t>
  </si>
  <si>
    <t>Future BAU Projection</t>
  </si>
  <si>
    <t>Tier 1: Efficiency</t>
  </si>
  <si>
    <t>Tier 2a: Easy Electrification</t>
  </si>
  <si>
    <t>Tier 2b: Other Electrification</t>
  </si>
  <si>
    <t>Tier 3: CCS</t>
  </si>
  <si>
    <t>Tier 4a: Green H2</t>
  </si>
  <si>
    <t>Tier 4b: Clean Feedstocks</t>
  </si>
  <si>
    <t>Waterfall version of energy use by tier</t>
  </si>
  <si>
    <t>Change since prior category</t>
  </si>
  <si>
    <t>EJ / yr</t>
  </si>
  <si>
    <t>Energy Use by Subindustry</t>
  </si>
  <si>
    <t>Food, beverage, &amp; tobacco</t>
  </si>
  <si>
    <t>Textiles, leather, &amp; apparel</t>
  </si>
  <si>
    <t>Wood &amp; furniture</t>
  </si>
  <si>
    <t>Pulp, paper, &amp; printing</t>
  </si>
  <si>
    <t>Refining &amp; fuel processing</t>
  </si>
  <si>
    <t>Chemicals</t>
  </si>
  <si>
    <t>Plastic &amp; rubber products</t>
  </si>
  <si>
    <t>Non-metallic minerals</t>
  </si>
  <si>
    <t>Iron &amp; steel</t>
  </si>
  <si>
    <t>Nonferrous metals</t>
  </si>
  <si>
    <t>Machinery</t>
  </si>
  <si>
    <t>Vehicles &amp; transport equipment</t>
  </si>
  <si>
    <t>Electronics</t>
  </si>
  <si>
    <t>Other metal products</t>
  </si>
  <si>
    <t>Other manufacturing</t>
  </si>
  <si>
    <t>Sort subindustries by energy use in 2022</t>
  </si>
  <si>
    <t>Actual Rank</t>
  </si>
  <si>
    <t>Desired Rank Order</t>
  </si>
  <si>
    <t>Energy Expenditures by Energy Type</t>
  </si>
  <si>
    <t>Green Hydrogen</t>
  </si>
  <si>
    <t>Carbon Pricing</t>
  </si>
  <si>
    <t>Waterfall version of energy expenditures by tier</t>
  </si>
  <si>
    <t>billions of 2021 USD / year</t>
  </si>
  <si>
    <t>Energy Use by Subindustry by Energy Type</t>
  </si>
  <si>
    <t>Rank</t>
  </si>
  <si>
    <t>Tier 4b</t>
  </si>
  <si>
    <t>Chemicals Industry Feedstocks</t>
  </si>
  <si>
    <t>Bioenergy</t>
  </si>
  <si>
    <t>Tiers 1-4a</t>
  </si>
  <si>
    <t>CO2 Emissions by Energy Type</t>
  </si>
  <si>
    <t>Cement Calcination</t>
  </si>
  <si>
    <t>Fugitive Methane</t>
  </si>
  <si>
    <t>Electricity (on-target)</t>
  </si>
  <si>
    <t>Electricity (off-target)</t>
  </si>
  <si>
    <t>incl. in FF w/ CC</t>
  </si>
  <si>
    <t>Data Formatted for Waterfall Graph</t>
  </si>
  <si>
    <t>million tonnes CO2 / yr</t>
  </si>
  <si>
    <t>CapEx Investment Need</t>
  </si>
  <si>
    <t>billion $</t>
  </si>
  <si>
    <t>CapEx Cost per Unit of Annual Abatement Delivered by That Investment</t>
  </si>
  <si>
    <t>Cost Effectiveness</t>
  </si>
  <si>
    <t>$ / (ton / yr)</t>
  </si>
  <si>
    <t>Incremental Energy Cost</t>
  </si>
  <si>
    <t>Change in Annual Energy Expenditures</t>
  </si>
  <si>
    <t>billion $ / yr</t>
  </si>
  <si>
    <t>Annual Incremental Energy Expenditures and Annualized CapEx Needs by Intervention Tier</t>
  </si>
  <si>
    <t>Energy</t>
  </si>
  <si>
    <t>Annualized CapEx</t>
  </si>
  <si>
    <t>Total Annualized Costs per Unit of Abatement by Intervention Tier</t>
  </si>
  <si>
    <t>($/yr) / (tonnes/yr)</t>
  </si>
  <si>
    <t>CapEx Need by Subindustry by Tier</t>
  </si>
  <si>
    <t>Industry</t>
  </si>
  <si>
    <t>Tier 4b: Chem. Feedstocks</t>
  </si>
  <si>
    <t>Unit</t>
  </si>
  <si>
    <t>Electrification Tiers Only</t>
  </si>
  <si>
    <t>Tier 2a</t>
  </si>
  <si>
    <t>Tier 2b</t>
  </si>
  <si>
    <t>Low-Temp and Nonthermal</t>
  </si>
  <si>
    <t>Med- and High-Temp</t>
  </si>
  <si>
    <t>Change in Product Demand by Subindustry</t>
  </si>
  <si>
    <t>Natural Change in Product Demand</t>
  </si>
  <si>
    <t>Change from Material Efficiency and Product Longevity Policy Interventions</t>
  </si>
  <si>
    <t>Total</t>
  </si>
  <si>
    <t>Decomposition of technology effects within tiers</t>
  </si>
  <si>
    <t>Share</t>
  </si>
  <si>
    <t>Remove zeroes</t>
  </si>
  <si>
    <t>Material efficiency</t>
  </si>
  <si>
    <t>Product longevity</t>
  </si>
  <si>
    <t>Energy efficiency</t>
  </si>
  <si>
    <t>Secondary steel</t>
  </si>
  <si>
    <t>Non-thermal electrification</t>
  </si>
  <si>
    <t>Low-temp. thermal elec.</t>
  </si>
  <si>
    <t>Medium-temp electrification</t>
  </si>
  <si>
    <t>High-temp electrification</t>
  </si>
  <si>
    <t>2022 Percentage Industrial Non-Feedstock Fuel Use by Fuel by Country</t>
  </si>
  <si>
    <t>These graphs show all three EAP countries and do not change when the country selector is changed.</t>
  </si>
  <si>
    <t>The version below groups coal, coke, and coal/coke byproducts but breaks out feedstocks.</t>
  </si>
  <si>
    <t>Coal and Related Byproducts</t>
  </si>
  <si>
    <t>Electricity</t>
  </si>
  <si>
    <t>Indonesia</t>
  </si>
  <si>
    <t>Viet Nam</t>
  </si>
  <si>
    <t>The version below excludes feedstocks.  It groups coal, coke, and coal/coke byproducts.</t>
  </si>
  <si>
    <t>The version below breaks out feedstocks and also breaks out coal, coke, and coal/coke byproducts.</t>
  </si>
  <si>
    <t>2022 Percentage Industrial Fuel Use by Subsector by Country</t>
  </si>
  <si>
    <t>This graph shows all three EAP countries and does not change when the country selector is changed.</t>
  </si>
  <si>
    <t>This graph includes feedstocks, which are added to the "Chemicals" industry, similar to the six-tier energy use by subindustry graph above.</t>
  </si>
  <si>
    <t>Instructions:</t>
  </si>
  <si>
    <t>Time-series graphs only update when the following two selectors at the top of the "Graphs" tab are changed:</t>
  </si>
  <si>
    <t>If any other settings or input data change, the time-series graphs must be updated manually.  Steps:</t>
  </si>
  <si>
    <t>1. Select a country on the "Graphs" tab.</t>
  </si>
  <si>
    <t>2. Select a year on the "Graphs" tab.</t>
  </si>
  <si>
    <t>3. Copy the data in the row below.</t>
  </si>
  <si>
    <r>
      <t xml:space="preserve">4. Paste </t>
    </r>
    <r>
      <rPr>
        <b/>
        <sz val="11"/>
        <color theme="1"/>
        <rFont val="Aptos Narrow"/>
        <family val="2"/>
        <scheme val="minor"/>
      </rPr>
      <t>"values"</t>
    </r>
    <r>
      <rPr>
        <sz val="11"/>
        <color theme="1"/>
        <rFont val="Aptos Narrow"/>
        <family val="2"/>
        <scheme val="minor"/>
      </rPr>
      <t xml:space="preserve"> (not paste) into the corresponding row in the table below.</t>
    </r>
  </si>
  <si>
    <t>5. Repeat for each year.</t>
  </si>
  <si>
    <t>6. Optionally, repeat for other countries, if the data for more than one country changed and you wish to update multiple countries' graphs.</t>
  </si>
  <si>
    <t>Copy This Row:</t>
  </si>
  <si>
    <t>Paste it as "Values" over the corresponding row in the following table:</t>
  </si>
  <si>
    <t>Electricity Demand (EJ / yr)</t>
  </si>
  <si>
    <t>CO2 Emissions (MMT CO2 / yr)</t>
  </si>
  <si>
    <t>Energy Expenditures (billions of 2021 USD / yr)</t>
  </si>
  <si>
    <t>Country</t>
  </si>
  <si>
    <t>Year</t>
  </si>
  <si>
    <t>Direct use of Electricity</t>
  </si>
  <si>
    <t>Vietnam</t>
  </si>
  <si>
    <t>United States</t>
  </si>
  <si>
    <t>The following graphs depict whichever country is selected in the selector at the top of the "Graphs" tab.</t>
  </si>
  <si>
    <t>Electricity Demand</t>
  </si>
  <si>
    <t>Unit: TWh</t>
  </si>
  <si>
    <t>Direct use of Electricity by Industry</t>
  </si>
  <si>
    <t>Electricity for Green H2 for Industry</t>
  </si>
  <si>
    <t>Electricity for Rest of Economy (BAU Projection)</t>
  </si>
  <si>
    <t>Total economywide demand</t>
  </si>
  <si>
    <t>Indst demand from external source data</t>
  </si>
  <si>
    <t>CO2 Emissions</t>
  </si>
  <si>
    <t>Unit: MMT CO2/yr</t>
  </si>
  <si>
    <t>Annual Energy Expenditures</t>
  </si>
  <si>
    <t>Unit: billions of 2021 USD / yr</t>
  </si>
  <si>
    <t>Iron and Steel Industry Energy Use Waterfall Graph</t>
  </si>
  <si>
    <t>Emissions</t>
  </si>
  <si>
    <t>Change since last row</t>
  </si>
  <si>
    <t>PJ</t>
  </si>
  <si>
    <t>Material demand change relative to 2022 Actual</t>
  </si>
  <si>
    <t>Mat. Eff. &amp; Longevity</t>
  </si>
  <si>
    <t>Annotated China version</t>
  </si>
  <si>
    <t>Does not update when country selector or other selectors change so that it continues to refer to China and annotations remain accurate.</t>
  </si>
  <si>
    <t>Non-Metallic Minerals Industry Energy Use Waterfall Graph</t>
  </si>
  <si>
    <t>Purpose of this Sheet and Instructions</t>
  </si>
  <si>
    <t>For reports showing more than one country, it is desirable for the same subindustry to have the same color in different graphs.</t>
  </si>
  <si>
    <t>The chart of annual industrial energy use by subindustry resorts the bars from largest to smallest (based on 2022 Actual data).</t>
  </si>
  <si>
    <t>Since colors in Excel are bound to the position of the data series, this causes the colors to represent different subindustries for different countries.</t>
  </si>
  <si>
    <t>The graphs on this tab address this by creating several versions with different color orders adapted to the sort order of subindustries in each country.</t>
  </si>
  <si>
    <t>All of these graphs will update when settings (such as the active country) are changed, but for color consistency, copy only the one labeled as being</t>
  </si>
  <si>
    <t>for the country that is selected in the country selector on the "Graphs" tab.</t>
  </si>
  <si>
    <t>China Color Order</t>
  </si>
  <si>
    <t>Indonesia Color Order</t>
  </si>
  <si>
    <t>Vietnam Color Order</t>
  </si>
  <si>
    <t>United States Color Order</t>
  </si>
  <si>
    <t>About this tab</t>
  </si>
  <si>
    <t>This tab builds a graph showing the combination of carbon pricing and electricity cost settings that result in</t>
  </si>
  <si>
    <t>2050 electricity price</t>
  </si>
  <si>
    <t>billion USD / PJ</t>
  </si>
  <si>
    <t>zero annual energy costs for various technologies.  The data in this sheet do not update automatically when the active</t>
  </si>
  <si>
    <t>USD / kWh</t>
  </si>
  <si>
    <t>country or other settings on the "Graphs" tab change and need to be updated manually.</t>
  </si>
  <si>
    <t>USD / MWh</t>
  </si>
  <si>
    <t>Why are only four tiers shown on the graph?</t>
  </si>
  <si>
    <t>Electricity Price (USD/MWh)</t>
  </si>
  <si>
    <t>Corresponding setting for percent reduction in electricity cost lever</t>
  </si>
  <si>
    <t>Corresponding H2 price</t>
  </si>
  <si>
    <t>Tiers 1 (efficiency) is not shown because it achieves energy cost savings even without any carbon pricing and at all electricity prices.</t>
  </si>
  <si>
    <t>Tier 4b (feedstocks) is not shown because carbon pricing is not charged on the type of emissions that are avoided by tier 4b (largely downstream,</t>
  </si>
  <si>
    <t>from the use and decay of industrial products).  It can be assumed tier 4b would be similar to tier 4a if carbon pricing were to apply to these emissions.</t>
  </si>
  <si>
    <t>Steps to update the graph</t>
  </si>
  <si>
    <t>Setup Directions</t>
  </si>
  <si>
    <t>First, temporarily set the carbon price and electricity cost reduction controls (on the "Graphs" tab) to equal the following cells.</t>
  </si>
  <si>
    <t>Elec Cost Reduction</t>
  </si>
  <si>
    <t>Carbon price rate</t>
  </si>
  <si>
    <t>This chart updates when the active country is changed.</t>
  </si>
  <si>
    <t>Next, temporarily set the "Corresponding price for active country" cell on on the "H2 Production Cost" tab to equal the following cell.</t>
  </si>
  <si>
    <t>Save the formula in that cell somewhere convenient so you can paste it back later.</t>
  </si>
  <si>
    <t>Clean H2 price</t>
  </si>
  <si>
    <t>Plotting Data</t>
  </si>
  <si>
    <t>For Tiers 2a and 2b</t>
  </si>
  <si>
    <t>Set the electricity cost reduction to an amount corresponding to a specific electricity price in the table on the right.</t>
  </si>
  <si>
    <t>Use Data &gt; Forecast &gt; What-If Analysis &gt; Goal Seek from the Excel toolbar.</t>
  </si>
  <si>
    <t>Tell Excel to make the cost of a tier (2a, 2b, 3, or 4a) zero (the orange cells below) by adjusting the carbon price rate (above).</t>
  </si>
  <si>
    <t>Copy the result and paste it in the corresponding spot in the table for the active country below.</t>
  </si>
  <si>
    <t>All results should form lines, so you only need to log two data points per technology.</t>
  </si>
  <si>
    <t>For tier 3</t>
  </si>
  <si>
    <t>Electricity cost reduction doesn't matter for CCS.  You only need to run Goal Seek once to find the carbon price.</t>
  </si>
  <si>
    <t>But you do need to fill into at least two electricity price rows so the graph can draw a line.</t>
  </si>
  <si>
    <t>For tier 4a</t>
  </si>
  <si>
    <t>Set the "Clean H2 price" above equal to the value in the "Corresponding H2 price" for the electricity price you are testing</t>
  </si>
  <si>
    <t>in the table on the upper right. The electricity cost reduction setting doesn't matter.</t>
  </si>
  <si>
    <t>Change in annual energy expenditures by tier</t>
  </si>
  <si>
    <t>Results Graphs</t>
  </si>
  <si>
    <t>Carbon price rate that makes this technology energy cost-neutral</t>
  </si>
  <si>
    <t>X-Axis</t>
  </si>
  <si>
    <t>Directions</t>
  </si>
  <si>
    <t>Please enter energy use data on this sheet for each country. Consoliate data into the 15 subindustry categories and 7 energy source categories provided.</t>
  </si>
  <si>
    <r>
      <t xml:space="preserve">Please convert the energy units from the original data source to petajoules, the standardized SI units used on this sheet </t>
    </r>
    <r>
      <rPr>
        <b/>
        <sz val="11"/>
        <color theme="1"/>
        <rFont val="Aptos Narrow"/>
        <family val="2"/>
        <scheme val="minor"/>
      </rPr>
      <t>for all countries</t>
    </r>
    <r>
      <rPr>
        <sz val="11"/>
        <color theme="1"/>
        <rFont val="Aptos Narrow"/>
        <family val="2"/>
        <scheme val="minor"/>
      </rPr>
      <t>.</t>
    </r>
  </si>
  <si>
    <r>
      <t xml:space="preserve">Energy amounts entered on this sheet should </t>
    </r>
    <r>
      <rPr>
        <b/>
        <sz val="11"/>
        <color theme="1"/>
        <rFont val="Aptos Narrow"/>
        <family val="2"/>
        <scheme val="minor"/>
      </rPr>
      <t>exclude chemical feedstocks</t>
    </r>
    <r>
      <rPr>
        <sz val="11"/>
        <color theme="1"/>
        <rFont val="Aptos Narrow"/>
        <family val="2"/>
        <scheme val="minor"/>
      </rPr>
      <t>. They should include fuels burned for energy, as well as coke or coking coal used in steelmaking.</t>
    </r>
  </si>
  <si>
    <t>Chemical feedstock data should be entered on the "Other Country-Specific Data" sheet.</t>
  </si>
  <si>
    <t>Country: China</t>
  </si>
  <si>
    <t>Energy Use Excluding Chemical Feedstocks</t>
  </si>
  <si>
    <t>Year: 2022</t>
  </si>
  <si>
    <t>Units: Petajoules (PJ)</t>
  </si>
  <si>
    <t>References: 1, 42</t>
  </si>
  <si>
    <t>Note on bioenergy use in China</t>
  </si>
  <si>
    <t>CESY reports no bioenergy use by industry.</t>
  </si>
  <si>
    <t>China's bioenergy goes to the power sector (biomass combustion), the transport sector (liquid biofuels), and</t>
  </si>
  <si>
    <t>to the residential builidngs sector, particularly in rural areas (and a bit for commercial buildings).</t>
  </si>
  <si>
    <t>This may not be strictly accurate, since one would imagine at least the pulp and paper industry, and maybe</t>
  </si>
  <si>
    <t>the wood and wood products industry, would burn some biogenic byproducts, but there are no data on this.</t>
  </si>
  <si>
    <t>Country: Indonesia</t>
  </si>
  <si>
    <t>Reference: 50, 51</t>
  </si>
  <si>
    <t>Country: Vietnam</t>
  </si>
  <si>
    <t>References: 74, 75</t>
  </si>
  <si>
    <t>Country: United States</t>
  </si>
  <si>
    <t>Reference: 46, 42</t>
  </si>
  <si>
    <t>This row is from EIA MECS because textiles, leather, &amp; apparel are not included in EIA AEO.</t>
  </si>
  <si>
    <t>We subtract the textiles row because textiles are not broken out in EIA AEO data, but we are breaking them out here.</t>
  </si>
  <si>
    <t>Metric</t>
  </si>
  <si>
    <t>China Refs</t>
  </si>
  <si>
    <t>Indonesia Refs</t>
  </si>
  <si>
    <t>Vietnam Refs</t>
  </si>
  <si>
    <t>U.S. Refs</t>
  </si>
  <si>
    <t>Active Region</t>
  </si>
  <si>
    <t>Notes</t>
  </si>
  <si>
    <t>Chemicals industry feestock use</t>
  </si>
  <si>
    <t>coal</t>
  </si>
  <si>
    <t>scaled from CN</t>
  </si>
  <si>
    <t>natural gas</t>
  </si>
  <si>
    <t>HGL, NGL, LPG (ethane, propane, butane, etc.)</t>
  </si>
  <si>
    <t>see note</t>
  </si>
  <si>
    <t>HGL , NGL, and LPG are primarily derived from refining and natural gas processing. In this tool, they are priced low, as refinery byproducts. Indonesia has essentially no petroleum refining, so we cannot assign them any HGL, NGL, or LPG as feedstock, as its price would be too low to be accurate for Indonesia.  We assign the equivalent feedstock energy to natural gas, which is priced more appropriately in this model for a country that does not have a large domestic petroleum refining industry.</t>
  </si>
  <si>
    <t>petroleum and petrochemical feedstocks</t>
  </si>
  <si>
    <t>Share of chemicals industry products by mass (or energy)</t>
  </si>
  <si>
    <t>Fertilizers</t>
  </si>
  <si>
    <t>%</t>
  </si>
  <si>
    <t>Using global data</t>
  </si>
  <si>
    <t>Plastics (incl. thermosets, fiber, elastomers)</t>
  </si>
  <si>
    <t>Other chemicals industry products</t>
  </si>
  <si>
    <t>Process CO2 from calcination in non-metallic minerals industry (mostly cement)</t>
  </si>
  <si>
    <t>CO2 from mineral calcination</t>
  </si>
  <si>
    <t>MMT CO2</t>
  </si>
  <si>
    <t>Anticipated natural % change in demand through 2050</t>
  </si>
  <si>
    <t>Indonesia: based on population projection (source 41, page 43)</t>
  </si>
  <si>
    <t>using paper value</t>
  </si>
  <si>
    <t>See "Refining Demand Projection" tab for various alternative scenario options</t>
  </si>
  <si>
    <t>see below</t>
  </si>
  <si>
    <t>This is a weighted average of the major chemicals industry products, broken out below</t>
  </si>
  <si>
    <t>avg of CN and VT</t>
  </si>
  <si>
    <t>4, 26</t>
  </si>
  <si>
    <t>using steel value</t>
  </si>
  <si>
    <t>Chemicals industry breakout by product type</t>
  </si>
  <si>
    <t>This row helps to calculate the chemicals industry value above</t>
  </si>
  <si>
    <t>using CN value</t>
  </si>
  <si>
    <t>This row helps to calculate the chemicals industry value above. Indonesia value based on ammonia.</t>
  </si>
  <si>
    <t>Weighted average of chemicals industry products</t>
  </si>
  <si>
    <t>Material efficiency potential</t>
  </si>
  <si>
    <t>Except for Viet Nam, this is a weighted average of the major chemicals industry products, broken out below</t>
  </si>
  <si>
    <t>using IN value</t>
  </si>
  <si>
    <t>Using global data. This row helps to calculate the chemicals industry value above</t>
  </si>
  <si>
    <t>Product lifetime extension potential</t>
  </si>
  <si>
    <t>estimated by LBL</t>
  </si>
  <si>
    <t>avg of CN and IN</t>
  </si>
  <si>
    <t>Lifetime extension applies to metal products and to buildings (i.e., cement)</t>
  </si>
  <si>
    <t>Energy efficiency potential</t>
  </si>
  <si>
    <t>using chem value</t>
  </si>
  <si>
    <t>calc. avg.</t>
  </si>
  <si>
    <t>Energy prices (2022 actual)</t>
  </si>
  <si>
    <t>Billion USD / PJ</t>
  </si>
  <si>
    <t>using coal value</t>
  </si>
  <si>
    <t>see "China Energy Prices" tab</t>
  </si>
  <si>
    <t>For Vietnam, this is production cost. Retail cost would likely be higher.</t>
  </si>
  <si>
    <t>Energy prices (2050 forecast)</t>
  </si>
  <si>
    <t>BAU Carbon Price</t>
  </si>
  <si>
    <t>Carbon price (2022 historical, industrial sector)</t>
  </si>
  <si>
    <t>Carbon price (2025, industrial sector)</t>
  </si>
  <si>
    <t>The rate in effect as of 2025 is used as a minimum carbon price applied in 2050. The user can specify a higher carbon price for 2050 using a control setting near the top of the "Graphs" tab.</t>
  </si>
  <si>
    <t>Country-specific emissions per unit electricity generation (from electricity sector)</t>
  </si>
  <si>
    <t>coal power plants</t>
  </si>
  <si>
    <t>MMT CO2 / PJ</t>
  </si>
  <si>
    <t>using US value</t>
  </si>
  <si>
    <t>petroleum power plants</t>
  </si>
  <si>
    <t>natural gas power plants</t>
  </si>
  <si>
    <t>Country-specific CapEx Factors</t>
  </si>
  <si>
    <t>Iron and Steel - Tier 1: Efficiency</t>
  </si>
  <si>
    <t>$ / (GJ/yr)</t>
  </si>
  <si>
    <t>LBL cost models</t>
  </si>
  <si>
    <t>avg CN, VT, ID</t>
  </si>
  <si>
    <t>Iron and Steel - Tier 2a: Electrification, Nonthermal</t>
  </si>
  <si>
    <t>Iron and Steel - Tier 2a: Electrification, Low-Temp</t>
  </si>
  <si>
    <t>Iron and Steel - Tier 2b: Electrification, Med-Temp</t>
  </si>
  <si>
    <t>Iron and Steel - Tier 2b: Electrification, High-Temp</t>
  </si>
  <si>
    <t>Iron and Steel - Tier 3: CCS</t>
  </si>
  <si>
    <t>$/(t CO2/yr)</t>
  </si>
  <si>
    <t>48, 49</t>
  </si>
  <si>
    <t>Iron and Steel - Tier 4a: Green H2</t>
  </si>
  <si>
    <t>using ID value</t>
  </si>
  <si>
    <t>Do not include electrolyzer CapEx or RE supply CapEx in this line</t>
  </si>
  <si>
    <t>Cement - Tier 1: Efficiency</t>
  </si>
  <si>
    <t>Can include clinker substitution (material efficiency - use less clinker per unit cement)</t>
  </si>
  <si>
    <t>Cement - Tier 2a: Electrification, Nonthermal</t>
  </si>
  <si>
    <t>Cement - Tier 2a: Electrification, Low-Temp</t>
  </si>
  <si>
    <t>Low-temp electrification has higher CapEx per (GJ/yr) than medium-temp electrification because low-temp electrification is using industrial heat pumps, which have higher capital costs and consume fewer GJ of energy due to their efficiency.</t>
  </si>
  <si>
    <t>Cement - Tier 2b: Electrification, Med-Temp</t>
  </si>
  <si>
    <t>Cement - Tier 2b: Electrification, High-Temp</t>
  </si>
  <si>
    <t>Cement - Tier 3: CCS</t>
  </si>
  <si>
    <t>Cement - Tier 4a: Green H2</t>
  </si>
  <si>
    <t>Other Subindustries - Tier 1: Efficiency</t>
  </si>
  <si>
    <t>avg. steel, cement</t>
  </si>
  <si>
    <t>Other Subindustries - Tier 2a: Electrification, Nonthermal</t>
  </si>
  <si>
    <t>Other Subindustries - Tier 2a: Electrification, Low-Temp</t>
  </si>
  <si>
    <t>Other Subindustries - Tier 2b: Electrification, Med-Temp</t>
  </si>
  <si>
    <t>Other Subindustries - Tier 2b: Electrification, High-Temp</t>
  </si>
  <si>
    <t>Other Subindustries - Tier 3: CCS</t>
  </si>
  <si>
    <t>Other Subindustries - Tier 4a: Green H2</t>
  </si>
  <si>
    <t>Chemicals - Tier 4b: Clean Feedstocks</t>
  </si>
  <si>
    <t>Hydrogen electrolyzers</t>
  </si>
  <si>
    <t>2022 electricity generation share by electricity source</t>
  </si>
  <si>
    <t>Gas</t>
  </si>
  <si>
    <t>Nuclear</t>
  </si>
  <si>
    <t>Hydro</t>
  </si>
  <si>
    <t>Wind</t>
  </si>
  <si>
    <t>Solar</t>
  </si>
  <si>
    <t>Other renewables</t>
  </si>
  <si>
    <t>Historical and projected BAU electricity demand</t>
  </si>
  <si>
    <t>whole economy, 2022</t>
  </si>
  <si>
    <t>TWh</t>
  </si>
  <si>
    <t>1, 81, 82</t>
  </si>
  <si>
    <t>whole economy, 2025</t>
  </si>
  <si>
    <t>whole economy, 2030</t>
  </si>
  <si>
    <t>whole economy, 2035</t>
  </si>
  <si>
    <t>whole economy, 2040</t>
  </si>
  <si>
    <t>whole economy, 2045</t>
  </si>
  <si>
    <t>whole economy, 2050</t>
  </si>
  <si>
    <t>manufacturing, 2022 (should be same data source as above)</t>
  </si>
  <si>
    <t>manufacturing, 2025 (should be same data source as above)</t>
  </si>
  <si>
    <t>manufacturing, 2030 (should be same data source as above)</t>
  </si>
  <si>
    <t>manufacturing, 2035 (should be same data source as above)</t>
  </si>
  <si>
    <t>manufacturing, 2040 (should be same data source as above)</t>
  </si>
  <si>
    <t>manufacturing, 2045 (should be same data source as above)</t>
  </si>
  <si>
    <t>manufacturing, 2050 (should be same data source as above)</t>
  </si>
  <si>
    <t>Coal mining type shares (underground vs. surface mining)</t>
  </si>
  <si>
    <t>Share of coal mining from underground mines</t>
  </si>
  <si>
    <t>61, 62</t>
  </si>
  <si>
    <t>Shifting from primary to secondary steel</t>
  </si>
  <si>
    <t>Share of primary steel replaced by increased production of secondary steel (e.g., given scrap availability limits)</t>
  </si>
  <si>
    <t>LBL steel model</t>
  </si>
  <si>
    <t>user setting</t>
  </si>
  <si>
    <t>This is a scenario setting, not input data.</t>
  </si>
  <si>
    <t>Share of non-electrified non-feedstock energy use handled via CCS</t>
  </si>
  <si>
    <t>LBL cement mdl</t>
  </si>
  <si>
    <t>Share of non-electrified non-feedstock energy use handled via green H2</t>
  </si>
  <si>
    <t>Share of chemical feedstocks provided by energy source</t>
  </si>
  <si>
    <t>bioenergy</t>
  </si>
  <si>
    <t>green hydrogen (+ captured carbon, where needed)</t>
  </si>
  <si>
    <t>blue hydrogen (+ captured carbon, where needed)</t>
  </si>
  <si>
    <t>The degree to which the interventions in each tier can be achieved varies by year.</t>
  </si>
  <si>
    <t>Years farther in the future allow for more time for investments and policies to take effect, transforming the industrial sector.</t>
  </si>
  <si>
    <t>What is achievable by a specific year may also vary by country.</t>
  </si>
  <si>
    <t>Set the assumptions below to indicate how much of the intervention at each tier is achievable by each listed year.</t>
  </si>
  <si>
    <t>There is no need for the interventions to be 100% achieved, even in the final year.</t>
  </si>
  <si>
    <t>In other words, you are able to model scenarios that achieve less than full decarbonization of the industrial sector.</t>
  </si>
  <si>
    <t>Setting all tiers to 100% in a given year models the costs and emissions impacts of complete industrial decarbonization.</t>
  </si>
  <si>
    <t>All values in these tables are intended to be set by the user to specify the scenario being modeled.</t>
  </si>
  <si>
    <t>(They are not input data and therefore don't have associated references.)</t>
  </si>
  <si>
    <t>We default to three curves: a front-loaded curve for the earliest-tier technologies, a linear curve for the mid-tier technologies, and a back-loaded curve for the latest-tier technologies.</t>
  </si>
  <si>
    <t>User-selected country's values:</t>
  </si>
  <si>
    <t>Tier</t>
  </si>
  <si>
    <t>Active Year</t>
  </si>
  <si>
    <t>All enegy and fuel quantities on this sheet are in petajoules (PJ) unless otherwise specified.</t>
  </si>
  <si>
    <t>Historical Results</t>
  </si>
  <si>
    <t>Selected Country's Industrial Energy Demand (most recent year for which data is available)</t>
  </si>
  <si>
    <t>Electricity for Green Hydrogen</t>
  </si>
  <si>
    <t>Direct Use of Fossil Fuels with Carbon Capture</t>
  </si>
  <si>
    <t>Total without feedstocks</t>
  </si>
  <si>
    <t>Total with feedstocks</t>
  </si>
  <si>
    <t>Future Natural Changes in Demand (not policy-driven)</t>
  </si>
  <si>
    <t>Share of 2050 changes anticipated to have occurred by the user-selected year</t>
  </si>
  <si>
    <t>Anticipated natural demand change</t>
  </si>
  <si>
    <t>Change from sensitivity analysis</t>
  </si>
  <si>
    <t>Natural change with sensitivity analysis effect</t>
  </si>
  <si>
    <t>Future No Additional Policy Projection</t>
  </si>
  <si>
    <t>Projected 2050 Industrial Energy Demand Without Policy Intervention</t>
  </si>
  <si>
    <t>Tier 1: Material Efficiency, Energy Efficiency, and Product Longevity</t>
  </si>
  <si>
    <t>Policy-Driven Material Efficiency, Product Longevity, and Energy Efficiency Potentials</t>
  </si>
  <si>
    <t>Product lifetime extension</t>
  </si>
  <si>
    <t>Combined energy demand reduction potential</t>
  </si>
  <si>
    <t>Implemented by user-selected year</t>
  </si>
  <si>
    <t>Material efficiency + lifetime extenstion % demand reduction</t>
  </si>
  <si>
    <t>ME + LE % demand reduction adjusted for future BAU</t>
  </si>
  <si>
    <t>Weighted Avg. Across Subindustries</t>
  </si>
  <si>
    <t>Lifetime extension</t>
  </si>
  <si>
    <t>Combined effect</t>
  </si>
  <si>
    <t>Tier 1 Results</t>
  </si>
  <si>
    <t>After Material Efficiency, Energy Efficiency, and Product Longevity</t>
  </si>
  <si>
    <t>Tier 2a: Electrify Low-Temperature Industrial Heating and Non-Heating, Non-Feedstock Uses of Fossil Fuels (e.g., machine drive and cooling), and increase secondary steelmaking</t>
  </si>
  <si>
    <t>Tier 2b: Electrifiy Medium- and High-Temperature Industrial Heating (up through Madeddu's "Stage 2" potential)</t>
  </si>
  <si>
    <t>Remaining Fossil Fuel Demand to Decarbonize by Temperature and Non-Heating Uses (PJ)</t>
  </si>
  <si>
    <t>We exclude purchased heat and purchased electricity, as decarbonizing electricity generation plants and district heat plants is outside of the industrial sector and therefore outside the scope of this report.</t>
  </si>
  <si>
    <t>Non-feedstock Fossil Fuels</t>
  </si>
  <si>
    <t>Non-heating uses</t>
  </si>
  <si>
    <t>&lt; 80 °C</t>
  </si>
  <si>
    <t>80 - 150 °C</t>
  </si>
  <si>
    <t>150 - 300 °C</t>
  </si>
  <si>
    <t>300 - 550 °C</t>
  </si>
  <si>
    <t>550 - 1100 °C</t>
  </si>
  <si>
    <t>&gt; 1100 °C</t>
  </si>
  <si>
    <t>Mapped industry from electrification potential data</t>
  </si>
  <si>
    <t>Electrification potential (of heating energy)</t>
  </si>
  <si>
    <t>Combustible energy for non-heating uses</t>
  </si>
  <si>
    <t>Combustible energy for heating uses</t>
  </si>
  <si>
    <t>Combustible energy for heating uses to be electrified</t>
  </si>
  <si>
    <t>Combustible energy for heating uses to be provided another way</t>
  </si>
  <si>
    <t>Food</t>
  </si>
  <si>
    <t>Textiles</t>
  </si>
  <si>
    <t>Wood</t>
  </si>
  <si>
    <t>Paper</t>
  </si>
  <si>
    <t>Refining</t>
  </si>
  <si>
    <t>Cement</t>
  </si>
  <si>
    <t>Primary Steel</t>
  </si>
  <si>
    <t>Non-Ferrous Metals</t>
  </si>
  <si>
    <t>Transport Eqpt.</t>
  </si>
  <si>
    <t>Shifting primary to secondary iron and steel production</t>
  </si>
  <si>
    <t>We make this strategy part of tier 2a because the relevant equipment is technologically mature and the cost-per-ton (energy + annualized CapEx) is similar to other tier 2a electrification interventions.</t>
  </si>
  <si>
    <t>Remaining fossil fuel use in iron and steel industry</t>
  </si>
  <si>
    <t>Share to shift to secondary (EAF) production</t>
  </si>
  <si>
    <t>This is before accounting for the intervention share in the user-selected year, which we handle in the table below.</t>
  </si>
  <si>
    <t>Reduction in fossil fuel use</t>
  </si>
  <si>
    <t>Combustible energy to be electrified by temperature (we assume lower temperatures are electrified before higher temperatures, and all non-thermal uses of non-feedstock combustible fuels are electrified - mostly motors and chillers)</t>
  </si>
  <si>
    <t>Percentage Reduction in Fossil Fuel Use</t>
  </si>
  <si>
    <t>Electricity demand for direct electrification</t>
  </si>
  <si>
    <t>Tier 2a Results</t>
  </si>
  <si>
    <t>After Electrifying Low-Temperature Industrial Heating and Non-Heating, Non-Feedstock Uses of Fossil Fuels (e.g., machine drive and cooling)</t>
  </si>
  <si>
    <t>Tier 2b Results</t>
  </si>
  <si>
    <t>After Electrifying Medium- and High-Temperature Industrial Heating (up through Madeddu's "Stage 2" potential)</t>
  </si>
  <si>
    <t>Tier 3: Carbon Capture and Storage (CCS)</t>
  </si>
  <si>
    <t>Fossil Fuel Use after Tier 2b</t>
  </si>
  <si>
    <t>Share to be handled via CCS by user-selected year</t>
  </si>
  <si>
    <t>Fossil fuel use shifted to CCS</t>
  </si>
  <si>
    <t>Increase in fuel use to power CCS</t>
  </si>
  <si>
    <t>Additional energy to power capture of cement process emissions by user-selected year</t>
  </si>
  <si>
    <t>Tier 3 Results</t>
  </si>
  <si>
    <t>After CCS</t>
  </si>
  <si>
    <t>Tier 4a: Non-feedstock Green Hydrogen</t>
  </si>
  <si>
    <t>Fossil Fuel Use after Tier 3</t>
  </si>
  <si>
    <t>Share to be handled via green H2 by user-selected year</t>
  </si>
  <si>
    <t>Fossil fuel use shifted green H2</t>
  </si>
  <si>
    <t>Electricity required to produce this H2</t>
  </si>
  <si>
    <t>Tier 4a Results</t>
  </si>
  <si>
    <t>After non-feedstock green hydrogen</t>
  </si>
  <si>
    <t>Tier 4b: Shift to clean chemical feedstocks</t>
  </si>
  <si>
    <t>Historical feedstock demand</t>
  </si>
  <si>
    <t>Reformatted into fuel categories used in this analysis (except keeping HGL, NGL, LPG separate so it can be charged a custom price)</t>
  </si>
  <si>
    <t>After natural demand changes</t>
  </si>
  <si>
    <t>After efficiency and longevity (Tier 1)</t>
  </si>
  <si>
    <t>After feedstock shifts (Tier 4b)</t>
  </si>
  <si>
    <t>Price per unit feedstock (2022)</t>
  </si>
  <si>
    <t>Price per unit feedstock (2050)</t>
  </si>
  <si>
    <t>Note</t>
  </si>
  <si>
    <t>We treat HGL, NGL, and LPG as having a price similar to coal. Although chemically similar to natural gas, natural gas retail prices include costs to</t>
  </si>
  <si>
    <t>Supporting calculation for energy expenditures graph</t>
  </si>
  <si>
    <t>maintain the gas transmission and distribution system, cross-subsidies for residential gas customers, etc. Costs to chemicals facilities of obtaining</t>
  </si>
  <si>
    <t>Average feedstock price (2022)</t>
  </si>
  <si>
    <t>HGL, NGL, and LPG would not have these surcharges.</t>
  </si>
  <si>
    <t>Average feedstock price (2050)</t>
  </si>
  <si>
    <t>Energy source for chemical feedstocks</t>
  </si>
  <si>
    <t>Amount demanded by user-selected year</t>
  </si>
  <si>
    <t>Electricity for green H2</t>
  </si>
  <si>
    <t>green hydrogen</t>
  </si>
  <si>
    <t>blue hydrogen</t>
  </si>
  <si>
    <t>remaining fossil feedstocks</t>
  </si>
  <si>
    <t>CO2 equivalent in displaced feedstocks</t>
  </si>
  <si>
    <t>To estimate the abatement from tier 4b (clean feedstocks), we consider the amount of carbon they contain, converted to CO2, as if the feedstocks had been combusted.</t>
  </si>
  <si>
    <t>In the real world, some of the carbon in the feedstocks gets emitted as process CO2 from chemicals facilities, and some ends up in the final output products like</t>
  </si>
  <si>
    <t>urea-based fertilizers and plastics. Some of the carbon in output produces is released when the products are used (such as fertilizers and fuel additives).</t>
  </si>
  <si>
    <t>In other cases, the carbon remains trapped for some time, ranging from days to decades or longer, but no chemicals industry product is intended as a long-term</t>
  </si>
  <si>
    <t>storage method of CO2, and it can be assumed that all the carbon will escape in a human-relevant timescale (centuries). For instance, about a quarter of plastics today are</t>
  </si>
  <si>
    <t>incinerated, that share is projected to rise to half by 2050, and microbes are already evolving metabolic pathways to break down plastics in oceans and soil.</t>
  </si>
  <si>
    <t>Tier 4b Results</t>
  </si>
  <si>
    <t>After shifting to clean feedstocks</t>
  </si>
  <si>
    <t>Total without feedstocks does not apply to tier 4b</t>
  </si>
  <si>
    <t>Supporting calculations for residual CO2 emissions after CCS and average price of fossil fuels used with CCS</t>
  </si>
  <si>
    <t>Emissions intensity by fuel type</t>
  </si>
  <si>
    <t>kg CO2 / MMBtu</t>
  </si>
  <si>
    <t>kg CO2 / GJ</t>
  </si>
  <si>
    <t>Fuel Use with CCS</t>
  </si>
  <si>
    <t>Fossil fuels to be affected by CCS</t>
  </si>
  <si>
    <t>Fossil fuel use with CCS (incl. powering CCS itself)</t>
  </si>
  <si>
    <t>Average properties of fuels affected by CCS</t>
  </si>
  <si>
    <t>Emissions intensity before capture</t>
  </si>
  <si>
    <t>Emissions intensity (residual emissions)</t>
  </si>
  <si>
    <t>Price (2022)</t>
  </si>
  <si>
    <t>Price (2050)</t>
  </si>
  <si>
    <t>Energy Prices</t>
  </si>
  <si>
    <t>2050 electricity cost factoring in user-selected cost adjustment</t>
  </si>
  <si>
    <t>2022, before sensitivity analysis adjustment (B $/PJ)</t>
  </si>
  <si>
    <t>2022, after sensitivity analysis adjustment (B $/PJ)</t>
  </si>
  <si>
    <t>2050, before sensitivity analysis adjustment (B $/PJ)</t>
  </si>
  <si>
    <t>2050, after sensitivity analysis adjustment (B $/PJ)</t>
  </si>
  <si>
    <t>Price in user-selected year (B $/PJ)</t>
  </si>
  <si>
    <t>Petroleum price for refineries</t>
  </si>
  <si>
    <t>The petroleum fuels consumed by refineries (to power their own operations) are byproducts of the crude oil they refine: mostly refinery fuel gas (RFG), and some petcoke.</t>
  </si>
  <si>
    <t>These fuels are effectively "free" as they come with the crude oil inputs the refinery needs anyway, and they would be difficult or impossible to sell to other users.</t>
  </si>
  <si>
    <t>In fact, burning them might be better than free, as if a refinery couldn't burn these substances, it might have to find another way to dispose of them, which could cost money.</t>
  </si>
  <si>
    <t>Therefore, we need to have special treatment for petroleum costs, where a different cost is charged for petroleum consumed by refineries versus other petroleum.</t>
  </si>
  <si>
    <t>We assume a zero cost for these byproduct fuels generated and consumed within refineries, taking a weighted average to find overall petroleum costs for the sector,</t>
  </si>
  <si>
    <t>which vary by tier because of differences in refineries' share of petroleum fuel consumption by tier.</t>
  </si>
  <si>
    <t>Refineries' share of petroleum consumption</t>
  </si>
  <si>
    <t>Weighted average cost of petroleum for industry in user-selected year</t>
  </si>
  <si>
    <t>B $ / PJ</t>
  </si>
  <si>
    <t>million USD / PJ</t>
  </si>
  <si>
    <t>Carbon price (2050 minimum)</t>
  </si>
  <si>
    <t>Carbon price (in user-selected year)</t>
  </si>
  <si>
    <t>CapEx Requirements</t>
  </si>
  <si>
    <t>Tier 1 (Efficiency)</t>
  </si>
  <si>
    <t>Only energy efficiency, not material efficiency or product longevity, is relevant for increasing CapEx of industrial equipment.</t>
  </si>
  <si>
    <t>Total energy saved via energy efficiency</t>
  </si>
  <si>
    <t>Cost per unit energy saved per year ($/GJ - equal to M$ / PJ)</t>
  </si>
  <si>
    <t>million $</t>
  </si>
  <si>
    <t>Tier 2a (Electrifying Low-Temp Industrial Heating and Non-heating)</t>
  </si>
  <si>
    <t>Increased electricity demand for non-heating</t>
  </si>
  <si>
    <t>Increased electricity demand for low-temp heating</t>
  </si>
  <si>
    <t>Increased electricity demand for secondary steel</t>
  </si>
  <si>
    <t>Non-thermal ($/GJ - equal to M$ / PJ)</t>
  </si>
  <si>
    <t>Low-temp ($/GJ - equal to M$ / PJ)</t>
  </si>
  <si>
    <t>Secondary steel shifting ($/GJ - equal to M$ / PJ)</t>
  </si>
  <si>
    <t>Tier 2b (Electrifying Med-Temp and High-Temp Industrial Heating)</t>
  </si>
  <si>
    <t>Increased electricity demand for med-temp heating</t>
  </si>
  <si>
    <t>Increased electricity demand for high-temp heating</t>
  </si>
  <si>
    <t>Med-temp ($/GJ - equal to M$ / PJ)</t>
  </si>
  <si>
    <t>High-temp ($/GJ - equal to M$ / PJ)</t>
  </si>
  <si>
    <t>Tier 3 (CCS)</t>
  </si>
  <si>
    <t>Coal used in CCS</t>
  </si>
  <si>
    <t>Coke used in CCS</t>
  </si>
  <si>
    <t>Coal/Coke Byproducts used in CCS</t>
  </si>
  <si>
    <t>Petroleum used in CCS</t>
  </si>
  <si>
    <t>Natural Gas used in CCS</t>
  </si>
  <si>
    <t>CO2 emissions put into CCS system</t>
  </si>
  <si>
    <t>CO2 emissions captured</t>
  </si>
  <si>
    <t>CCS CapEx per ton CO2 stored annually</t>
  </si>
  <si>
    <t>Tier 4a (Non-feedstock green H2)</t>
  </si>
  <si>
    <t>Non-feedstock green H2 use (PJ H2)</t>
  </si>
  <si>
    <t>H2-Using Eqpt. CapEx ($/GJ - equal to M$ / PJ)</t>
  </si>
  <si>
    <t>CapEx for eqpt. to use hydrogen (M $)</t>
  </si>
  <si>
    <t>CapEx for eqpt. to produce hydrogen</t>
  </si>
  <si>
    <t>Tier 4b (Chemicals Feedstocks)</t>
  </si>
  <si>
    <t>Note: We don't have capital costs of equipment to use fuels through non-combustion processes. Even if we did, the costs would not be meaningful because they would include large system costs for chemical processes</t>
  </si>
  <si>
    <t>(such as in steam crackers) that are unrelated to the feedstock type. As the closest available substitute, we use capital costs of combustion equipment for each relevant fuel type, assuming non-boiler med-temp heating.</t>
  </si>
  <si>
    <t>Value</t>
  </si>
  <si>
    <t>green hydrogen for feedstocks</t>
  </si>
  <si>
    <t>PJ H2</t>
  </si>
  <si>
    <t>CapEx for eqpt. to use hydrogen</t>
  </si>
  <si>
    <t>This row is the cost of equipment to use hydrogen, not the cost of equipment to produce the hydrogen.</t>
  </si>
  <si>
    <t>This row is the cost of electrolyzers to produce the hydrogen.</t>
  </si>
  <si>
    <t>bioenergy for feedstocks</t>
  </si>
  <si>
    <t>PJ bioenergy</t>
  </si>
  <si>
    <t>CapEx for eqpt. to use bioenergy</t>
  </si>
  <si>
    <t>blue hydrogen for feedstocks</t>
  </si>
  <si>
    <t>Total Capital Costs by Tier</t>
  </si>
  <si>
    <t>Value from above</t>
  </si>
  <si>
    <t>After sensitivity analysis adjustment</t>
  </si>
  <si>
    <t>CapEx by Tier by Subindustry (after sensitivity analysis adjustment)</t>
  </si>
  <si>
    <t>Electrification-only total</t>
  </si>
  <si>
    <t>Electrification-only rank</t>
  </si>
  <si>
    <t>Converting CapEx to an Annuity Over Equipment Lifetime</t>
  </si>
  <si>
    <t>Source</t>
  </si>
  <si>
    <t>number of years (n) - equipment lifetime</t>
  </si>
  <si>
    <t>assumption</t>
  </si>
  <si>
    <t>discount rate (r)</t>
  </si>
  <si>
    <t>The default value of 7% is rounding the value 7.16% (from source #45) to the nearest whole percentage point.</t>
  </si>
  <si>
    <t>Formulat for converting a present value (PV) into an annuity:</t>
  </si>
  <si>
    <t>Annuity = (PV * r) / (1 - (1 + r)^(-n))</t>
  </si>
  <si>
    <t>Present Value (PV)</t>
  </si>
  <si>
    <t>Annuity</t>
  </si>
  <si>
    <t>Electricity-Related Emissions Intensities</t>
  </si>
  <si>
    <t>CO2 intensity of electricity mix (BAU)</t>
  </si>
  <si>
    <t>CO2 intensity of electricity mix assuming progress toward zero in 2050</t>
  </si>
  <si>
    <t>Coal mine methane emissions factor</t>
  </si>
  <si>
    <t>MMT CO2e / PJ coal</t>
  </si>
  <si>
    <r>
      <t xml:space="preserve">Methane leaked in CO2e per unit of coal produced (all coal used in the modeled country was produced </t>
    </r>
    <r>
      <rPr>
        <i/>
        <sz val="11"/>
        <color theme="1"/>
        <rFont val="Aptos Narrow"/>
        <family val="2"/>
        <scheme val="minor"/>
      </rPr>
      <t>somewhere</t>
    </r>
    <r>
      <rPr>
        <sz val="11"/>
        <color theme="1"/>
        <rFont val="Aptos Narrow"/>
        <family val="2"/>
        <scheme val="minor"/>
      </rPr>
      <t xml:space="preserve"> - we only care about the location of coal production to determine the balance of underground vs. surface mines (since they have different coal mine methane leakage rates), for which we assume the coal was produced domstically)</t>
    </r>
  </si>
  <si>
    <t>Natural gas emissions factor</t>
  </si>
  <si>
    <t>MMT CO2e / PJ NG</t>
  </si>
  <si>
    <t>Methane leaked in CO2e per unit of natural gas produced (all NG used in the modeled country was produced somewhere, and we aren't using country-specific leakage rates)</t>
  </si>
  <si>
    <t>NG and petroleum share of fuels affected by CCS</t>
  </si>
  <si>
    <t>Includes petroleum share, since petroleum is often co-produced with natural gas</t>
  </si>
  <si>
    <t>Coal (&amp; coke) share of fuels affected by CCS</t>
  </si>
  <si>
    <t>Avg. methane emissions factor for CCS fuels</t>
  </si>
  <si>
    <t>MMT CO2e / PJ</t>
  </si>
  <si>
    <t>For mixed fuel types as used in CCS</t>
  </si>
  <si>
    <t>Coal mine methane</t>
  </si>
  <si>
    <t>NG leakage</t>
  </si>
  <si>
    <t>From fuels with CCS</t>
  </si>
  <si>
    <t>MMT CO2e</t>
  </si>
  <si>
    <t>Cement Process Emissions</t>
  </si>
  <si>
    <t>Cement process emissions</t>
  </si>
  <si>
    <t>Process CO2 captured</t>
  </si>
  <si>
    <t>Amount of coal that would emit this much CO2</t>
  </si>
  <si>
    <t>Energy required to capture this much CO2</t>
  </si>
  <si>
    <t>Convert from</t>
  </si>
  <si>
    <t>Convert to</t>
  </si>
  <si>
    <t>Units</t>
  </si>
  <si>
    <t>Conversion factor data source</t>
  </si>
  <si>
    <t>to</t>
  </si>
  <si>
    <t>TCE</t>
  </si>
  <si>
    <t>multiply by</t>
  </si>
  <si>
    <t>TCE / PJ</t>
  </si>
  <si>
    <t>10^4 TCE</t>
  </si>
  <si>
    <t>PJ / 10^4 TCE</t>
  </si>
  <si>
    <t>calculated on this sheet</t>
  </si>
  <si>
    <t>T btu</t>
  </si>
  <si>
    <t>MMBtu</t>
  </si>
  <si>
    <t>GJ</t>
  </si>
  <si>
    <t>GJ / MMBtu</t>
  </si>
  <si>
    <t>kWh</t>
  </si>
  <si>
    <t>PJ / kWh</t>
  </si>
  <si>
    <t>MJ</t>
  </si>
  <si>
    <t>MJ / kWh</t>
  </si>
  <si>
    <t>lbm</t>
  </si>
  <si>
    <t>tonne</t>
  </si>
  <si>
    <t>lbm/tonne</t>
  </si>
  <si>
    <t>2023 Yuan</t>
  </si>
  <si>
    <t>2023 USD</t>
  </si>
  <si>
    <t>2023 USD/Yuan</t>
  </si>
  <si>
    <t>https://www.exchange-rates.org/exchange-rate-history/cny-usd-2023</t>
  </si>
  <si>
    <t xml:space="preserve">to </t>
  </si>
  <si>
    <t xml:space="preserve">2023 Euro </t>
  </si>
  <si>
    <t>2023 EUR/Yuan</t>
  </si>
  <si>
    <t>https://www.ecb.europa.eu/stats/policy_and_exchange_rates/euro_reference_exchange_rates/html/eurofxref-graph-cny.en.html</t>
  </si>
  <si>
    <t>2023 Euro</t>
  </si>
  <si>
    <t>2023 USD/EURO</t>
  </si>
  <si>
    <t>https://www.irs.gov/individuals/international-taxpayers/yearly-average-currency-exchange-rates</t>
  </si>
  <si>
    <t>lb</t>
  </si>
  <si>
    <t>kg</t>
  </si>
  <si>
    <t>kg / lb</t>
  </si>
  <si>
    <t>ft^3</t>
  </si>
  <si>
    <t>m^3</t>
  </si>
  <si>
    <t>m^3 / ft^3</t>
  </si>
  <si>
    <t>EJ</t>
  </si>
  <si>
    <t>TWh / EJ</t>
  </si>
  <si>
    <t>KTOE</t>
  </si>
  <si>
    <t>PJ / KTOE</t>
  </si>
  <si>
    <t>million BOE</t>
  </si>
  <si>
    <t>trillion BTU</t>
  </si>
  <si>
    <t xml:space="preserve">multiply by </t>
  </si>
  <si>
    <t>Tbtu</t>
  </si>
  <si>
    <t>https://www.bp.com/content/dam/bp/business-sites/en/global/corporate/pdfs/energy-economics/statistical-review/bp-stats-review-2022-approximate-conversion-factors.pdf</t>
  </si>
  <si>
    <r>
      <t>EJ (10</t>
    </r>
    <r>
      <rPr>
        <vertAlign val="superscript"/>
        <sz val="11"/>
        <color theme="1"/>
        <rFont val="Aptos Narrow"/>
        <family val="2"/>
        <scheme val="minor"/>
      </rPr>
      <t>18</t>
    </r>
    <r>
      <rPr>
        <sz val="11"/>
        <color theme="1"/>
        <rFont val="Aptos Narrow"/>
        <family val="2"/>
        <scheme val="minor"/>
      </rPr>
      <t>) J</t>
    </r>
  </si>
  <si>
    <t>BOE</t>
  </si>
  <si>
    <t>=</t>
  </si>
  <si>
    <t>million BTU</t>
  </si>
  <si>
    <t>MBOE</t>
  </si>
  <si>
    <t>calculated based on above conversion factors</t>
  </si>
  <si>
    <t>toe</t>
  </si>
  <si>
    <t>MTOE</t>
  </si>
  <si>
    <t>TJ</t>
  </si>
  <si>
    <t>BTU</t>
  </si>
  <si>
    <t>Metallurgical /  Coking Coal</t>
  </si>
  <si>
    <t>short ton</t>
  </si>
  <si>
    <t>million BTU / short ton</t>
  </si>
  <si>
    <t>https://www.eia.gov/totalenergy/data/monthly/pdf/sec12_6.pdf</t>
  </si>
  <si>
    <t>metric tonne</t>
  </si>
  <si>
    <t>metric tonnes / short ton</t>
  </si>
  <si>
    <t>Reference Number</t>
  </si>
  <si>
    <t>Author</t>
  </si>
  <si>
    <t>Document</t>
  </si>
  <si>
    <t>URL</t>
  </si>
  <si>
    <t>Page or Table</t>
  </si>
  <si>
    <t>National Bureau of Statistics</t>
  </si>
  <si>
    <t>China Energy Statistical Yearbook 2022</t>
  </si>
  <si>
    <t>https://www.chinayearbooks.com/china-energy-statistical-yearbook-2022.html</t>
  </si>
  <si>
    <t>using 2021 year</t>
  </si>
  <si>
    <t>Ali Hasanbeigi, Hongyou Lu, Nan Zhou</t>
  </si>
  <si>
    <t>Net-Zero Roadmap for China's Steel Industry</t>
  </si>
  <si>
    <t>https://static1.squarespace.com/static/5877e86f9de4bb8bce72105c/t/6400854fbe41e5254fcfd5c3/1677755746536/China+steel+roadmap-2Mar2023.pdf</t>
  </si>
  <si>
    <t>Page 3, Figure ES2 and Page 21, Table 1. The values here begin in 2020, but we assume the potential is roughly the same if interventions begin in 2025.</t>
  </si>
  <si>
    <t>Global Cement and Concrete Association</t>
  </si>
  <si>
    <t>Concrete Future: The GCCA 2050 Cement and Concrete Industry Roadmap for Net Zero Concrete</t>
  </si>
  <si>
    <t>https://gccassociation.org/concretefuture/wp-content/uploads/2022/10/GCCA-Concrete-Future-Roadmap-Document-AW-2022.pdf?apcid=0065d8e5d65f2d3102d04602</t>
  </si>
  <si>
    <t>Page 24, figure</t>
  </si>
  <si>
    <t>Rhodium Group</t>
  </si>
  <si>
    <t>The Global Cement Challenge</t>
  </si>
  <si>
    <t>https://rhg.com/research/the-global-cement-challenge/</t>
  </si>
  <si>
    <t>Figure 4 (measured in vector graphics program for accuracy)</t>
  </si>
  <si>
    <t>Energy Innovation LLC and iGDP</t>
  </si>
  <si>
    <t>China iGDP Energy Policy Simulator</t>
  </si>
  <si>
    <t>https://energypolicy.solutions/home/china-igdp/en</t>
  </si>
  <si>
    <t>Jeffrey Rissman</t>
  </si>
  <si>
    <t>Zero-Carbon Industry</t>
  </si>
  <si>
    <t>https://zerocarbonindustry.com/</t>
  </si>
  <si>
    <t>Figure 2.2 (chemical products by mass); Figure 6.3 (heat pump efficiency), Ch 6 "Induction" (high-temp elec efficiency)</t>
  </si>
  <si>
    <t>Monica Dokl et al.</t>
  </si>
  <si>
    <t>Global projections of plastic use, end-of-life fate and potential changes in consumption, reduction, recycling and replacement with bioplastics to 2050</t>
  </si>
  <si>
    <t>https://www.sciencedirect.com/science/article/pii/S2352550924002823#f0005</t>
  </si>
  <si>
    <t>Figure 1, Panel (a) (measured in vector graphics program for accuracy)</t>
  </si>
  <si>
    <t>Julian Alwood, Jonathan Cullen</t>
  </si>
  <si>
    <t>Sustainable Materials Without the Hot Air</t>
  </si>
  <si>
    <t>https://www.bloomsbury.com/us/sustainable-materials-without-the-hot-air-9781906860301/</t>
  </si>
  <si>
    <t>The authors identify the technical potential as 30% for steel and other materials, but this estimate isn't specific to any region or material</t>
  </si>
  <si>
    <t>Zhe Wang et al.</t>
  </si>
  <si>
    <t>Modeling Aluminum Stocks and Flows in China until 2050 Using a Bottom-Up Approach: Business-As-Usual Scenario Analysis</t>
  </si>
  <si>
    <t>https://www.mdpi.com/2071-1050/16/18/7959</t>
  </si>
  <si>
    <t>Figure 2, Panel (a) (measured in vector graphics program for accuracy)</t>
  </si>
  <si>
    <t>U.S. Energy Information Administration</t>
  </si>
  <si>
    <t>Manufacturing Energy Consumption Survey 2018</t>
  </si>
  <si>
    <t>https://www.eia.gov/consumption/manufacturing/data/2018/</t>
  </si>
  <si>
    <t>Tables 5.2, 5.4</t>
  </si>
  <si>
    <t>Ali Hasanbeigi, Cecilia Springer, Adam Sibal</t>
  </si>
  <si>
    <t>Electrifying European Industry: Part 1: Electrification of Industrial Processes</t>
  </si>
  <si>
    <t>https://static1.squarespace.com/static/5877e86f9de4bb8bce72105c/t/6719f901a1b4411b805a5211/1729755423661/EU+Industry+electrification-+Part+1-Process+electrification.pdf</t>
  </si>
  <si>
    <t>Page 10, Figure 2.4</t>
  </si>
  <si>
    <t>Silvia Madeddu et al.</t>
  </si>
  <si>
    <t>The CO2 reduction potential for the European industry via direct electrification of heat supply (power-to-heat)</t>
  </si>
  <si>
    <t>https://doi.org/10.1088/1748-9326/abbd02</t>
  </si>
  <si>
    <t>Supplementary materials, Table A2 and Figure A7</t>
  </si>
  <si>
    <t>International Council on Clean Transportation</t>
  </si>
  <si>
    <t>The Ever-Improving Efficiency of the Diesel Engine</t>
  </si>
  <si>
    <t>https://theicct.org/the-ever-improving-efficiency-of-the-diesel-engine/</t>
  </si>
  <si>
    <t>Paragraph 3</t>
  </si>
  <si>
    <t>Ali Hasanbeigi, Cecilia Springer, Jibran Zuberi, Hongyou Lu, Nan Zhou</t>
  </si>
  <si>
    <t>Electrifying Industrial Heating in China</t>
  </si>
  <si>
    <t>https://static1.squarespace.com/static/5877e86f9de4bb8bce72105c/t/6566c06a333b464338360746/1701232766000/China+industrial+electrification+-11.27.2023rev.pdf</t>
  </si>
  <si>
    <t>Page 65, Figure 73 plus text above (measured in vector graphics program for accuracy), electricity bar is 99% efficient, so 101 px * 99% / 141 px = 71%. Also page 15, Table 2.</t>
  </si>
  <si>
    <t>International Energy Agency</t>
  </si>
  <si>
    <t>Driving Energy Efficiency in Heavy Industries: Global energy efficiency benchmarking in cement, iron &amp; steel</t>
  </si>
  <si>
    <t>https://www.iea.org/articles/driving-energy-efficiency-in-heavy-industries</t>
  </si>
  <si>
    <t>"Methods and boundaries" section, "Blast furnaces" bullet point, last sentence</t>
  </si>
  <si>
    <t>Stephen R. Mickey</t>
  </si>
  <si>
    <t>Efficient Gas Heating of Industrial Furnaces</t>
  </si>
  <si>
    <t>https://thermalprocessing.com/efficient-gas-heating-of-industrial-furnaces/</t>
  </si>
  <si>
    <t>Figure 1, using ε = 0.2 line</t>
  </si>
  <si>
    <t>United Nations Environment Programme</t>
  </si>
  <si>
    <t>Energy Efficiency Guide for Industry in Asia</t>
  </si>
  <si>
    <t>http://www.moderneq.com/pdf/Refractories.pdf</t>
  </si>
  <si>
    <t>Pages 26-27, "Furnace efficiency"</t>
  </si>
  <si>
    <t>U.S. Department of Energy</t>
  </si>
  <si>
    <t>Energy Conservation Program: Energy Conservation Standards for Electric Motors</t>
  </si>
  <si>
    <t>https://www.federalregister.gov/documents/2023/10/20/2023-23204/energy-conservation-program-energy-conservation-standards-for-electric-motors</t>
  </si>
  <si>
    <t>Table II-1, all motors with horsepower ~200 and above</t>
  </si>
  <si>
    <t>Schneider Electric</t>
  </si>
  <si>
    <t>What is process electrification in downstream Oil and Gas industry</t>
  </si>
  <si>
    <t>https://decarbonisationtechnology.com/videos/84/what-is-process-electrification-in-downstream-oil-and-gas-industry</t>
  </si>
  <si>
    <t>Video description (text paragraph)</t>
  </si>
  <si>
    <t>Vogl et al.</t>
  </si>
  <si>
    <t>Assessment of hydrogen direct reduction for fossil-free steelmaking</t>
  </si>
  <si>
    <t>http://www.sciencedirect.com/science/article/pii/S0959652618326301</t>
  </si>
  <si>
    <t>Clean Air Task Force</t>
  </si>
  <si>
    <t>Hydrogen Production via Electrolysis</t>
  </si>
  <si>
    <t>https://cdn.catf.us/wp-content/uploads/2023/11/21103902/hydrogen-production-electrolysis.pdf</t>
  </si>
  <si>
    <t>Page 5, Figure 4 (for load factor), Page 4 Figure 3 (for correspondence between H2 costs and electricity costs)</t>
  </si>
  <si>
    <t>European Environment Agency</t>
  </si>
  <si>
    <t>Air Pollution Impacts from Carbon Capture and Storage (CCS)</t>
  </si>
  <si>
    <t>https://www.eea.europa.eu/publications/carbon-capture-and-storage/at_download/file</t>
  </si>
  <si>
    <t>Yuri Erofeev (citing Bloomberg New Energy Finance)</t>
  </si>
  <si>
    <t>Green hydrogen will be much more expensive than previously thought</t>
  </si>
  <si>
    <t>https://medium.com/@erofeev.yury/green-hydrogen-will-be-much-more-expensive-than-previously-thought-232a25c2d156</t>
  </si>
  <si>
    <t>Figure from BNEF</t>
  </si>
  <si>
    <t>ExxonMobil</t>
  </si>
  <si>
    <t>ExxonMobil Global Outlook</t>
  </si>
  <si>
    <t>https://corporate.exxonmobil.com/-/media/global/files/global-outlook/2024/global-outlook-data-2024.xlsx</t>
  </si>
  <si>
    <t>"World" tab, row 26</t>
  </si>
  <si>
    <t>Pathways to Commercial Liftoff: Industrial Decarbonization</t>
  </si>
  <si>
    <t>https://liftoff.energy.gov/wp-content/uploads/2023/09/20230918-Pathways-to-Commercial-Liftoff-Industrial-Decarb.pdf</t>
  </si>
  <si>
    <t>Energy Transitions Commission &amp; RMI</t>
  </si>
  <si>
    <t>China 2050: A Fully Developed Rich Zero-Carbon Economy</t>
  </si>
  <si>
    <t>https://www.energy-transitions.org/publications/china-2050-a-fully-developed-rich-zero-carbon-economy/</t>
  </si>
  <si>
    <t>Page 30, bullets 1 and 2 for fertilizer demand change and material efficiency potential</t>
  </si>
  <si>
    <t>Johnsson et al.</t>
  </si>
  <si>
    <t>Energy savings and greenhouse gas mitigation potential in the Swedish Wood Industry</t>
  </si>
  <si>
    <t>https://www.sciencedirect.com/science/article/pii/S0360544219316032#sec4</t>
  </si>
  <si>
    <t>Page 8</t>
  </si>
  <si>
    <t>Gunturu et al.</t>
  </si>
  <si>
    <t xml:space="preserve">Energy Efficiency Improvement Opportunities in Indian Textile Industries </t>
  </si>
  <si>
    <t>https://doi.org/10.31881/TLR.2022.13</t>
  </si>
  <si>
    <t>Sundaramoorthy et al. (Oak Ridge NL and IEDO)</t>
  </si>
  <si>
    <t>Energy Efficiency as a Foundational Technology Pillar for Industrial Decarbonization</t>
  </si>
  <si>
    <t>https://doi.org/10.3390/su15129487</t>
  </si>
  <si>
    <t>Values were computed by taking the 6.5% average reduction in 2050 baseline energy usage via energy efficiency improvements on p.4, then approximating the median average energy intensity reduction per year for different industries (e.g., 2%) and computing the energy efficiency improvements of a given industry as a ratio of its energy intensity reduction over the median, times 6.5%</t>
  </si>
  <si>
    <t>Lanxi Economic Development Zone</t>
  </si>
  <si>
    <t>Steam price notification letter for March 2024</t>
  </si>
  <si>
    <t>http://www.lanxi.gov.cn/art/2024/3/26/art_1229288169_4146018.html</t>
  </si>
  <si>
    <t>Steam price notification letter for November 2024</t>
  </si>
  <si>
    <t>http://www.lanxi.gov.cn/art/2024/11/25/art_1229791669_4196733.html</t>
  </si>
  <si>
    <t>Steam price notification letter for October 2024</t>
  </si>
  <si>
    <t>http://www.lanxi.gov.cn/art/2024/11/4/art_1229791669_4193364.html</t>
  </si>
  <si>
    <t>Suzhou Industrial Park Administration Committee</t>
  </si>
  <si>
    <t>Notice of Suzhou Industrial Park on Adjusting the Sales Price of Dongwu Thermal Power Steam</t>
  </si>
  <si>
    <t>https://www.suzhou.gov.cn/szsrmzf/jgjg/202301/3ff94952180244cab4ac401edb1543af.shtml</t>
  </si>
  <si>
    <t>Tianjin Development and Reform Bureau</t>
  </si>
  <si>
    <t>Notice on Adjusting the Steam Sales Price in Nangang Industrial Zone</t>
  </si>
  <si>
    <t>https://www.teda.gov.cn/contents/29/72217.html</t>
  </si>
  <si>
    <t>Liu Jianing, Shandong Business Daily</t>
  </si>
  <si>
    <t>Jinan Development and Reform Commission recently released: Gas industrial steam price adjustment</t>
  </si>
  <si>
    <t>http://jinan.subaoxw.com/zj/2023/0110/90612.html</t>
  </si>
  <si>
    <t>Xuecheng District Development and Reform Bureau</t>
  </si>
  <si>
    <t>Notice on adjusting the ex-factory price, pipeline network transportation price and sales price of non-direct industrial steam</t>
  </si>
  <si>
    <t>http://www.xuecheng.gov.cn/zwgk/qjbm/qfgj/202308/P020230807379302427443.pdf</t>
  </si>
  <si>
    <t>Huainan Zhongrun Thermal Power Company</t>
  </si>
  <si>
    <t>Industrial and commercial steam prices</t>
  </si>
  <si>
    <t>https://www.huainan.gov.cn/public/118325559/1259778797.html</t>
  </si>
  <si>
    <t>Yixing Municipal People's Government</t>
  </si>
  <si>
    <t>Notice on adjusting the price of steam in our city</t>
  </si>
  <si>
    <t>https://www.yixing.gov.cn/doc/2023/01/10/1112115.shtml</t>
  </si>
  <si>
    <t>Changzhi Food Science and Technology Park</t>
  </si>
  <si>
    <t>Which region in China has the cheapest steam price</t>
  </si>
  <si>
    <t>https://www.parkchn.com/news/chanyejiedu/13365.html</t>
  </si>
  <si>
    <t>Viet Nam's Ministry of Industry and Trade</t>
  </si>
  <si>
    <t>Viet Nam National Energy Master Plan for the period 2021 - 2030, with a vision to 2050, Volume 1: Description</t>
  </si>
  <si>
    <t>https://moit.gov.vn/upload/2005517/fck/files/Ho_so_QHNL_gui_809da_0ae04.rar</t>
  </si>
  <si>
    <t>File "QHTTNL_v08_03.07_Thuyet Minh.pdf" - Page 233-234, Table 4-2 and Figure 4-15. Translated screenshots appear on the "Vietnam Demand Projections" tab of this spreadsheet.</t>
  </si>
  <si>
    <t>Lu, H., S. de la Rue du Can, V. Letschert, and others</t>
  </si>
  <si>
    <t xml:space="preserve">Industry Decarbonization Roadmaps for Indonesia: Opportunities and Challenges to NetZero Emissions. </t>
  </si>
  <si>
    <t>https://eta.lbl.gov/publications/industry-decarbonization-roadmaps</t>
  </si>
  <si>
    <t>Vietnam Steel Association</t>
  </si>
  <si>
    <t>Vietnam Steel Industry: Towards GHG Neutrality by 2050</t>
  </si>
  <si>
    <t>Presented at 2024 SEAISI Conference, May 13-16, 2024 in Da Nang, Vietnam</t>
  </si>
  <si>
    <t>Slides 6, 9</t>
  </si>
  <si>
    <t>Energy Innovation LLC</t>
  </si>
  <si>
    <t>Energy Policy Simulator v4.1.0 (U.S.)</t>
  </si>
  <si>
    <t>https://energypolicy.solutions/home/us/en</t>
  </si>
  <si>
    <t>Edward Rubin, John Davison, Howard Herzog</t>
  </si>
  <si>
    <t>The cost of CO2 capture and storage</t>
  </si>
  <si>
    <t>https://www.sciencedirect.com/science/article/pii/S1750583615001814</t>
  </si>
  <si>
    <t>Table A3</t>
  </si>
  <si>
    <t>K. Sydny Fujita (LBL)</t>
  </si>
  <si>
    <t>Commercial, industrial, and institutional discount rate estimation for efficiency standards analysis: Sector-level data 1998-2020</t>
  </si>
  <si>
    <t>https://eta-publications.lbl.gov/sites/default/files/commercial_industrial_discount_rates_2021v2.pdf</t>
  </si>
  <si>
    <t>Table A-11</t>
  </si>
  <si>
    <t>Annual Energy Outlook 2023</t>
  </si>
  <si>
    <t>https://www.eia.gov/outlooks/aeo/</t>
  </si>
  <si>
    <t>Tables 3, 23-33</t>
  </si>
  <si>
    <t>ASEAN Centre for Energy and ERIA</t>
  </si>
  <si>
    <t>Hydrogen in ASEAN: Economic Prospects, Development, and Applications</t>
  </si>
  <si>
    <t>https://accept.aseanenergy.org/hydrogen-in-asean-economic-prospects-development-and-applications/</t>
  </si>
  <si>
    <t>See "H2 Production Cost" tab for page, figure, and table numbers</t>
  </si>
  <si>
    <t>U.S. National Energy Technology Laboratory</t>
  </si>
  <si>
    <t>Cost of Capturing CO2 from Industrial Sources</t>
  </si>
  <si>
    <t>https://www.netl.doe.gov/projects/files/CostofCapturingCO2fromIndustrialSources_071522.pdf</t>
  </si>
  <si>
    <t>Pages 143, Table 7-3</t>
  </si>
  <si>
    <t>Carbon Dioxide Transport and Storage Costs in NETL Studies</t>
  </si>
  <si>
    <t>https://www.osti.gov/servlets/purl/1567735</t>
  </si>
  <si>
    <t>Page 25 text and Page 33, Exhibit 3-6</t>
  </si>
  <si>
    <t>BPS Statistics Indonesia</t>
  </si>
  <si>
    <t>Statistics of Indonesia Manufacturing Industry 2022</t>
  </si>
  <si>
    <t>https://www.bps.go.id/en/publication/2024/06/28/7ca817b2bf71decd4dd517ae/statistics-of-manufacturing-industry-2022.html</t>
  </si>
  <si>
    <t>Tables 5.1 and 6.1</t>
  </si>
  <si>
    <t>Indonesian Ministry of Energy and Mineral Resources</t>
  </si>
  <si>
    <t>Handbook fo Energy &amp; Economic Statistics of Indonesia 2023</t>
  </si>
  <si>
    <t>https://www.esdm.go.id/assets/media/content/content-handbook-of-energy-and-economic-statistics-of-indonesia-2023.pdf</t>
  </si>
  <si>
    <t>Page 66, Table 6.1.4, "2022" row</t>
  </si>
  <si>
    <t>U.S. Geological Survey</t>
  </si>
  <si>
    <t>2022 Minerals Yearbook: Vietnam [Advance Release]</t>
  </si>
  <si>
    <t>https://pubs.usgs.gov/myb/vol3/2022/myb3-2022-vietnam.pdf</t>
  </si>
  <si>
    <t>Table 1</t>
  </si>
  <si>
    <t>Ember (Sandbag Climate Campaign CIC)</t>
  </si>
  <si>
    <t>Electricity Data Explorer</t>
  </si>
  <si>
    <t>https://ember-energy.org/data/electricity-data-explorer/</t>
  </si>
  <si>
    <t>How much carbon dioxide is produced per kilowatthour of U.S. electricity generation?</t>
  </si>
  <si>
    <t>https://www.eia.gov/tools/faqs/faq.php?id=74&amp;t=11</t>
  </si>
  <si>
    <t>Evan D. Sherwin et al.</t>
  </si>
  <si>
    <t>US oil and gas system emissions from nearly one million aerial site measurements</t>
  </si>
  <si>
    <t>https://www.nature.com/articles/s41586-024-07117-5.epdf?sharing_token=Bz9hCH3_7tfqyvlUpFupYdRgN0jAjWel9jnR3ZoTv0OG-aLaQDkYFvre5Flei_ikYuEYlQ6CJ8itXbSxbFRFs3WDwDOGkIGeF8-LhmE43BNK04TT10wIBhf-iwgyxUVC0WdV0z4FlGn4KaAKeEYS-tnc4MYrtoBA9WUGkWWMfqCLr4P44jmgxkoWxQAVzggJfV6t-CJB5tzAI4HclAd2JnspXeS64NFhk2PGtFBPCt0%3D&amp;tracking_referrer=www.technologyreview.com</t>
  </si>
  <si>
    <t>Executive summary</t>
  </si>
  <si>
    <t>IPCC</t>
  </si>
  <si>
    <t>2019 Refinement to the 2006 IPCC Guidelines for National Greenhouse Gas Inventories, Chapter 4: Fugitive Emissions</t>
  </si>
  <si>
    <t>https://www.ipcc-nggip.iges.or.jp/public/2019rf/pdf/2_Volume2/19R_V2_4_Ch04_Fugitive_Emissions.pdf</t>
  </si>
  <si>
    <t>Pages 4.18, 4.20, 4.25</t>
  </si>
  <si>
    <t>IPCC Global Warming Potential Values</t>
  </si>
  <si>
    <t>https://ghgprotocol.org/sites/default/files/2024-08/Global-Warming-Potential-Values%20%28August%202024%29.pdf</t>
  </si>
  <si>
    <t>Ruiya Zhang, Yoginder Chugh</t>
  </si>
  <si>
    <t>Sustainable Development of Underground Coal Resources in Shallow Groundwater Areas for Environment and Socio-Economic Considerations: A Case Study of Zhangji Coal Mine in China</t>
  </si>
  <si>
    <t>https://pmc.ncbi.nlm.nih.gov/articles/PMC10049664/#:~:text=Coal%20resources%20in%20China%20are%20developed%20in,well%20as%20existing%20and%20future%20socio%2Deconomic%20resources.&amp;text=Underground%20coal%20mining%20using%20longwall%20techniques%20is,accounts%20for%2090%%20of%20coal%20production%20[14].</t>
  </si>
  <si>
    <t>Section 1, paragraph 2</t>
  </si>
  <si>
    <t>Quynh Nga Nguyen et al.</t>
  </si>
  <si>
    <t>Current Status of Coal Mining and Some Highlights in the 2030 Development Plan of Coal Industry in Vietnam</t>
  </si>
  <si>
    <t>https://bibliotekanauki.pl/articles/2020194</t>
  </si>
  <si>
    <t>Abstract, using 2030 estimate (11% surface mining)</t>
  </si>
  <si>
    <t>Annual Coal Report 2024</t>
  </si>
  <si>
    <t>https://www.eia.gov/coal/annual/</t>
  </si>
  <si>
    <t>Table 11, for year 2022</t>
  </si>
  <si>
    <t>Uncovering Indonesia's hidden methane problem</t>
  </si>
  <si>
    <t>https://ember-energy.org/app/uploads/2024/03/EN-Report-Uncovering-Indonesias-hidden-methane-problem.pdf</t>
  </si>
  <si>
    <t>Total production: PDF page 4, left panel of figure, year 2022</t>
  </si>
  <si>
    <t>Acting Director General of Minerba Inaugurates the First Production of Underground Mine Pt. SDE</t>
  </si>
  <si>
    <t>https://www.minerba.esdm.go.id/berita/minerba/detil/20231219-plt-dirjen-minerba-resmikan-produksi-pertama-tambang-batubara-bawah-tanah-pt-sde</t>
  </si>
  <si>
    <t>Underground production</t>
  </si>
  <si>
    <t>Electricity Annual 2024</t>
  </si>
  <si>
    <t>https://www.eia.gov/electricity/annual/html/epa_07_03.html</t>
  </si>
  <si>
    <t>Table 7.2, year 2022</t>
  </si>
  <si>
    <t>Institute for Energy Economics and Financial Analysis</t>
  </si>
  <si>
    <t>Fact sheet: The facts about steelmaking</t>
  </si>
  <si>
    <t>https://ieefa.org/sites/default/files/2022-06/steel-fact-sheet.pdf</t>
  </si>
  <si>
    <t>Page 1, orange box</t>
  </si>
  <si>
    <t>The Industrial Zero Emissions Calculator: Assessing Options and Resource Requirement on the Road to Clean Industry</t>
  </si>
  <si>
    <t>https://energyinnovation.org/wp-content/uploads/Industrial-Zero-Emissions-Calculator-Report-2.pdf</t>
  </si>
  <si>
    <t>Page 12</t>
  </si>
  <si>
    <t>Ea Energy Analysis, EML Energy Modeling Lab, IE Institute of Energy</t>
  </si>
  <si>
    <t>Technical Report: Background to Viet Nam Energy Outlook Report Pathways to Net-Zero</t>
  </si>
  <si>
    <t>https://media.depp3.vn/Images/User/quantri/2024/6/5.technical_report.pdf</t>
  </si>
  <si>
    <t>Pages 40-41, 95</t>
  </si>
  <si>
    <t>Gütschow, J. et al.</t>
  </si>
  <si>
    <t>The PRIMAP-hist national historical emissions time series (1750-2023) v2.6</t>
  </si>
  <si>
    <t>https://zenodo.org/records/13752654</t>
  </si>
  <si>
    <t>HISTCR dataset, emissions category 2A</t>
  </si>
  <si>
    <t>PLN (PT Perusahaan Listrik Negara; Persero)</t>
  </si>
  <si>
    <t>Tariff Adjustment, October - December 2022</t>
  </si>
  <si>
    <t>https://web.pln.co.id/statics/uploads/2022/09/TTL-OKT-DES.jpg</t>
  </si>
  <si>
    <t>See "Indonesia Energy Prices" tab for how these values are taken from the source document</t>
  </si>
  <si>
    <t>Electricity and Renewable Energy Authority in Viet Nam (EREA), Danish Energy Agency (DEA), Institute of Energy, Hanoi University of Science and Technology, Electric Power University, Ea Energy Analyses,ES4MA, Energy Modeling Lab</t>
  </si>
  <si>
    <t>Viet Nam Energy Outlook Report: Pathways to Net-Zero</t>
  </si>
  <si>
    <t>https://ens.dk/sites/ens.dk/files/Globalcooperation/1._eor-nz_english_june2024_0.pdf</t>
  </si>
  <si>
    <t>Pages 31-32, Figures 4.3 and 4.4</t>
  </si>
  <si>
    <t>The Price of Green Hydrogen: How and Why we Estimate Future Production Costs</t>
  </si>
  <si>
    <t>https://theicct.org/the-price-of-green-hydrogen-estimate-future-production-costs-may24/</t>
  </si>
  <si>
    <t>Paragraph numbered "2" (ninth paragraph)</t>
  </si>
  <si>
    <t>Ministry of Energy and Mineral Resources, Indonesia</t>
  </si>
  <si>
    <t>National Electricity General Plan (RUKN)</t>
  </si>
  <si>
    <t>https://gatrik.esdm.go.id/assets/uploads/download_index/files/28dd4-rukn.pdf</t>
  </si>
  <si>
    <t>Pages 128-129</t>
  </si>
  <si>
    <t>Roeder, Timo et al.</t>
  </si>
  <si>
    <t>Impact of expected cost reduction and lifetime extension of electrolysis stacks on hydrogen production costs</t>
  </si>
  <si>
    <t>https://www.sciencedirect.com/science/article/pii/S0360319924031641</t>
  </si>
  <si>
    <t>Figure 1</t>
  </si>
  <si>
    <t>International Renewable Energy Agency (IRENA)</t>
  </si>
  <si>
    <t>Making the breakthrough: Green hydrogen policies and technology costs</t>
  </si>
  <si>
    <t>https://www.irena.org/-/media/Files/IRENA/Agency/Publication/2020/Nov/IRENA_Green_Hydrogen_breakthrough_2021.pdf?la=en&amp;hash=40FA5B8AD7AB1666EECBDE30EF458C45EE5A0AA6</t>
  </si>
  <si>
    <t>Page 12, Figure 2</t>
  </si>
  <si>
    <t>Vietnam National Energy Efficiency Program (VNEEP)</t>
  </si>
  <si>
    <t>Energy Statistics Viet Nam 2022</t>
  </si>
  <si>
    <t>not available online, but it is a published data source</t>
  </si>
  <si>
    <t>Various tables, see "Vietnam Energy Use" tab</t>
  </si>
  <si>
    <t>Observatory of Economic Complexity (OEC)</t>
  </si>
  <si>
    <t>Vietnam: Historical Data, Yearly Trade</t>
  </si>
  <si>
    <t>https://oec.world/en/profile/country/vnm</t>
  </si>
  <si>
    <t>Yearly Trade, Exports, HS4-level disaggregation</t>
  </si>
  <si>
    <t>Ministry of Industry and Trade, Vietnam</t>
  </si>
  <si>
    <t>Vietnam National Action Plan on Sustainable Consumption and Production (2021-2030)</t>
  </si>
  <si>
    <t>https://www.switch-asia.eu/site/assets/files/2533/national_action_plan_on_scp_vietnam_pdf_pdf.pdf</t>
  </si>
  <si>
    <t>Page 3, 2030, top of range of 7-10%</t>
  </si>
  <si>
    <t>Viet Nam Ministry of Natural Resources and Environment</t>
  </si>
  <si>
    <t>Final Report: Research and Development of Emissions Factors of Viet Nam's Power Grid in 2022</t>
  </si>
  <si>
    <t>http://www.dcc.gov.vn/van-ban-phap-luat/1110/He-so-phat-thai-luoi-dien-Viet-Nam-2022.html</t>
  </si>
  <si>
    <t>Table 4</t>
  </si>
  <si>
    <t>Viet Nam Electricity (EVN)</t>
  </si>
  <si>
    <t>EVN Annual Report 2022</t>
  </si>
  <si>
    <t>https://cosodulieu.evn.com.vn/pages/cms/news-tap-doan-dien-luc-viet-nam-nam-2022---thu-thach-huong-phat-trien-id-6448.html</t>
  </si>
  <si>
    <t>World Steel Association (Çiftçi, Baris Bekir)</t>
  </si>
  <si>
    <t>Raw Materials</t>
  </si>
  <si>
    <t>https://worldsteel.org/other-topics/raw-materials/</t>
  </si>
  <si>
    <t>First two full paragraphs</t>
  </si>
  <si>
    <t>Vasil Velev</t>
  </si>
  <si>
    <t>China’s Carbon Market Sees Off Successful 2024 But Challenges Persist</t>
  </si>
  <si>
    <t>https://carbonherald.com/chinas-carbon-market-sees-off-successful-2024-but-challenges-persist/</t>
  </si>
  <si>
    <t>Paragraph 4 (2024 average price)</t>
  </si>
  <si>
    <t>China National Energy Administration</t>
  </si>
  <si>
    <t>In 2024, the total electricity consumption of the society will increase by 6.8% year-on-year</t>
  </si>
  <si>
    <t>https://www.nea.gov.cn/20250120/4f7f249bac714e7693adecac996d742f/c.html</t>
  </si>
  <si>
    <t>World Bank</t>
  </si>
  <si>
    <t>Unlocking Investments for Renewable Energy Scale Up in East Asia and Paciﬁc</t>
  </si>
  <si>
    <t>not yet online</t>
  </si>
  <si>
    <t>Page 23, line mentioning "Tsinghua University"</t>
  </si>
  <si>
    <t>Ta, Dang-Chuong et al.</t>
  </si>
  <si>
    <t>An assessment potential of large-scale hydrogen export from Vietnam to Asian countries: Techno-economic analysis, transport options, and energy carriers’ comparison</t>
  </si>
  <si>
    <t>https://www.sciencedirect.com/science/article/abs/pii/S0360319924012874?via%3Dihub</t>
  </si>
  <si>
    <t>Agora Industry</t>
  </si>
  <si>
    <t>9 insights on hydrogen – Southeast Asia edition</t>
  </si>
  <si>
    <t>https://www.agora-industry.org/publications/9-insights-on-hydrogen-southeast-asia-edition</t>
  </si>
  <si>
    <t>Page 20, Figure 9 for current H2 cost; page 21, Figure 10 for 2030 cost</t>
  </si>
  <si>
    <t>Utilising the broad application of green hydrogen</t>
  </si>
  <si>
    <t>https://www.undp.org/vietnam/blog/utilising-broad-application-green-hydrogen</t>
  </si>
  <si>
    <t>Bloomberg New Energy Finance</t>
  </si>
  <si>
    <t>2023 Hydrogen Levelized Cost Update: Green Beats Gray</t>
  </si>
  <si>
    <t>https://about.bnef.com/blog/2023-hydrogen-levelized-cost-update-green-beats-gray/</t>
  </si>
  <si>
    <t>Tuyen, Nguyen Duc (citing a GIZ study)</t>
  </si>
  <si>
    <t>Lessons from Hydrogen Strategy in Vietnam and the United States</t>
  </si>
  <si>
    <t>https://www.nbr.org/publication/lessons-from-hydrogen-strategy-in-vietnam-and-the-united-states/</t>
  </si>
  <si>
    <t>Economic Research Institute for ASEAN and East Asia (ERIA)</t>
  </si>
  <si>
    <t>Hydrogen Demand and Supply in ASEAN’s Industry Sector: Current Situation and the Potential of a Greener Future</t>
  </si>
  <si>
    <t>https://www.eria.org/uploads/Hydrogen_Demand_and_Supply_in_ASEAN_Industry_Sector.pdf</t>
  </si>
  <si>
    <t>Page 134, Figure 5.1; Page 141, Figure 5.4; Page 144, Figure 5.6</t>
  </si>
  <si>
    <t>Electrolyzer CapEx Cost</t>
  </si>
  <si>
    <t>Electrolyzer Cost</t>
  </si>
  <si>
    <t>Alkaline Water Electrolysis (AWE) CAPEX</t>
  </si>
  <si>
    <t>$/kW</t>
  </si>
  <si>
    <t>DOE Hydrogen Liftoff Report</t>
  </si>
  <si>
    <t>Use for Industrial applications</t>
  </si>
  <si>
    <t>EPRI LCRI tool</t>
  </si>
  <si>
    <t>for plant CAPEX, plant size less than 20 MW</t>
  </si>
  <si>
    <t>for plant CAPEX, plant size: ≥20 to &lt;100 MW</t>
  </si>
  <si>
    <t>for plant CAPEX, plant size: ≥100 MW</t>
  </si>
  <si>
    <r>
      <rPr>
        <sz val="11"/>
        <color theme="1"/>
        <rFont val="Arial"/>
        <family val="2"/>
      </rPr>
      <t>€</t>
    </r>
    <r>
      <rPr>
        <sz val="8.6"/>
        <color theme="1"/>
        <rFont val="Aptos Narrow"/>
        <family val="2"/>
        <scheme val="minor"/>
      </rPr>
      <t>/KW</t>
    </r>
  </si>
  <si>
    <t xml:space="preserve">Guo et al. (2023) </t>
  </si>
  <si>
    <t>Table S18</t>
  </si>
  <si>
    <t>Yuan/kW</t>
  </si>
  <si>
    <t>https://h2.in-en.com/html/h2-2432109.shtml</t>
  </si>
  <si>
    <t>China source</t>
  </si>
  <si>
    <t>China Hydrogen Industry Report 2024</t>
  </si>
  <si>
    <t>Domestic electrolyzer</t>
  </si>
  <si>
    <t>Imported electrolyzer</t>
  </si>
  <si>
    <t xml:space="preserve">Table S18, converted </t>
  </si>
  <si>
    <t>China source, convereted currency</t>
  </si>
  <si>
    <t>Average AWE CAPEX (China sources only)</t>
  </si>
  <si>
    <t>based on China sources listed above</t>
  </si>
  <si>
    <t>including both domestic and imported electrolyzers</t>
  </si>
  <si>
    <t>Proton Exchange Membrane (PEM) CAPEX</t>
  </si>
  <si>
    <t>Distributed H2 production</t>
  </si>
  <si>
    <t xml:space="preserve">Economic Research Institute for ASEAN and East Asia (ERIA), 2024. </t>
  </si>
  <si>
    <t>Full citation: Rusli, R.D.,A.J.Purwanto ,C.E.N. Setyawati, V. Elsye, R.W. Bhaskara and N. Pranindita (2024), ‘Hydrogen Economics for Southeast Asian Industries’ in Purwanto, A.J. and R.D.Rusli (eds.) Hydrogen Demand and Supply in ASEAN’s Industry Sector. Jakarta: ERIA, pp. 132-145.</t>
  </si>
  <si>
    <t>Alkaline electrolyzer</t>
  </si>
  <si>
    <t>For use in CapEx Estimates</t>
  </si>
  <si>
    <t>China Average (2050)</t>
  </si>
  <si>
    <t>Interpolated from 2030 and 2060 values above</t>
  </si>
  <si>
    <t>Load factor (hours operating per year)</t>
  </si>
  <si>
    <t>hours / year</t>
  </si>
  <si>
    <t>See "Hydrogen Electrolyzer Load Factor" section on this tab (below).</t>
  </si>
  <si>
    <t>CapEx per unit annual production</t>
  </si>
  <si>
    <t>$/(kWh/year)</t>
  </si>
  <si>
    <t>$/(PJ/year)</t>
  </si>
  <si>
    <t>Unit conversion</t>
  </si>
  <si>
    <t>million $ / (PJ/year)</t>
  </si>
  <si>
    <t>We spread this out (using a discount rate) over the lifetime of the equipment on the "Calculations" tab, so it is correct not to do so on this tab.</t>
  </si>
  <si>
    <t>Today's alkaline electrolyzer stack costs outside of China (i.e., in 2025) are estimated to be around 392 Euros/kW ($406/kW), but this excludes costs for supporting systems like power electronics,</t>
  </si>
  <si>
    <t>utilities, and civil engineering, as well as contingency and financing costs (see Fig. 1 in Krishnan et al., https://www.sciencedirect.com/science/article/pii/S0360319923022590).</t>
  </si>
  <si>
    <t>The 2030 China costs above are higher than these present-day costs, indicating either the China costs here are on the high side, or they include some of the balance of system, engineering,</t>
  </si>
  <si>
    <t>financing, etc. noted above.  This provides further justification for using a lower (2050, interpolated) value rather than a 2030 value from the data above.</t>
  </si>
  <si>
    <t>Hydrogen Electrolyzer Load Factor</t>
  </si>
  <si>
    <t>Source: 21</t>
  </si>
  <si>
    <t>Clean Air Task Force suggests a hydrogen electrolyzer load factor of between 70% and 90% in a cost-reduction pathway for hydrogen production.</t>
  </si>
  <si>
    <t>total hours per year</t>
  </si>
  <si>
    <t>hours per year</t>
  </si>
  <si>
    <t>load factor</t>
  </si>
  <si>
    <t>Therefore, we use the following load factor:</t>
  </si>
  <si>
    <t>Final Cost of Clean Hydrogen (Blue/Green)</t>
  </si>
  <si>
    <t>Published projections indicate the cost of green H2, not blue H2.</t>
  </si>
  <si>
    <t>We estimate blue H2 costs using the cost of green H2 because green H2 pricing is more readily available, and blue H2 and green H2 would likely compete in the market for the same buyers.</t>
  </si>
  <si>
    <t>Vietnam and Indonesia</t>
  </si>
  <si>
    <t>Grey highlighted cells provide a range of cost, only the average is shown in the cells</t>
  </si>
  <si>
    <t>Figure or Table Number</t>
  </si>
  <si>
    <t>4.75-5</t>
  </si>
  <si>
    <t>2.75-3</t>
  </si>
  <si>
    <t>1.75-2</t>
  </si>
  <si>
    <t>1.25-1.5</t>
  </si>
  <si>
    <t>€/kg</t>
  </si>
  <si>
    <t>USD/kg</t>
  </si>
  <si>
    <t>Page 32, Table 11 for today's cost; page 33, Table 12; assumed delivered cost - transportation cost ($0.31/kg, Indonesia cost assumption in Table 13)</t>
  </si>
  <si>
    <t>Page 32, Table 11 for today's cost; page 34, Table 13</t>
  </si>
  <si>
    <t>Indonesia (Alkaline Electrolyzer)</t>
  </si>
  <si>
    <t>Page 141, Figure 5.4, citing IESR research</t>
  </si>
  <si>
    <t>Indonesia (SOEC)</t>
  </si>
  <si>
    <t>Indonesia (PEM)</t>
  </si>
  <si>
    <t>Vietnam (Alkaline, onsite solar PV)</t>
  </si>
  <si>
    <t>Page 144, Figure 5.6, citing ERIA research</t>
  </si>
  <si>
    <t>Vietnam (PEM, onsite solar PV)</t>
  </si>
  <si>
    <t>Indonesia (Alkaline, onsite solar PV)</t>
  </si>
  <si>
    <t>Indonesia (PEM, onsite solar PV)</t>
  </si>
  <si>
    <r>
      <t>Southeast Asia</t>
    </r>
    <r>
      <rPr>
        <i/>
        <sz val="11"/>
        <color theme="1"/>
        <rFont val="Arial"/>
        <family val="2"/>
      </rPr>
      <t xml:space="preserve"> [did not include in the summary data]</t>
    </r>
  </si>
  <si>
    <t>Page 134, Figure 5.1, citing a report from IESR (2022b)</t>
  </si>
  <si>
    <t>Summary (Average of the sources above)</t>
  </si>
  <si>
    <t>China and United States</t>
  </si>
  <si>
    <t>Source: 23</t>
  </si>
  <si>
    <t>2025 cost</t>
  </si>
  <si>
    <t>$/kg</t>
  </si>
  <si>
    <t>projected 2030 cost</t>
  </si>
  <si>
    <t>projected 2050 cost</t>
  </si>
  <si>
    <t>Scenario Name:</t>
  </si>
  <si>
    <t>Present Day</t>
  </si>
  <si>
    <t>Low Improvement</t>
  </si>
  <si>
    <t>Corresponding Date:</t>
  </si>
  <si>
    <t>2022-2023</t>
  </si>
  <si>
    <t>2030 est.</t>
  </si>
  <si>
    <t>2050 est.</t>
  </si>
  <si>
    <t>2023 USD/kg</t>
  </si>
  <si>
    <t>User-selected price scenario:</t>
  </si>
  <si>
    <t>Active country:</t>
  </si>
  <si>
    <t>Corresponding price for active country:</t>
  </si>
  <si>
    <t>Hydrogen lower heating value (LHV)</t>
  </si>
  <si>
    <t>MJ / kg</t>
  </si>
  <si>
    <t>https://www.engineeringtoolbox.com/fuels-higher-calorific-values-d_169.html</t>
  </si>
  <si>
    <t>billion $/PJ</t>
  </si>
  <si>
    <t>projected future cost</t>
  </si>
  <si>
    <r>
      <t xml:space="preserve">Note: </t>
    </r>
    <r>
      <rPr>
        <sz val="11"/>
        <color theme="1"/>
        <rFont val="Aptos Narrow"/>
        <family val="2"/>
        <scheme val="minor"/>
      </rPr>
      <t>We apply this price to the cost of the electricity to produce green hydrogen, not to the produced green hydrogen itself.</t>
    </r>
  </si>
  <si>
    <t>This results in slightly higher costs for the produced green hydrogen once electrolyzer energy efficiency is factored in.</t>
  </si>
  <si>
    <t>This may not be the intent of the BNEF data, but it implies less extreme electricity price declines, which are more realistic, producing values that are more reasonable.</t>
  </si>
  <si>
    <t>And this is used only as the energy cost, so in the graphs that show both energy costs and annualized CapEx costs, the annualized CapEx is additional.</t>
  </si>
  <si>
    <t>Correspondance between electricity costs and green H2 costs</t>
  </si>
  <si>
    <t>The information in this section is used to help build the indifference curve graphs on the "Indifference Curve" tab.</t>
  </si>
  <si>
    <t>Electrolyzer CapEx (2050)</t>
  </si>
  <si>
    <t>Electrolyzer lifetime</t>
  </si>
  <si>
    <t>years</t>
  </si>
  <si>
    <t>Source: 72</t>
  </si>
  <si>
    <t>Figure 1 (rounding 2050 projection for alkaline electrolyzers)</t>
  </si>
  <si>
    <t>Discount rate (user setting)</t>
  </si>
  <si>
    <t>Annualized electrolyzer CapEx</t>
  </si>
  <si>
    <t>$/(kW*yr)</t>
  </si>
  <si>
    <t>CapEx per Unit Energy Used</t>
  </si>
  <si>
    <t>$/(kWh) over lifetime</t>
  </si>
  <si>
    <t>$/(MJ) over lifetime</t>
  </si>
  <si>
    <t>CapEx per Unit H2 Produced</t>
  </si>
  <si>
    <t>$/(kg H2)</t>
  </si>
  <si>
    <t>Accounts for efficiency of electricity to H2</t>
  </si>
  <si>
    <t>This column updates based on the active country.</t>
  </si>
  <si>
    <t>USD / MJ</t>
  </si>
  <si>
    <t>USD / kg H2 (electricity only)</t>
  </si>
  <si>
    <t>USD / kg H2 (Elec + CapEx)</t>
  </si>
  <si>
    <t>Old data source, NOT USED, formerly used to help with indifference curve, retained here for comparison</t>
  </si>
  <si>
    <t>This source reflects the United States.</t>
  </si>
  <si>
    <t>At a load factor of 80% (as selected above):</t>
  </si>
  <si>
    <t>Electricity price (USD/MWh)</t>
  </si>
  <si>
    <t>H2 price (USD/kg)</t>
  </si>
  <si>
    <t>Extrapolated</t>
  </si>
  <si>
    <t>Read off of graph</t>
  </si>
  <si>
    <t>Source: 43</t>
  </si>
  <si>
    <t>Unit:  $/(BTU/yr) - dollars of capital cost for equipment per BTU consumed annually by that equipment</t>
  </si>
  <si>
    <t>electricity if</t>
  </si>
  <si>
    <t>hard coal if</t>
  </si>
  <si>
    <t>natural gas if</t>
  </si>
  <si>
    <t>biomass if</t>
  </si>
  <si>
    <t>petroleum diesel if</t>
  </si>
  <si>
    <t>heat if</t>
  </si>
  <si>
    <t>crude oil if</t>
  </si>
  <si>
    <t>heavy or residual fuel oil if</t>
  </si>
  <si>
    <t>LPG propane or butane if</t>
  </si>
  <si>
    <t>hydrogen if</t>
  </si>
  <si>
    <t>boilers</t>
  </si>
  <si>
    <t>nonboiler low temp</t>
  </si>
  <si>
    <t>nonboiler med temp</t>
  </si>
  <si>
    <t>nonboiler high temp</t>
  </si>
  <si>
    <t>cooling</t>
  </si>
  <si>
    <t>machine drive</t>
  </si>
  <si>
    <t>electrochemical</t>
  </si>
  <si>
    <t>other processes</t>
  </si>
  <si>
    <t>Green cells are known explicitly.  Orange cells are assumptions based on similar fuel types.</t>
  </si>
  <si>
    <t>Gray cells are not applicable, either because the energy is already in the form of heat or because the equipmen type cannot use that fuel type.</t>
  </si>
  <si>
    <t>Unit Conversion</t>
  </si>
  <si>
    <t>million $/PJ</t>
  </si>
  <si>
    <t>electricity</t>
  </si>
  <si>
    <t>hard coal</t>
  </si>
  <si>
    <t>biomass</t>
  </si>
  <si>
    <t>petroleum diesel</t>
  </si>
  <si>
    <t>heat</t>
  </si>
  <si>
    <t>crude oil</t>
  </si>
  <si>
    <t>heavy or residual fuel oil</t>
  </si>
  <si>
    <t>LPG propane or butane</t>
  </si>
  <si>
    <t>hydrogen</t>
  </si>
  <si>
    <t>Source: 67</t>
  </si>
  <si>
    <t>source</t>
  </si>
  <si>
    <t>scenario (PRIMAP-hist)</t>
  </si>
  <si>
    <t>area (ISO3)</t>
  </si>
  <si>
    <t>entity</t>
  </si>
  <si>
    <t>unit</t>
  </si>
  <si>
    <t>category (IPCC2006_PRIMAP)</t>
  </si>
  <si>
    <t>PRIMAP-hist_v2.6_final</t>
  </si>
  <si>
    <t>HISTCR</t>
  </si>
  <si>
    <t>CHN</t>
  </si>
  <si>
    <t>CO2</t>
  </si>
  <si>
    <t>CO2 * gigagram / a</t>
  </si>
  <si>
    <t>2.A</t>
  </si>
  <si>
    <t>IDN</t>
  </si>
  <si>
    <t>USA</t>
  </si>
  <si>
    <t>VNM</t>
  </si>
  <si>
    <t>Investment Cost Analysis</t>
  </si>
  <si>
    <t>Sector</t>
  </si>
  <si>
    <t>Power Generation</t>
  </si>
  <si>
    <t>Deep Mitigation Scenario</t>
  </si>
  <si>
    <t>Installed Capacity (GW): Accumulative</t>
  </si>
  <si>
    <t>Diesel</t>
  </si>
  <si>
    <t>Geothermal</t>
  </si>
  <si>
    <t>Pumped Hydro Storage</t>
  </si>
  <si>
    <t>Battery Storage</t>
  </si>
  <si>
    <t>Capacity Factor</t>
  </si>
  <si>
    <t>Generation (TWh)</t>
  </si>
  <si>
    <t>Power Generation Technology Cost (not including T&amp;D)</t>
  </si>
  <si>
    <t>yuan/kW</t>
  </si>
  <si>
    <t>Onshore Wind</t>
  </si>
  <si>
    <t>2030 cost: 29% cost reduction, 2050 cost: 45% cost reduction; based on NREL Annual Technology Baseline 2023 Advanced Scenario for Mature Tech
(Another source: 2030 cost: 27% cost reduction, 2050 cost: 37% cost reduction; based on Guo et al. (2023) Nature Communications. https://www.nature.com/articles/s41467-023-37536-3)</t>
  </si>
  <si>
    <t>Offshore Wind</t>
  </si>
  <si>
    <t>2030 cost: 27% cost reduction, 2050 cost: 40% cost reduction; based on NREL Annual Technology Baseline 2023 Advanced Scenario for Mature Tech
(Another source: 2030 cost: 30% cost reduction, 2050 cost: 49% cost reduction; based on Guo et al. (2023) Nature Communications. https://www.nature.com/articles/s41467-023-37536-3)</t>
  </si>
  <si>
    <t>2030 cost: 33% cost reduction, 2050 cost: 62% cost reduction; based on NREL Annual Technology Baseline 2023 Advanced Scenario for Mature Tech</t>
  </si>
  <si>
    <t xml:space="preserve">NERL Annual Technology Baseline 2023 for Hydor/Flash tech (mature tech) Advanced Scenario </t>
  </si>
  <si>
    <t xml:space="preserve">NERL Annual Technology Baseline 2023  (mature tech) Advanced Scenario </t>
  </si>
  <si>
    <t xml:space="preserve">Utility-Scale PV Plus Battery NERL Annual Technology Baseline 2023 for Hydor/Flash tech (mature tech) Advanced Scenario </t>
  </si>
  <si>
    <t>Installed Capacity (GW): Additional</t>
  </si>
  <si>
    <t>2030 vs 2020</t>
  </si>
  <si>
    <t>2050 vs 2030</t>
  </si>
  <si>
    <t>GW</t>
  </si>
  <si>
    <t>Sum of non-fossil and storage</t>
  </si>
  <si>
    <t>Onshore Wind %</t>
  </si>
  <si>
    <t xml:space="preserve">2030 onshore and offshore wind investment breakdown is based on Guo et al., 2023. Nature Communications. Optimized Scenario. https://doi.org/10.1038/s41467-023-37536-3; Assume 2050 shares based on studies estimated a total offshore wind capacity from 132 GW (6%) to 1220 GW by 2050 (59%), the avg is 33%), see various studies results summary in Guo et al., (2023) Table S25. </t>
  </si>
  <si>
    <t>Offshore Wind %</t>
  </si>
  <si>
    <t xml:space="preserve">Investment Needs ($Million USD) for the Entire Power Sector </t>
  </si>
  <si>
    <t>Investment Needs ($/kW)</t>
  </si>
  <si>
    <t>Non-Fossil Power Generation and Storage</t>
  </si>
  <si>
    <t>Technology</t>
  </si>
  <si>
    <t xml:space="preserve">2030 Newly installed capacity </t>
  </si>
  <si>
    <t>2060 Newly Installed Capacity vs 2030</t>
  </si>
  <si>
    <t>Capacity Factor in Indonesia</t>
  </si>
  <si>
    <t>Biomass</t>
  </si>
  <si>
    <t>Pumped Hydro</t>
  </si>
  <si>
    <t>CAPEX</t>
  </si>
  <si>
    <t>million $/MW</t>
  </si>
  <si>
    <t>Technology Data for the Indonesian Power Sector 2024</t>
  </si>
  <si>
    <t>Avg of large, medium, mini, and micro hydro</t>
  </si>
  <si>
    <t>Avg of ground-mounted, rooftop, industrial, and floating PV</t>
  </si>
  <si>
    <t>Avg of onshore and offshore wind</t>
  </si>
  <si>
    <t>Avg of biomass and biogas power plants</t>
  </si>
  <si>
    <t>Avg of large and small geothermal</t>
  </si>
  <si>
    <t>Avg of PWR and SMR</t>
  </si>
  <si>
    <t>Utility Scale Solar</t>
  </si>
  <si>
    <t>BloombergNEF, 2023</t>
  </si>
  <si>
    <t>Floating Solar</t>
  </si>
  <si>
    <t>Onshore wind</t>
  </si>
  <si>
    <t>Offshore wind</t>
  </si>
  <si>
    <t>IEA 2024</t>
  </si>
  <si>
    <t>Solar PV</t>
  </si>
  <si>
    <t>Wind Onshore</t>
  </si>
  <si>
    <t>Wind Offshore</t>
  </si>
  <si>
    <t>VietNam Technology Catalogue (2023)</t>
  </si>
  <si>
    <t xml:space="preserve">2030 Newly installed RE capacity </t>
  </si>
  <si>
    <t>2050 Newly Installed RE Capacity vs 2030</t>
  </si>
  <si>
    <t>Revised PDP8</t>
  </si>
  <si>
    <t>Full document of PDP8</t>
  </si>
  <si>
    <t>2030 and 2050 values are from Revised PDP8</t>
  </si>
  <si>
    <t xml:space="preserve">Vietnam installed capacity </t>
  </si>
  <si>
    <t>Low</t>
  </si>
  <si>
    <t>High</t>
  </si>
  <si>
    <t>Avg</t>
  </si>
  <si>
    <t>2022 vs 2030</t>
  </si>
  <si>
    <t>Share of Newly Installed RE in 2030 vs 2022</t>
  </si>
  <si>
    <t>Oil fired</t>
  </si>
  <si>
    <t>Gas fired</t>
  </si>
  <si>
    <t xml:space="preserve">Total Installed RE </t>
  </si>
  <si>
    <t>2030 vs 2050</t>
  </si>
  <si>
    <t>Share of Newly Installed RE in 2050 vs 2030</t>
  </si>
  <si>
    <t xml:space="preserve">Iron and Steel </t>
  </si>
  <si>
    <r>
      <t>Prod</t>
    </r>
    <r>
      <rPr>
        <vertAlign val="subscript"/>
        <sz val="11"/>
        <color theme="1"/>
        <rFont val="Aptos Narrow"/>
        <family val="2"/>
        <scheme val="minor"/>
      </rPr>
      <t>capacity</t>
    </r>
  </si>
  <si>
    <t>Production capacity per plant</t>
  </si>
  <si>
    <t>million tonnes of steel/year</t>
  </si>
  <si>
    <t>U</t>
  </si>
  <si>
    <t>Utilization Rate</t>
  </si>
  <si>
    <t xml:space="preserve">Source: China 2022-2024 avg 80%; assuming future facilities will have higher utilization rate </t>
  </si>
  <si>
    <t>L</t>
  </si>
  <si>
    <t>Lifetime of equipment</t>
  </si>
  <si>
    <t>Steel Production</t>
  </si>
  <si>
    <t>Scenario</t>
  </si>
  <si>
    <t>Million Tonnes</t>
  </si>
  <si>
    <t>Historical</t>
  </si>
  <si>
    <t>NBS</t>
  </si>
  <si>
    <t>2030 (compared to 2022)</t>
  </si>
  <si>
    <t>2060 (compared to 2030)</t>
  </si>
  <si>
    <t xml:space="preserve">Additional Energy efficiency upgrade </t>
  </si>
  <si>
    <t>Percentage</t>
  </si>
  <si>
    <t xml:space="preserve">% of existing capacity reach BAT level </t>
  </si>
  <si>
    <t>Technology Shares</t>
  </si>
  <si>
    <t xml:space="preserve">Energy Intensity - Weighted Average </t>
  </si>
  <si>
    <t>GJ/t steel</t>
  </si>
  <si>
    <t xml:space="preserve">Production </t>
  </si>
  <si>
    <t>BF-BOF</t>
  </si>
  <si>
    <t>Net Zero Scenario</t>
  </si>
  <si>
    <t>Final energy use</t>
  </si>
  <si>
    <t>BF-BOF + CCUS</t>
  </si>
  <si>
    <t>Scrap-based EAF</t>
  </si>
  <si>
    <t>DRI-EAF</t>
  </si>
  <si>
    <t>H2-DRI-EAF</t>
  </si>
  <si>
    <t>DRI-EAF + CCUS</t>
  </si>
  <si>
    <t>Sum</t>
  </si>
  <si>
    <t>Steel Production by Technology</t>
  </si>
  <si>
    <t>Total Production</t>
  </si>
  <si>
    <t>Steel Production Capacity by Technology</t>
  </si>
  <si>
    <t>Million Tonnes of Steel Capacity</t>
  </si>
  <si>
    <t>Assuming 85% utilization rate; can be refined by technology</t>
  </si>
  <si>
    <t>Total Production Capacity</t>
  </si>
  <si>
    <t xml:space="preserve">Data </t>
  </si>
  <si>
    <t>Technology CAPEX</t>
  </si>
  <si>
    <t>Investment Category</t>
  </si>
  <si>
    <t>Sources</t>
  </si>
  <si>
    <t>Close down BF-BOF</t>
  </si>
  <si>
    <t xml:space="preserve">$/tonne steel </t>
  </si>
  <si>
    <t>Internal assumption</t>
  </si>
  <si>
    <t xml:space="preserve">Currently assume zero cost to close down BF-BOF. </t>
  </si>
  <si>
    <t>BAT BF-BOF</t>
  </si>
  <si>
    <t>Brownfield (renovating)</t>
  </si>
  <si>
    <t>MPP steel model</t>
  </si>
  <si>
    <t>Data was reported in Euros, converted to USD based on avg 2022 exchange rate of 1 USD = 1.051525 EURO, source: https://www.irs.gov/individuals/international-taxpayers/yearly-average-currency-exchange-rates</t>
  </si>
  <si>
    <t>BF-BOF + CCUS (upgrade from Avg level)</t>
  </si>
  <si>
    <t>BF-BOF + CCUS (upgrade from BAT level)</t>
  </si>
  <si>
    <t>Greenfield</t>
  </si>
  <si>
    <t>Brownfield (renovating existing facilities)</t>
  </si>
  <si>
    <t xml:space="preserve">H2-DRI-EAF </t>
  </si>
  <si>
    <t>$/tonne capacity</t>
  </si>
  <si>
    <t xml:space="preserve">Derived based on internal assumptions </t>
  </si>
  <si>
    <t>News Reporting</t>
  </si>
  <si>
    <t>Year (of the report)</t>
  </si>
  <si>
    <t>Scrap-EAF</t>
  </si>
  <si>
    <t>$/tonne steel capacity</t>
  </si>
  <si>
    <t>WorldMetals</t>
  </si>
  <si>
    <t>http://www.worldmetals.com.cn/viscms/yuanliaoliantie7909/20151215/162811.html</t>
  </si>
  <si>
    <t>NG-DRI-EAF</t>
  </si>
  <si>
    <t>Input Cost Data</t>
  </si>
  <si>
    <t xml:space="preserve">Shutdown </t>
  </si>
  <si>
    <t>MPP Steel model</t>
  </si>
  <si>
    <t>MPP Steel model; World Metals</t>
  </si>
  <si>
    <t>Total Investments</t>
  </si>
  <si>
    <t>Million USD</t>
  </si>
  <si>
    <t>Calculated</t>
  </si>
  <si>
    <t>Assuming zero CAPEX investment when closing down BF-BOF</t>
  </si>
  <si>
    <t xml:space="preserve">Energy Efficiency: BF-BOF </t>
  </si>
  <si>
    <t>Fossil CCS: BF-BOF + CCUS</t>
  </si>
  <si>
    <t>Fossil CCS: DRI-EAF + CCUS</t>
  </si>
  <si>
    <t>Direct Electrification: Scrap-based EAF</t>
  </si>
  <si>
    <t>Additional 50% EAF capacity will be added through greenfield investment</t>
  </si>
  <si>
    <t>Assuming existing EAF will undertake renovating investment projects to meet 50% of increased demand</t>
  </si>
  <si>
    <t>Fuel Switching: DRI-EAF</t>
  </si>
  <si>
    <t>Green H2: H2-DRI-EAF</t>
  </si>
  <si>
    <t>H2 production cost</t>
  </si>
  <si>
    <t xml:space="preserve">H2 demand per tonne of steel </t>
  </si>
  <si>
    <t xml:space="preserve">kgH2/tonne steel </t>
  </si>
  <si>
    <t>Vogl et al., 2018</t>
  </si>
  <si>
    <t xml:space="preserve">Total H2 Demand for Steel Production </t>
  </si>
  <si>
    <t>Million Tonnes of H2</t>
  </si>
  <si>
    <t>Derived</t>
  </si>
  <si>
    <t>Total H2 Production Capacity</t>
  </si>
  <si>
    <t>Million Tonnes of H2 Production Capacity</t>
  </si>
  <si>
    <t>AWE Electrolyzer Efficiency</t>
  </si>
  <si>
    <t>kWh/kg</t>
  </si>
  <si>
    <t>Electrolyzer Efficiency</t>
  </si>
  <si>
    <t>Needs better source for 2050 data</t>
  </si>
  <si>
    <t>Electrolyzer operating hours (utility plants)</t>
  </si>
  <si>
    <t>hrs</t>
  </si>
  <si>
    <t>Assuming continuous operation</t>
  </si>
  <si>
    <t>Electrolyzer operating hours (renewables)</t>
  </si>
  <si>
    <t>Assuming 30% capacity factor</t>
  </si>
  <si>
    <t>Electrolyzer Capacity (utility plants)</t>
  </si>
  <si>
    <t>Electrolyzer Capacity (renewables)</t>
  </si>
  <si>
    <t>Electrolyzer CAPEX</t>
  </si>
  <si>
    <t>Electrolyzer CAPEX (utility plants)</t>
  </si>
  <si>
    <t>million USD</t>
  </si>
  <si>
    <t>Electrolyzer CAPEX (renewables)</t>
  </si>
  <si>
    <t>Renewable Energy Power Supply for H2 Production</t>
  </si>
  <si>
    <t>RE Supply CAPEX (utility plants)</t>
  </si>
  <si>
    <t>RE Supply CAPEX (renewables)</t>
  </si>
  <si>
    <t>H2 Transportation and Storage</t>
  </si>
  <si>
    <t xml:space="preserve">Levelized cost of H2 transportation and storage </t>
  </si>
  <si>
    <t>simplified assumption based on DOE Hydrogen Liftoff Report; Burke et al., 2024</t>
  </si>
  <si>
    <t>Investment Cost Summary</t>
  </si>
  <si>
    <t>Affected Production Capacity (Mt)</t>
  </si>
  <si>
    <t>CAPEX/GJ ($/GJ)</t>
  </si>
  <si>
    <t>Brownfield or Greenfield Investment</t>
  </si>
  <si>
    <t>Technology Route</t>
  </si>
  <si>
    <t>2030 EI</t>
  </si>
  <si>
    <t>2060 EI</t>
  </si>
  <si>
    <t>billion USD</t>
  </si>
  <si>
    <t>Brownfield</t>
  </si>
  <si>
    <t xml:space="preserve">BF-BOF + CCUS </t>
  </si>
  <si>
    <t xml:space="preserve">Fossil CCS: BF-BOF + CCUS </t>
  </si>
  <si>
    <t xml:space="preserve">DRI-EAF + CCUS </t>
  </si>
  <si>
    <t xml:space="preserve">Fossil CCS: DRI-EAF + CCUS </t>
  </si>
  <si>
    <t>Scrap-based EAF (greenfield)</t>
  </si>
  <si>
    <t>Direct Electrification: Scrap-based EAF (greenfield)</t>
  </si>
  <si>
    <t>Scrap-based EAF (brownfield)</t>
  </si>
  <si>
    <t>Direct Electrification: Scrap-based EAF (brownfield)</t>
  </si>
  <si>
    <t>assuming brownfield expansion</t>
  </si>
  <si>
    <t xml:space="preserve">not including H2 production energy use </t>
  </si>
  <si>
    <t>Green H2: H2-DRI-EAF (including RE Supply and Electrolyzer CAPEX)</t>
  </si>
  <si>
    <t>including CAEPX required to produce clean electricity and investment in electrolyzers)</t>
  </si>
  <si>
    <t xml:space="preserve">Electrolyzer CAPEX </t>
  </si>
  <si>
    <t>RE Supply CAPEX</t>
  </si>
  <si>
    <t>Captured CO2</t>
  </si>
  <si>
    <t>Mt/yr</t>
  </si>
  <si>
    <t>from the Net Zero Steel Roadmap</t>
  </si>
  <si>
    <t>CCS CAPEX</t>
  </si>
  <si>
    <t>Billion USD</t>
  </si>
  <si>
    <t>Total CAPEX Investment (H2 production utility plants)</t>
  </si>
  <si>
    <t>CCS CAPEX/(tCO2-yr)</t>
  </si>
  <si>
    <t>$/tCO2</t>
  </si>
  <si>
    <t>includes cost of equipment for capture, transport, and storage/injection</t>
  </si>
  <si>
    <t>Total CAPEX Investment (renewables)</t>
  </si>
  <si>
    <t>Total CAPEX Investment (Not Including RE Expansion)</t>
  </si>
  <si>
    <t>Final Energy Use</t>
  </si>
  <si>
    <t>CAPEX cost per GJ using the equipment</t>
  </si>
  <si>
    <t>$/GJ</t>
  </si>
  <si>
    <t>Production capacity per unit</t>
  </si>
  <si>
    <t>Utilization Rate (2022)</t>
  </si>
  <si>
    <t xml:space="preserve">Sources: MOI, Indonesia, 2020; CREA, 2024. </t>
  </si>
  <si>
    <t>Utilization Rate (2030)</t>
  </si>
  <si>
    <t>Utilization Rate (2060)</t>
  </si>
  <si>
    <t>WorldSteel</t>
  </si>
  <si>
    <t xml:space="preserve">derived based on the energy use after Tier 1 implementation, and weighted EI </t>
  </si>
  <si>
    <t>Assumed 2050 production stays at the 2030 level due to efficiency (material efficiency, product longevity measures)</t>
  </si>
  <si>
    <t>Near Zero 2060 Scenario</t>
  </si>
  <si>
    <t>NG-DRI-EAF + CCUS</t>
  </si>
  <si>
    <t>Assuming 50% utilization rate in 2022 based on MOI info; 60% by 2030; and 75% by 2060; can be refined by technology</t>
  </si>
  <si>
    <t>2060 (cumulative)</t>
  </si>
  <si>
    <t>Assume energy efficiency improvement continues in BF-BOF until being phased out</t>
  </si>
  <si>
    <t>Fossil CCS: NG-DRI-EAF + CCUS</t>
  </si>
  <si>
    <t>Fuel Switching: NG-DRI-EAF</t>
  </si>
  <si>
    <t xml:space="preserve">Fossil CCS: NG-DRI-EAF + CCUS </t>
  </si>
  <si>
    <t>Captured CO2 Quantities</t>
  </si>
  <si>
    <t>Reference</t>
  </si>
  <si>
    <t>Amount of steel produced via Fossil CCS: BF-BOF + CCUS</t>
  </si>
  <si>
    <t>M tons</t>
  </si>
  <si>
    <t>Total CAPEX Investment (not including RE Expansion)</t>
  </si>
  <si>
    <t>Emissions intensity of BF-BOF route</t>
  </si>
  <si>
    <t>tons CO2 / ton steel</t>
  </si>
  <si>
    <t>Amount of steel produced via Fossil CCS: DRI-EAF + CCUS</t>
  </si>
  <si>
    <t>Emissions intensity of DRI-EAF route</t>
  </si>
  <si>
    <t>Tons of CO2 entering CC system</t>
  </si>
  <si>
    <t>M tons CO2</t>
  </si>
  <si>
    <t>CO2 capture rate</t>
  </si>
  <si>
    <t>CO2 captured</t>
  </si>
  <si>
    <t>CCS Equipment CapEx Factors</t>
  </si>
  <si>
    <r>
      <t>Prod</t>
    </r>
    <r>
      <rPr>
        <vertAlign val="subscript"/>
        <sz val="11"/>
        <rFont val="Aptos Narrow"/>
        <family val="2"/>
        <scheme val="minor"/>
      </rPr>
      <t>capacity</t>
    </r>
  </si>
  <si>
    <t>Utilization Rate (2021)</t>
  </si>
  <si>
    <t>Calculated  2021 data</t>
  </si>
  <si>
    <t>total capacity: 17 million (source NBR 2024)</t>
  </si>
  <si>
    <t>Utilization Rate (2050)</t>
  </si>
  <si>
    <t>Vietnam Steel Association (2030: 32.5 Mt)</t>
  </si>
  <si>
    <t>Vietnam Steel Association (2050: 50 Mt)</t>
  </si>
  <si>
    <t>2050 (compared to 2030)</t>
  </si>
  <si>
    <t>Energy Intensity (2022)</t>
  </si>
  <si>
    <t>Energy Intensity (2030)</t>
  </si>
  <si>
    <t>Energy Intensity (2050)</t>
  </si>
  <si>
    <t>assumptions</t>
  </si>
  <si>
    <t>Induction Furnace</t>
  </si>
  <si>
    <t>Estimated based on CCS adoption rate, estimated CO2 intensity, and production</t>
  </si>
  <si>
    <t>Production capacity</t>
  </si>
  <si>
    <t>tonne of clinker/day</t>
  </si>
  <si>
    <t>Utilization Rate in 2022</t>
  </si>
  <si>
    <t>NBS data</t>
  </si>
  <si>
    <t>Utilization Rate in 2030</t>
  </si>
  <si>
    <t>Utilization Rate in 2060</t>
  </si>
  <si>
    <t xml:space="preserve">Scenario: Energy Technology Pathway </t>
  </si>
  <si>
    <t>Cement Production</t>
  </si>
  <si>
    <t>Cement Production Capacity</t>
  </si>
  <si>
    <t>Clinker-to-Cement Ratio</t>
  </si>
  <si>
    <t xml:space="preserve">Clinker Production Capacity </t>
  </si>
  <si>
    <t>Energy Technology Pathway</t>
  </si>
  <si>
    <t>LBNL 2024 Report</t>
  </si>
  <si>
    <t>Adoption Rates</t>
  </si>
  <si>
    <t>Affected Production Capacity (Million Tonnes)</t>
  </si>
  <si>
    <t>CAPEX ($/tonne capacity)</t>
  </si>
  <si>
    <t>Total Investment Gap (from 2022 to 2030) (million $)</t>
  </si>
  <si>
    <t>Total Investment Gap (from 2030 to 2060) (million $)</t>
  </si>
  <si>
    <t>Total Cumulative Investment (from 2022 to 2060) (million $)</t>
  </si>
  <si>
    <t>2030 CAPEX Adjustment Factor</t>
  </si>
  <si>
    <t>2060 CAPEX Adjustment Factor</t>
  </si>
  <si>
    <t xml:space="preserve">Energy Efficiency Measure </t>
  </si>
  <si>
    <t>Energy Savings (kgce/t clinker)</t>
  </si>
  <si>
    <t>Adoption Rates of Measure within the Affected EE Upgrade Capacity (2060)</t>
  </si>
  <si>
    <t>Energy Efficiency</t>
  </si>
  <si>
    <t xml:space="preserve">Additional preheater cyclone stages </t>
  </si>
  <si>
    <t>Clinker Substitution</t>
  </si>
  <si>
    <t>Advanced clinker cooler</t>
  </si>
  <si>
    <t>Calcined Clay (CAEPX for kilns)</t>
  </si>
  <si>
    <t>Oxygen enrichment technology</t>
  </si>
  <si>
    <t>Calcined Clay (CAPEX for storage)</t>
  </si>
  <si>
    <t>Advanced plant control and AI-supported control systems</t>
  </si>
  <si>
    <t xml:space="preserve">Alternative fuels </t>
  </si>
  <si>
    <t>Aggregated Total</t>
  </si>
  <si>
    <t xml:space="preserve">Industrial and solid wastes </t>
  </si>
  <si>
    <t>Average</t>
  </si>
  <si>
    <t xml:space="preserve">Biomass </t>
  </si>
  <si>
    <t>H2</t>
  </si>
  <si>
    <t xml:space="preserve">Renewable heating </t>
  </si>
  <si>
    <t>Electrolyzers for H2 Production (utility plants)</t>
  </si>
  <si>
    <t>Electrolyzers for H2 Production (renewables)</t>
  </si>
  <si>
    <t>CCS (CAPEX for Carbon Capture)</t>
  </si>
  <si>
    <t>Scenario: Circular Economy Pathway</t>
  </si>
  <si>
    <t>Circular Economy Pathway</t>
  </si>
  <si>
    <t>CCS</t>
  </si>
  <si>
    <t>Electrolyzers for H2 Production</t>
  </si>
  <si>
    <t>H2 Injection Rate</t>
  </si>
  <si>
    <t>Adoption Rate (2030)</t>
  </si>
  <si>
    <t>Adoption Rate (2060)</t>
  </si>
  <si>
    <t>Affected Clinker Production Capacity in 2030 (Mt)</t>
  </si>
  <si>
    <t>Affected Clinker Production Capacity in 2060 (Mt)</t>
  </si>
  <si>
    <t>H2 Requirement @ 10% Sub Rate (tH2/t clinker)</t>
  </si>
  <si>
    <t>H2 Demand in 2030 (Million Tonnes)</t>
  </si>
  <si>
    <t>H2 Demand in 2060 (Million Tonnes)</t>
  </si>
  <si>
    <t>Additional H2 Demand from 2030 to 2060 (Million Tonnes)</t>
  </si>
  <si>
    <t>ETP</t>
  </si>
  <si>
    <t>CEP</t>
  </si>
  <si>
    <t>DOE Cement Liftoff Report</t>
  </si>
  <si>
    <t xml:space="preserve">Cement Capacity </t>
  </si>
  <si>
    <t xml:space="preserve">million tonnes capacity/year </t>
  </si>
  <si>
    <t>million tonnes/year</t>
  </si>
  <si>
    <t>Utilizaiton Rate</t>
  </si>
  <si>
    <t>Calcined Clay: CAPEX for additional rotary kiln</t>
  </si>
  <si>
    <t>$million/plant</t>
  </si>
  <si>
    <t>Derived based on DOE Cement Liftoff Report</t>
  </si>
  <si>
    <t>Calcined Clay: CAPEX for silos from other types of cement</t>
  </si>
  <si>
    <t>Calcined Clay: CAPEX fo raw materials storage</t>
  </si>
  <si>
    <t>Alternative fuels</t>
  </si>
  <si>
    <t>Biomass: CAPEX for kiln bypass, storage</t>
  </si>
  <si>
    <t>Wastes: CAPEX for kiln bypass, storage</t>
  </si>
  <si>
    <t>Wastes: CAPEX for scrap tires</t>
  </si>
  <si>
    <t>Wastes: CAPEX for scrape tires</t>
  </si>
  <si>
    <t xml:space="preserve">Other Wastes: CAPEX </t>
  </si>
  <si>
    <t>Waste plastics: CAPEX</t>
  </si>
  <si>
    <t>ECRA 2022</t>
  </si>
  <si>
    <t>million tonnes capacity/year</t>
  </si>
  <si>
    <t xml:space="preserve">CAPEX </t>
  </si>
  <si>
    <t>Value (low)</t>
  </si>
  <si>
    <t>Value (high)</t>
  </si>
  <si>
    <t>Alternative fules: H2</t>
  </si>
  <si>
    <r>
      <t xml:space="preserve">million </t>
    </r>
    <r>
      <rPr>
        <sz val="11"/>
        <color theme="1"/>
        <rFont val="Arial"/>
        <family val="2"/>
      </rPr>
      <t>€/plant</t>
    </r>
  </si>
  <si>
    <t xml:space="preserve">ECRA 2022 </t>
  </si>
  <si>
    <t>Data are estimated for 2020; substitution rate of 10% for H2; CAPEX does not include electrolyzers; CAPEX cost assumed to be static through 2050</t>
  </si>
  <si>
    <t>Derived based on ECRA 2022; EURO to USD exchange rates</t>
  </si>
  <si>
    <t>Additional preheater cyclone stage(s)</t>
  </si>
  <si>
    <t>Data are estimated for 2020; 5-8 million euros for 2 new cyclone stages (1 stage replaced, 1 additional stage, 2-string preheater); CAPEX cost assumed to be static through 2050</t>
  </si>
  <si>
    <t>Retrofit:Efficient clinker cooler technologies (switching from planetary or rotary coolers to grate coolers)</t>
  </si>
  <si>
    <t>Retrofit; assumed static CAPEX</t>
  </si>
  <si>
    <t>New:Efficient clinker cooler technologies (switching from planetary or rotary coolers to grate coolers)</t>
  </si>
  <si>
    <t>New; assumed static CAPEX</t>
  </si>
  <si>
    <t>Both for new and retrofit</t>
  </si>
  <si>
    <t>Exchange Rates</t>
  </si>
  <si>
    <t>EURO in 2020</t>
  </si>
  <si>
    <t>USD in 2020</t>
  </si>
  <si>
    <t>https://www.exchangerates.org.uk/</t>
  </si>
  <si>
    <t>USD in 2022</t>
  </si>
  <si>
    <t>https://www.minneapolisfed.org/about-us/monetary-policy/inflation-calculator</t>
  </si>
  <si>
    <t xml:space="preserve">Total H2 Demand for Clinker Production </t>
  </si>
  <si>
    <t>Weighted Energy Intensity</t>
  </si>
  <si>
    <t>GJ/t cement</t>
  </si>
  <si>
    <t>million tonnes</t>
  </si>
  <si>
    <t>EPS Scenario</t>
  </si>
  <si>
    <t>H2 Injection</t>
  </si>
  <si>
    <t>Alternative Fuels: Industrial Wastes</t>
  </si>
  <si>
    <t>Alternative Fuels: Biomass</t>
  </si>
  <si>
    <t>Alternative Fuels: H2 Injection</t>
  </si>
  <si>
    <t>RE Supply for H2 Production (utility plants)</t>
  </si>
  <si>
    <t>Alternative Fuels: H2 Injection (including RE and Electrolyzer CAPEX)</t>
  </si>
  <si>
    <t>RE Supply for H2 Production (renewables)</t>
  </si>
  <si>
    <t>Total (assume utility scale H2 production)</t>
  </si>
  <si>
    <t>Total (assume renewable H2 production)</t>
  </si>
  <si>
    <t>Total (not including RE Expansion)</t>
  </si>
  <si>
    <t>Measures</t>
  </si>
  <si>
    <t>CES Scenario</t>
  </si>
  <si>
    <t>CO2 Savings (MtCO2)</t>
  </si>
  <si>
    <t>Annualized CAPEX (Million $/yr)</t>
  </si>
  <si>
    <t>Change in Energy Intensity (GJ/t cement)</t>
  </si>
  <si>
    <t>Change in Energy Cost (Million $/yr)</t>
  </si>
  <si>
    <t>Marginal Abatement Cost ($/tCO2)</t>
  </si>
  <si>
    <t>Captial Recovery Factor</t>
  </si>
  <si>
    <t>Incremental Years</t>
  </si>
  <si>
    <t>Years</t>
  </si>
  <si>
    <t>Cement Industry Fuel Mix and Electricity Use</t>
  </si>
  <si>
    <t>Alt. Fuel (Wastes)</t>
  </si>
  <si>
    <t>Other fuels (heavy oil, pet coke)</t>
  </si>
  <si>
    <t>Green H2</t>
  </si>
  <si>
    <t>Renewable Heating</t>
  </si>
  <si>
    <t>Clean Hydrogen (blue or green)</t>
  </si>
  <si>
    <t>Based on above data</t>
  </si>
  <si>
    <t>Energy Cost</t>
  </si>
  <si>
    <t>Weighted Average</t>
  </si>
  <si>
    <t>$/t cement</t>
  </si>
  <si>
    <t>X</t>
  </si>
  <si>
    <t>Y</t>
  </si>
  <si>
    <t>Top</t>
  </si>
  <si>
    <t>Down</t>
  </si>
  <si>
    <t>Up</t>
  </si>
  <si>
    <t>The following charts include investment costs for reneable energy (RE) expansion</t>
  </si>
  <si>
    <t>The following graphs do not include investments for CCS to show the details of investments in other areas</t>
  </si>
  <si>
    <t>2030 values</t>
  </si>
  <si>
    <t>2060 values</t>
  </si>
  <si>
    <t>Avoided CO2 Emissions</t>
  </si>
  <si>
    <t>Cement Industry</t>
  </si>
  <si>
    <t>ETP Clinker Capacity (Mt)</t>
  </si>
  <si>
    <t>CEP Clinker Capacity (MT)</t>
  </si>
  <si>
    <t>Benchmark Level 标杆水平</t>
  </si>
  <si>
    <t>Baseline Level 基准水平</t>
  </si>
  <si>
    <t>Below Baseline</t>
  </si>
  <si>
    <t>Level 1</t>
  </si>
  <si>
    <t>Level 2</t>
  </si>
  <si>
    <t>Level 3</t>
  </si>
  <si>
    <t>No Level</t>
  </si>
  <si>
    <t>Clinker Energy Intensity (kgce/t clinker)</t>
  </si>
  <si>
    <t>≤100</t>
  </si>
  <si>
    <t>≤107</t>
  </si>
  <si>
    <r>
      <rPr>
        <sz val="11"/>
        <color theme="1"/>
        <rFont val="Arial"/>
        <family val="2"/>
      </rPr>
      <t>≤</t>
    </r>
    <r>
      <rPr>
        <sz val="11"/>
        <color theme="1"/>
        <rFont val="Aptos Narrow"/>
        <family val="2"/>
        <scheme val="minor"/>
      </rPr>
      <t>117</t>
    </r>
  </si>
  <si>
    <t>&gt;117</t>
  </si>
  <si>
    <t>Energy Intensity Reduction (compared to a better level, %)</t>
  </si>
  <si>
    <t>Energy Intensity Reduction (compared to a better level, kgce/t)</t>
  </si>
  <si>
    <t>2020 Clinker Capacity Share</t>
  </si>
  <si>
    <t>2025 Clinker Capacity Government Goal</t>
  </si>
  <si>
    <t>2030 Clinker Capacity Government Goal</t>
  </si>
  <si>
    <t>2060 Clinker Capacity Goal (Scenario)</t>
  </si>
  <si>
    <t>Method 1: based on government goals of % of capacity reach to Benchmark Level; this will ensure meeting government goals in the near-term, but lead to significant wastes in investment and stranded assets</t>
  </si>
  <si>
    <t>2020 Clinker Capacity (Million Tonnes)</t>
  </si>
  <si>
    <t>2025 Clinker Capacity (Million Tonnes)</t>
  </si>
  <si>
    <t>2030 Clinker Capacity (Million Tonnes)</t>
  </si>
  <si>
    <t>2020 vs 2030 Clinker Capacity Change (Million Tonnes)</t>
  </si>
  <si>
    <t>upgrade from level 2 to level 1</t>
  </si>
  <si>
    <t>2060 Clinker Capacity (Million Tonnes)</t>
  </si>
  <si>
    <t xml:space="preserve">Method 2: based on 2060 capacity goal, and then government goal of capacity reach to the Benchmark Level </t>
  </si>
  <si>
    <t xml:space="preserve">No Level </t>
  </si>
  <si>
    <t>2020 vs 2030 Clinker Capacity Impact (Million Tonnes)</t>
  </si>
  <si>
    <t>2030 vs 2630 Clinker Capacity Impact (Million Tonnes)</t>
  </si>
  <si>
    <t>Calcined Clay Adoption</t>
  </si>
  <si>
    <t>Affected 2030 Clinker Capacity (Mt)</t>
  </si>
  <si>
    <t>Affected 2060 Clinker Capacity (Mt)</t>
  </si>
  <si>
    <t>2030 vs 2060 Clinker Capacity Impact (Million Tonnes)</t>
  </si>
  <si>
    <t>Indonesia Cement Association</t>
  </si>
  <si>
    <t>Scenario: Near Zero 2060 Scenario</t>
  </si>
  <si>
    <t>Waste heat to power</t>
  </si>
  <si>
    <t>Aggregated Total (kgce/t clinker)</t>
  </si>
  <si>
    <t>Aggregated Total (GJ/t clinker)</t>
  </si>
  <si>
    <t>20-30 million euroes just for waste heat to power</t>
  </si>
  <si>
    <t>from Indonesia Net Zero Roadmap</t>
  </si>
  <si>
    <t>The following graph does not include investments for CCS, RE Expansion, or Electrolyzer Investment to show the details of investments in other areas</t>
  </si>
  <si>
    <t>Clinker Capacity (Mt)</t>
  </si>
  <si>
    <t>Estimated based on historical data</t>
  </si>
  <si>
    <t>China's MEPS standard for cement</t>
  </si>
  <si>
    <t>Estimated % for Indonesia</t>
  </si>
  <si>
    <t>Overall EI</t>
  </si>
  <si>
    <t>2020 Clinker Energy Intensity (GJ/t clinker)</t>
  </si>
  <si>
    <t xml:space="preserve">Note: Did not really use kgce/t as an indicator but used the levels (brackets) as categories for estimating EE improvement capacity </t>
  </si>
  <si>
    <t>2020 Clinker Capacity Share: estimation</t>
  </si>
  <si>
    <t>2020 avg is 3.6 GJ/t clinker</t>
  </si>
  <si>
    <t>2025 Clinker Capacity Share: estimation</t>
  </si>
  <si>
    <t>2030 Clinker Capacity Share: estimation</t>
  </si>
  <si>
    <t>Our modeling results require avg EI 3.32 GJ/t clinker</t>
  </si>
  <si>
    <t>2060 Clinker Capacity Share: estimation</t>
  </si>
  <si>
    <t>Utilization Rate in 2023</t>
  </si>
  <si>
    <t>Cemnet.com reporting</t>
  </si>
  <si>
    <t>https://www.cemnet.com/News/story/177737/vietnam-halts-production-amid-oversupply-crisis-and-looks-to-2026-recovery.html</t>
  </si>
  <si>
    <t>2023 production/ 2023 capacity</t>
  </si>
  <si>
    <t>Mt</t>
  </si>
  <si>
    <t>Million</t>
  </si>
  <si>
    <t>kg cement/person</t>
  </si>
  <si>
    <t>Production</t>
  </si>
  <si>
    <t>Export</t>
  </si>
  <si>
    <t>Dom Consumption</t>
  </si>
  <si>
    <t>Population</t>
  </si>
  <si>
    <t>Per-capita consumption</t>
  </si>
  <si>
    <t>Lau and Tsai, 2024</t>
  </si>
  <si>
    <t>estimated based on reaching per-capita cement consumption 600 kg tcement/person year</t>
  </si>
  <si>
    <t>Based on Indonesia Avg and Other Country-Specific Data D25</t>
  </si>
  <si>
    <t>Avg (2022-2025</t>
  </si>
  <si>
    <t>Total Investment Gap (from 2030 to 2050) (million $)</t>
  </si>
  <si>
    <t>Total Cumulative Investment (from 2022 to 2050) (million $)</t>
  </si>
  <si>
    <t>Affected Clinker Production Capacity in 2050 (Mt)</t>
  </si>
  <si>
    <t>H2 Demand in 2050 (Million Tonnes)</t>
  </si>
  <si>
    <t>Additional H2 Demand from 2030 to 2050 (Million Tonnes)</t>
  </si>
  <si>
    <t>Net Zero 2050</t>
  </si>
  <si>
    <r>
      <t xml:space="preserve">million </t>
    </r>
    <r>
      <rPr>
        <sz val="11"/>
        <rFont val="Arial"/>
        <family val="2"/>
      </rPr>
      <t>€/plant</t>
    </r>
  </si>
  <si>
    <t>Scenario: Net Zero 2050</t>
  </si>
  <si>
    <t>Total (not including RE Exapansion)</t>
  </si>
  <si>
    <t>Estimated based on adoption rate, carbon intensity of cement, and production</t>
  </si>
  <si>
    <t>The following graph does not include investments for Electrolyzers, RE Expansion, or CCS to show the details of investments in other areas</t>
  </si>
  <si>
    <t>Estimated % for Vietnam</t>
  </si>
  <si>
    <t>2050 Clinker Capacity Share: estimation</t>
  </si>
  <si>
    <t>2050 Clinker Capacity (Million Tonnes)</t>
  </si>
  <si>
    <t>2030 vs 2050 Clinker Capacity Impact (Million Tonnes)</t>
  </si>
  <si>
    <t>Affected 2050 Clinker Capacity (Mt)</t>
  </si>
  <si>
    <t>Interventions</t>
  </si>
  <si>
    <t>China: Iron and Steel</t>
  </si>
  <si>
    <t>Steel</t>
  </si>
  <si>
    <t xml:space="preserve">Energy Technology Pathway </t>
  </si>
  <si>
    <t>High CAPEX$/GJ due to low energy intensity (GJ/t steel) in scrap-based EAF steel production</t>
  </si>
  <si>
    <t>not used in tiers</t>
  </si>
  <si>
    <t>not including H2 or RE electricity production CAPEX</t>
  </si>
  <si>
    <t>including CAEPX required to produce clean electricity and investment in electrolyzers</t>
  </si>
  <si>
    <t>China: Cement (Energy Technology Pathway)</t>
  </si>
  <si>
    <t>China: Cement (Circular Economy Pathway)</t>
  </si>
  <si>
    <t>Indonesia: Iron and Steel</t>
  </si>
  <si>
    <t>Indonesia: Cement</t>
  </si>
  <si>
    <t>Vietnam: Iron and Steel</t>
  </si>
  <si>
    <t>Vietnam: Cement</t>
  </si>
  <si>
    <t>China: Iron and Steel Sector</t>
  </si>
  <si>
    <t>Indonesia: Iron and Steel Sector</t>
  </si>
  <si>
    <t>Vietnam: Iron and Steel Sector</t>
  </si>
  <si>
    <t>Investment Needs by 2060 (Not Including RE Expansion)</t>
  </si>
  <si>
    <t>Unit: Billion $</t>
  </si>
  <si>
    <t xml:space="preserve">Bottom Up </t>
  </si>
  <si>
    <t>Top Down</t>
  </si>
  <si>
    <t>Cement vs Non-metallic Minerals</t>
  </si>
  <si>
    <t>Iron and Steel</t>
  </si>
  <si>
    <t>Cement (Energy Technology Scenario)</t>
  </si>
  <si>
    <t>Cement (Circular Economy Scenario)</t>
  </si>
  <si>
    <t>Outlier, due to much lower CCS adoption rate (and higher clinker substitution rates). Consider not using this scenario to be aligned with the Top-down approach?</t>
  </si>
  <si>
    <t>Capture Equipment CapEx Costs</t>
  </si>
  <si>
    <t>Reference: 48</t>
  </si>
  <si>
    <t>Caution: do not use the "Capital Costs, $/tonne CO2" rows in the source table (ref #48), because those capital costs are annualized over the lifetime of the equipment with a discount rate. For this analysis, we want overnight costs.</t>
  </si>
  <si>
    <t>Cement plant (90% capture rate)</t>
  </si>
  <si>
    <t>cement plant toal overnight cost (TOC)</t>
  </si>
  <si>
    <t>cement plant CO2 captured / yr</t>
  </si>
  <si>
    <t>tonnes CO2/yr</t>
  </si>
  <si>
    <t>million tonnes/yr</t>
  </si>
  <si>
    <t>2018$ / (tonne/yr)</t>
  </si>
  <si>
    <t>2018 to 2023 USD multiplier (inflation)</t>
  </si>
  <si>
    <t>2023$ / (tonne / yr)</t>
  </si>
  <si>
    <t>Steel retrofit (90% capture rate)</t>
  </si>
  <si>
    <t>steel retrofit total overnight cost (TOC)</t>
  </si>
  <si>
    <t>steel retrofit CO2 captured / yr</t>
  </si>
  <si>
    <t>Average for cement and steel plants</t>
  </si>
  <si>
    <t>Transport Equipment CapEx Costs</t>
  </si>
  <si>
    <t>Reference: 49</t>
  </si>
  <si>
    <t>Based on 100-km, 12-in diameter pipe and booster pumps operated at 85% capacity factor</t>
  </si>
  <si>
    <t>Daily CO2 flow</t>
  </si>
  <si>
    <t>tonnes CO2/day</t>
  </si>
  <si>
    <t>Annual CO2 flow</t>
  </si>
  <si>
    <t>Capital cost</t>
  </si>
  <si>
    <t>million 2018$</t>
  </si>
  <si>
    <t>2018$ / (tonne / yr)</t>
  </si>
  <si>
    <t>Storage Equipment CapEx Costs</t>
  </si>
  <si>
    <t>Based on injectin 4.3 million tonnes CO2/yr over a 30-year project operational lifetime.</t>
  </si>
  <si>
    <t>This includes construction at the injection site. It omits site selection and characterization, operations, site closure, and post-injection site care,</t>
  </si>
  <si>
    <t>as those are assumed to be primarily ongoing expenses for maintenance and monitoring, not initial capital expenses.</t>
  </si>
  <si>
    <t>Site</t>
  </si>
  <si>
    <t>Total cost per tonne CO2 stored</t>
  </si>
  <si>
    <t>Construction share</t>
  </si>
  <si>
    <t>Construction cost per tonne</t>
  </si>
  <si>
    <t>Mt Simon 3</t>
  </si>
  <si>
    <t>Woodbine 1</t>
  </si>
  <si>
    <t>Red River 1</t>
  </si>
  <si>
    <t>Madison 1</t>
  </si>
  <si>
    <t>Average construction cost per tonne CO2</t>
  </si>
  <si>
    <t>2018$ / tonne</t>
  </si>
  <si>
    <r>
      <t xml:space="preserve">The source report is not 100% clear, but it labels this as the capital cost to store one ton of CO2, not to store one ton of CO2 </t>
    </r>
    <r>
      <rPr>
        <b/>
        <i/>
        <u/>
        <sz val="11"/>
        <color theme="1"/>
        <rFont val="Aptos Narrow"/>
        <family val="2"/>
        <scheme val="minor"/>
      </rPr>
      <t>per year</t>
    </r>
    <r>
      <rPr>
        <i/>
        <sz val="11"/>
        <color theme="1"/>
        <rFont val="Aptos Narrow"/>
        <family val="2"/>
        <scheme val="minor"/>
      </rPr>
      <t>.</t>
    </r>
  </si>
  <si>
    <r>
      <t xml:space="preserve">In this report, we are looking at equipment that can abate specific amounts of emissions </t>
    </r>
    <r>
      <rPr>
        <b/>
        <i/>
        <u/>
        <sz val="11"/>
        <color theme="1"/>
        <rFont val="Aptos Narrow"/>
        <family val="2"/>
        <scheme val="minor"/>
      </rPr>
      <t>annually</t>
    </r>
    <r>
      <rPr>
        <i/>
        <sz val="11"/>
        <color theme="1"/>
        <rFont val="Aptos Narrow"/>
        <family val="2"/>
        <scheme val="minor"/>
      </rPr>
      <t>, which implies we would have to pay for equipment</t>
    </r>
  </si>
  <si>
    <t>upfront that operates for the entire expected lifetime, paying the cost above to build a site that can store one ton in each of those years.</t>
  </si>
  <si>
    <t>Therefore, I think the correct thing to do (and which makes the units come out correct) is to multiply by the project lifetime.</t>
  </si>
  <si>
    <t>Project lifetime</t>
  </si>
  <si>
    <t>Construction cost unit CO2 stored annually over project lifetime</t>
  </si>
  <si>
    <t>Alternate data source (from LBL's Cement and Steel Cost Models)</t>
  </si>
  <si>
    <t>LBL notes that the costs in this table include CapEx for capture, transport, and storage summed.</t>
  </si>
  <si>
    <t xml:space="preserve">CAPEX Cost for CCS in Iron and Steel </t>
  </si>
  <si>
    <t>2050/2060</t>
  </si>
  <si>
    <t xml:space="preserve">Note </t>
  </si>
  <si>
    <t xml:space="preserve">CCS CAPEX cost is based on MPP Model </t>
  </si>
  <si>
    <t>Also based on the average of two scenarios</t>
  </si>
  <si>
    <t>CAPEX Cost for CCS in Cement</t>
  </si>
  <si>
    <t>CCS CAPEX cost is based on DOE liftoff report</t>
  </si>
  <si>
    <t>There exists only one CCS cement project in China (none in Vietnam or Indonesia) and no CCS steel projects in any of the three countries.</t>
  </si>
  <si>
    <t>Therefore, these data are somewhat speculative.</t>
  </si>
  <si>
    <t>They show high variance from country to country, and the 2050/2060 values are lower for steel but higher for cement, which seems questionsable.</t>
  </si>
  <si>
    <t>However, the averages seem broadly reasonable, as compared to U.S. data from NETL.  The U.S. has far more experience with CCS because of the</t>
  </si>
  <si>
    <t>abundance of enhanced oil recovery projects (fracking = CO2 injection), so the U.S. data are a good benchmark.</t>
  </si>
  <si>
    <t>U.S. total for steel</t>
  </si>
  <si>
    <t>Includes capture, transport, and injection CapEx</t>
  </si>
  <si>
    <t>U.S. total for cement</t>
  </si>
  <si>
    <t>East Asia average for steel</t>
  </si>
  <si>
    <t>East Asia average for cement</t>
  </si>
  <si>
    <t>These are both slightly higher than the corresponding U.S. values and are reasonable to use.</t>
  </si>
  <si>
    <t xml:space="preserve">Value </t>
  </si>
  <si>
    <t>Steelmaking</t>
  </si>
  <si>
    <t>coal required per ton of steel via blast furnace route</t>
  </si>
  <si>
    <t>GJ / metric ton</t>
  </si>
  <si>
    <t>electricity required per ton of steel via H2-DRI route</t>
  </si>
  <si>
    <t>hydrogen electrolyzer share of H2-DRI electricity use</t>
  </si>
  <si>
    <t>electricity required by EAF per ton secondary steel</t>
  </si>
  <si>
    <t>EAFs use natural gas burners around the edges. The actual breakdown is 1.9 GJ of electricity and 0.4 GJ of natural gas. We assume a fully electrified EAF would require an equivalent amount of electricity to replace the natural gas.</t>
  </si>
  <si>
    <t>Cement emissions by type</t>
  </si>
  <si>
    <t>Direct process emisssions</t>
  </si>
  <si>
    <t>Baed on China</t>
  </si>
  <si>
    <t>Direct energy-related emissions</t>
  </si>
  <si>
    <t>Indirect emissions</t>
  </si>
  <si>
    <t>Electrolysis</t>
  </si>
  <si>
    <t>Energy efficiency of hydrogen electrolysis</t>
  </si>
  <si>
    <t>Using 2050 projected efficiency value from IRENA analysis</t>
  </si>
  <si>
    <t>Increase in fuel consumption to power CCS process</t>
  </si>
  <si>
    <t>percent of CO2 captured by CCS systems</t>
  </si>
  <si>
    <t>ZCI book, page 194</t>
  </si>
  <si>
    <t>CCS Capital Costs</t>
  </si>
  <si>
    <t>We are using power plants as a stand-in for industrial facilities due to a lack of data on CCS-equipped industrial facility capital costs.</t>
  </si>
  <si>
    <t>Reference plant, NGCC (average of 9 data points/studies)</t>
  </si>
  <si>
    <t>$ / kW</t>
  </si>
  <si>
    <t>Post-combustion capture CCS-equipped equivlanet plant (average of 9 data points/studies)</t>
  </si>
  <si>
    <t>Increase in CapEx cost relative to non-CCS eqpt.</t>
  </si>
  <si>
    <t>Emissions intensity of electricity production by source</t>
  </si>
  <si>
    <t>This section uses U.S. data.  Viet Nam uses values from a Vietnamese source on the "Vietnam Elec Data &amp; Projections" tab.</t>
  </si>
  <si>
    <t>The U.S. values may also be used for China and Indonesia, even though China's coal plants are more efficient than U.S. plants (lower emissions intensity),</t>
  </si>
  <si>
    <t>and Indonesia's coal plants are less efficient than U.S. plants (higher emissions intensity).  A future version of this model may implement adjustments</t>
  </si>
  <si>
    <t>to these emissions intensities to better reflect these differences for China and Indonesia.</t>
  </si>
  <si>
    <t>CO2 emissions intensity of from coal generation (U.S., 2023)</t>
  </si>
  <si>
    <t>lb CO2 / kWh</t>
  </si>
  <si>
    <t>The figure could vary slightly by country due to different mixes of coal types used in power plants (e.g., lignite, bituminous, etc.), but a U.S. value should be reasonably accurate globally.</t>
  </si>
  <si>
    <t>CO2 emissions intensity of from petroleum generation (U.S., 2023)</t>
  </si>
  <si>
    <t>The figure could vary slightly by country due to different mixes of petroleum types used in power plants (e.g., diesel, heavy fuel oil, crude oil, etc.), but a U.S. value should be reasonably accurate globally.</t>
  </si>
  <si>
    <t>CO2 emissions intensity of from natural gas generation (U.S., 2023)</t>
  </si>
  <si>
    <t>CO2 emissions intensity from coal generation</t>
  </si>
  <si>
    <t>kg CO2 / kWh</t>
  </si>
  <si>
    <t>CO2 emissions intensity from petroleum generation</t>
  </si>
  <si>
    <t>CO2 emissions intensity from natural gas generation</t>
  </si>
  <si>
    <t>CO2 emissions intensity from coal generation (U.S.)</t>
  </si>
  <si>
    <t>CO2 emissions intensity from petroleum generation (U.S.)</t>
  </si>
  <si>
    <t>CO2 emissions intensity from natural gas generation (U.S.)</t>
  </si>
  <si>
    <t>Coal Mine Methane (CMM)</t>
  </si>
  <si>
    <t>Methane GWP value (100-year timeframe)</t>
  </si>
  <si>
    <t>g CO2 / g CH4</t>
  </si>
  <si>
    <t>This is the value for fossil-derived methane. Biogenic methane is slightly lower (27 rather than 29.8) due to the carbon in the methane having been sequestered from the atmosphere.</t>
  </si>
  <si>
    <t>Coal mine methane emissions factor (underground mining)</t>
  </si>
  <si>
    <t>m^3 CH4 / tonne coal</t>
  </si>
  <si>
    <t>This is the "average CH4 emission factor" recommended by the IPCC for use in creating national emissions inventories. Actual rates depend on coal type and mining depth. For detailed curves, see https://www.sciencedirect.com/science/article/pii/S0959652620305369?via%3Dihub</t>
  </si>
  <si>
    <t>Post-mining emissions (underground mining)</t>
  </si>
  <si>
    <t>Lifetime methane emissions from mines after the mine is closed</t>
  </si>
  <si>
    <t>Methane density used in emissions factors above</t>
  </si>
  <si>
    <t>kg / m^3</t>
  </si>
  <si>
    <t>Total methane emissions per tonne coal (underground mining)</t>
  </si>
  <si>
    <t>kg CH4 / tonne coal</t>
  </si>
  <si>
    <t>kg CO2e / tonne coal</t>
  </si>
  <si>
    <t>Coal mine methane emissions factor (surface mining)</t>
  </si>
  <si>
    <t>This is the "average CH4 emission factor" recommended by the IPCC for use in creating national emissions inventories.</t>
  </si>
  <si>
    <t>Post-mining emissions (surface mining)</t>
  </si>
  <si>
    <t>Total methane emissions per tonne coal (surface mining)</t>
  </si>
  <si>
    <t>Energy content of coal</t>
  </si>
  <si>
    <t>BTU / lb coal</t>
  </si>
  <si>
    <t>BTU / kg coal</t>
  </si>
  <si>
    <t>BTU / tonne coal</t>
  </si>
  <si>
    <t>kJ / tonne coal</t>
  </si>
  <si>
    <t>PJ / tonne coal</t>
  </si>
  <si>
    <t>Methane per PJ underground coal in CO2e</t>
  </si>
  <si>
    <t>kg CO2e / PJ coal</t>
  </si>
  <si>
    <t>Methane per PJ surface coal in CO2e</t>
  </si>
  <si>
    <t>Natural gas leakage</t>
  </si>
  <si>
    <t>Methane leakage from oil and gas production</t>
  </si>
  <si>
    <t>These data are from the U.S. and are more accurate than official U.S. government figures (of around 1% leakage). Accurate, region-specific data are hard to find, and around 50% of U.S. LNG exports go to Asia, so some of the natural gas used by China, Indonesia, and Vietnam may have come from the U.S. originally.</t>
  </si>
  <si>
    <t>Source for claim in note above that 50% of U.S. LNG exports go to Asia: https://www.energy.gov/sites/default/files/2024-09/Natural%20Gas%20Imports%20and%20Exports%20Monthly%20July%202024.pdf</t>
  </si>
  <si>
    <t>Methane leaked per PJ of natural gas</t>
  </si>
  <si>
    <t>PJ CH4 leaked / PJ NG</t>
  </si>
  <si>
    <t>Energy content of methane (LHV)</t>
  </si>
  <si>
    <t>PJ / MMT CH4</t>
  </si>
  <si>
    <t>Mass of methane leaked per PJ of natural gas</t>
  </si>
  <si>
    <t>MMT CH4 leaked / PJ NG</t>
  </si>
  <si>
    <t>Mass of methane leaked in CO2e per PJ of natural gas</t>
  </si>
  <si>
    <t>Useful Energy by Temperature by Subindustry</t>
  </si>
  <si>
    <t>Reference: 12</t>
  </si>
  <si>
    <t>Combustion heating</t>
  </si>
  <si>
    <t>Reallocate into temperature bins matching this study (from Hasanbeigi et al.)</t>
  </si>
  <si>
    <t>Rescale to 100% (i.e., exclude electricity use)</t>
  </si>
  <si>
    <t>Electric non-heating</t>
  </si>
  <si>
    <t>Electric heating</t>
  </si>
  <si>
    <t>&lt; 100°C</t>
  </si>
  <si>
    <t>100-400°C</t>
  </si>
  <si>
    <t>400-1000°C</t>
  </si>
  <si>
    <t>&gt; 1000°C</t>
  </si>
  <si>
    <t>Secondary Aluminum</t>
  </si>
  <si>
    <t>Other Non-Ferrous Metals</t>
  </si>
  <si>
    <t>Primary Aluminum</t>
  </si>
  <si>
    <t>Wood and Wood Products</t>
  </si>
  <si>
    <t>Glass</t>
  </si>
  <si>
    <t>Secondary Steel</t>
  </si>
  <si>
    <t>Transport Equipment</t>
  </si>
  <si>
    <t>Ceramics</t>
  </si>
  <si>
    <t>Machinery and Equipment</t>
  </si>
  <si>
    <t>Pulp and Paper</t>
  </si>
  <si>
    <t>Reference: 10</t>
  </si>
  <si>
    <t>Industry Categories for World Bank Analysis</t>
  </si>
  <si>
    <t>Share of non-feedstock combustible fuels used for non-heating purposes</t>
  </si>
  <si>
    <t>Using "transport equipment" as a proxy since there is no exact match and transport equipment is relatively heterogeneous in materials and processes, making it a better proxy than a material-specific industry</t>
  </si>
  <si>
    <t>Combustion Equipment Efficiency by Temperature</t>
  </si>
  <si>
    <t>References</t>
  </si>
  <si>
    <t>Equipment temperature range</t>
  </si>
  <si>
    <t>Representative combustion equipment</t>
  </si>
  <si>
    <t>Burner efficiency</t>
  </si>
  <si>
    <t>Other equip. losses</t>
  </si>
  <si>
    <t>Overall equip. efficiency</t>
  </si>
  <si>
    <t>Other system losses</t>
  </si>
  <si>
    <t>diesel engine</t>
  </si>
  <si>
    <t>boiler</t>
  </si>
  <si>
    <t>furnace</t>
  </si>
  <si>
    <t>Electrified Equipment Efficiency by Temperature</t>
  </si>
  <si>
    <t>Representative electrified equipment</t>
  </si>
  <si>
    <t>electric motor</t>
  </si>
  <si>
    <t>low-temp heat pump</t>
  </si>
  <si>
    <t>high-temp heat pump</t>
  </si>
  <si>
    <t>e-boiler</t>
  </si>
  <si>
    <t>electric resistance</t>
  </si>
  <si>
    <t>induction or electric arc</t>
  </si>
  <si>
    <t>Efficiency adjustment for going from combustible fuels to electricity</t>
  </si>
  <si>
    <t>Electrification Potential by Industrial Subsector</t>
  </si>
  <si>
    <t>Source: 12</t>
  </si>
  <si>
    <t>Not geograph-specific; can use for any/all countries in this analysis.</t>
  </si>
  <si>
    <t>These tables are only for heat; they do not refer to electrification potential of non-heating uses of combustible fuels (e.g., diesel engines).</t>
  </si>
  <si>
    <t>Unit: points as measured in vector graphics program</t>
  </si>
  <si>
    <t>Current Elec</t>
  </si>
  <si>
    <t>Stage 1</t>
  </si>
  <si>
    <t>Stage 2</t>
  </si>
  <si>
    <t>Stage 3</t>
  </si>
  <si>
    <t>Remainder</t>
  </si>
  <si>
    <t>Ceramics &amp; Glass</t>
  </si>
  <si>
    <t>Excluding already electrified energy and converting to percentages of combustion energy:</t>
  </si>
  <si>
    <t>Assuming we use direct electrification to address stage 1 and 2 technologies and use other technologies for stage 3 and remainer ("remainder" means hard to electrify):</t>
  </si>
  <si>
    <t>Electrification share</t>
  </si>
  <si>
    <t>Other approaches share</t>
  </si>
  <si>
    <t>Source: 19</t>
  </si>
  <si>
    <t>Refining uses a different source than other industries, as it was not included in Madeddu et al.</t>
  </si>
  <si>
    <t>Refining Demand Projection</t>
  </si>
  <si>
    <t>Sources for China, Indonesia, and Viet Nam do not provide projections of future petroleum refining demand out to 2050.</t>
  </si>
  <si>
    <t>However, oil is traded globally, and it may be reasonable to assume that the percentage change in global</t>
  </si>
  <si>
    <t>refining activity is similar to the percentage change in refining activity in these specific countries.</t>
  </si>
  <si>
    <t>To be used, crude oil essentially always needs to be refined, so projections of % change in total oil use or crude oil us</t>
  </si>
  <si>
    <t>should be the same as % change in total refining activity.</t>
  </si>
  <si>
    <t>There are a number of data options for projected change in global oil demand.</t>
  </si>
  <si>
    <t>Option 1</t>
  </si>
  <si>
    <t>Scenarios projecting decarbonization often show steep cuts to oil demand and therefore to refining activity.</t>
  </si>
  <si>
    <t>For instance, the IEA "Announced Pledges" scenario (APS) (which assumes all countries meet their announced pledges,</t>
  </si>
  <si>
    <t>including net-zero economy-wide targets, which may be hard to achieve) finds:</t>
  </si>
  <si>
    <t>2022 oil production</t>
  </si>
  <si>
    <t>bpd</t>
  </si>
  <si>
    <t>2050 oil production</t>
  </si>
  <si>
    <t>percent change</t>
  </si>
  <si>
    <t>The Oil and Gas Industry in Net Zero Transitions (revised version)</t>
  </si>
  <si>
    <t>https://iea.blob.core.windows.net/assets/f065ae5e-94ed-4fcb-8f17-8ceffde8bdd2/TheOilandGasIndustryinNetZeroTransitions.pdf</t>
  </si>
  <si>
    <t>Page 26, comparing 2022 level with 2050 value in announced pledges scenario (APS)</t>
  </si>
  <si>
    <t>Option 2</t>
  </si>
  <si>
    <t>Another example comes from the Shell Energy Security Scenarios 2025, where the scenario "Archipelagos" involves</t>
  </si>
  <si>
    <t>a clean energy transition that is moderate in pace and ultimately limits warming to 2.23 C versus pre-industrial times by 2100.</t>
  </si>
  <si>
    <t>It assumes a peak in global CO2 emissions in 2028 and fossil fuel CO2 emissions in 2030.</t>
  </si>
  <si>
    <t>(This is the weakest of Shell's scenarios. Scenarios "Surge" and "Horizon" involve faster and deeper emissions cuts. They seem unlikely.)</t>
  </si>
  <si>
    <t>Shell</t>
  </si>
  <si>
    <t>The 2025 Energy Security Scenarios: Summary Spreadsheet</t>
  </si>
  <si>
    <t>https://www.shell.com/news-and-insights/scenarios/the-energy-security-scenarios/shell-energy-security-scenarios-asset/_jcr_content/root/main/section/promo_copy_142460259/links/item0.stream/1680507901757/2178de0c7932b9d62167ed51a7ef34ee87056498/shell-energy-security-scenarios-2023-underlying-data.xlsb</t>
  </si>
  <si>
    <t>"Archipelagos" tab</t>
  </si>
  <si>
    <t>Option 3</t>
  </si>
  <si>
    <t>ExxonMobil produces a Global Outlook that represents a projection (unlike Shell's scenarios, which don't reflect Shell's view of what is most likely.)</t>
  </si>
  <si>
    <t>Exxon estimates:</t>
  </si>
  <si>
    <t>2023 oil demand</t>
  </si>
  <si>
    <t>quads</t>
  </si>
  <si>
    <t>2050 oil demand</t>
  </si>
  <si>
    <t>ExxonMobil Global Outlook 2024</t>
  </si>
  <si>
    <t>Option 4</t>
  </si>
  <si>
    <t>The U.S. EIA International Energy Outlook has a "reference case" projection with global oil demand rising</t>
  </si>
  <si>
    <t>at rates higher than that projected by ExxonMobil.</t>
  </si>
  <si>
    <t>2022 crude oil production</t>
  </si>
  <si>
    <t>million bpd</t>
  </si>
  <si>
    <t>2050 crude oil production</t>
  </si>
  <si>
    <t>International Energy Outlook 2023</t>
  </si>
  <si>
    <t>https://www.eia.gov/outlooks/ieo/data.php</t>
  </si>
  <si>
    <t>Table G2</t>
  </si>
  <si>
    <t>Option 5</t>
  </si>
  <si>
    <t>OPEC has a reference case and two alternate scenarios worth considering.</t>
  </si>
  <si>
    <t>OPEC's reference case is their most likely prediction.</t>
  </si>
  <si>
    <t>"Technology-Driven" is OPEC's scenario that limits warming to under 2 C.</t>
  </si>
  <si>
    <r>
      <t xml:space="preserve">"Equitable Growth" is a scenario that reflects greater economic prosperity for developing countries, along with </t>
    </r>
    <r>
      <rPr>
        <i/>
        <sz val="11"/>
        <color theme="1"/>
        <rFont val="Aptos Narrow"/>
        <family val="2"/>
        <scheme val="minor"/>
      </rPr>
      <t>increased</t>
    </r>
    <r>
      <rPr>
        <sz val="11"/>
        <color theme="1"/>
        <rFont val="Aptos Narrow"/>
        <family val="2"/>
        <scheme val="minor"/>
      </rPr>
      <t xml:space="preserve"> oil use relative to the reference scenario.</t>
    </r>
  </si>
  <si>
    <t>% change</t>
  </si>
  <si>
    <t>M bpd</t>
  </si>
  <si>
    <t>Technology-Driven</t>
  </si>
  <si>
    <t>Equitable Growth</t>
  </si>
  <si>
    <t>OPEC</t>
  </si>
  <si>
    <t>World Oil Outlook 2050</t>
  </si>
  <si>
    <t>https://publications.opec.org/woo/chapter/129/2360</t>
  </si>
  <si>
    <t>Chapter 7, "Energy Scenarios," Figure 7.8</t>
  </si>
  <si>
    <t>Selected option</t>
  </si>
  <si>
    <t>We opt to use ExxonMobil's Global Energy Outlook figure as our Future BAU case projection.</t>
  </si>
  <si>
    <t>This value is the median of all 7 scenarios considered above.  (It's still the median if you exclude the two non-reference OPEC scenarios.)</t>
  </si>
  <si>
    <t>It seems to offer a reasonable balance between the projections of still larger demand increases (e.g., from EIA and OPEC) and the</t>
  </si>
  <si>
    <t>projections reflecting strong climate action (IEA, Shell Archipelagos).</t>
  </si>
  <si>
    <t>Selected value</t>
  </si>
  <si>
    <t>Source: 24</t>
  </si>
  <si>
    <t>4-3 工业分行业终端能源消费量(标准量)-2022</t>
  </si>
  <si>
    <t>Final Energy Consumption by Industrial Sector(Standard Quantity)-2022</t>
  </si>
  <si>
    <t>Standardized Fuel Categories for World Bank Analysis</t>
  </si>
  <si>
    <t>单位:万吨标准煤</t>
  </si>
  <si>
    <r>
      <rPr>
        <sz val="10"/>
        <rFont val="宋体"/>
        <charset val="134"/>
      </rPr>
      <t>(10</t>
    </r>
    <r>
      <rPr>
        <vertAlign val="superscript"/>
        <sz val="10"/>
        <rFont val="宋体"/>
        <charset val="134"/>
      </rPr>
      <t>4</t>
    </r>
    <r>
      <rPr>
        <sz val="10"/>
        <rFont val="宋体"/>
        <charset val="134"/>
      </rPr>
      <t xml:space="preserve"> tce)</t>
    </r>
  </si>
  <si>
    <t>行 业</t>
  </si>
  <si>
    <t>终端消费合计
Final Consumption Total</t>
  </si>
  <si>
    <t>煤合计
Coal Total</t>
  </si>
  <si>
    <t>原煤
Raw Coal</t>
  </si>
  <si>
    <t>洗精煤
Cleaned
Coal</t>
  </si>
  <si>
    <t>其他洗煤
Other
Washed
Coal</t>
  </si>
  <si>
    <t>焦炭
Coke</t>
  </si>
  <si>
    <t>焦炉煤气
Coke Oven
Gas</t>
  </si>
  <si>
    <t>高炉煤气
Blast Furnace
Gas</t>
  </si>
  <si>
    <t>转炉煤气
Converter
Gas</t>
  </si>
  <si>
    <t>其他煤气
Other Gas</t>
  </si>
  <si>
    <t>其他焦化产品
Other
Coking
Products</t>
  </si>
  <si>
    <t>(发电煤耗
计算法)
(Coal
Equivalent
Calculation)</t>
  </si>
  <si>
    <t>(电热当量
计算法)
(Calorific
Value
Calculation)</t>
  </si>
  <si>
    <t>油品合计
Petroleum
Products
Total</t>
  </si>
  <si>
    <t>原油
Crude Oil</t>
  </si>
  <si>
    <t>汽油
Gasoline</t>
  </si>
  <si>
    <t>煤油
Kerosene</t>
  </si>
  <si>
    <t>柴油
Diesel Oil</t>
  </si>
  <si>
    <t>燃料油
Fuel Oil</t>
  </si>
  <si>
    <t>石脑油
Naphtha</t>
  </si>
  <si>
    <t>润滑油
Lubricants</t>
  </si>
  <si>
    <t>石蜡
Paraffin
Waxes</t>
  </si>
  <si>
    <t>溶剂油
White Spirit</t>
  </si>
  <si>
    <t>石油沥青
Bitumen
Asphalt</t>
  </si>
  <si>
    <t>石油焦
Petroleum
Coke</t>
  </si>
  <si>
    <t>液化石油气
Liquefied
Petroleum Gas</t>
  </si>
  <si>
    <t>炼厂干气
Refinery
Gas</t>
  </si>
  <si>
    <t>其他石油制品
Other
Petroleum
Products</t>
  </si>
  <si>
    <t>天然气
Natural Gas</t>
  </si>
  <si>
    <t>液化天然气
Liquefied
Natural Gas</t>
  </si>
  <si>
    <t>热力
Heat</t>
  </si>
  <si>
    <t>电力
Electricity</t>
  </si>
  <si>
    <t>其他能源
Other Energy</t>
  </si>
  <si>
    <t>工业</t>
  </si>
  <si>
    <t>(一)采矿业</t>
  </si>
  <si>
    <t>Mining</t>
  </si>
  <si>
    <t xml:space="preserve">  煤炭开采和洗选业</t>
  </si>
  <si>
    <t xml:space="preserve">  Mining and Washing of Coal</t>
  </si>
  <si>
    <t xml:space="preserve">  石油和天然气开采业</t>
  </si>
  <si>
    <t xml:space="preserve">  Extraction of Petroleum and Natural Gas</t>
  </si>
  <si>
    <t xml:space="preserve">  黑色金属矿采选业</t>
  </si>
  <si>
    <t xml:space="preserve">  Mining and Processing of Ferrous Metal Ores</t>
  </si>
  <si>
    <t xml:space="preserve">  有色金属矿采选业</t>
  </si>
  <si>
    <t xml:space="preserve">  Mining and Processing of Non-Ferrous Metal Ores</t>
  </si>
  <si>
    <t xml:space="preserve">  非金属矿采选业</t>
  </si>
  <si>
    <t xml:space="preserve">  Mining and Processing of Nonmetal Ores</t>
  </si>
  <si>
    <t xml:space="preserve">  开采专业及辅助性活动</t>
  </si>
  <si>
    <t xml:space="preserve">  Professional and Support Activities for Mining</t>
  </si>
  <si>
    <t xml:space="preserve">  其他采矿业</t>
  </si>
  <si>
    <t xml:space="preserve">  Mining of Other Ores</t>
  </si>
  <si>
    <t>(二)制造业</t>
  </si>
  <si>
    <t>Manufacturing</t>
  </si>
  <si>
    <t>Standardized Inudstry Categories for World Bank Analysis</t>
  </si>
  <si>
    <t xml:space="preserve">  农副食品加工业</t>
  </si>
  <si>
    <t xml:space="preserve">  Processing of Food from Agricultural Products</t>
  </si>
  <si>
    <t xml:space="preserve">  食品制造业</t>
  </si>
  <si>
    <t xml:space="preserve">  Manufacture of Foods</t>
  </si>
  <si>
    <t xml:space="preserve">  酒、饮料和精制茶制造业</t>
  </si>
  <si>
    <t xml:space="preserve">  Manufacture of Liquor,Beverages and Refined Tea</t>
  </si>
  <si>
    <t xml:space="preserve">  烟草制品业</t>
  </si>
  <si>
    <t xml:space="preserve">  Manufacture of Tobacco</t>
  </si>
  <si>
    <t xml:space="preserve">  纺织业</t>
  </si>
  <si>
    <t xml:space="preserve">  Manufacture of Textile</t>
  </si>
  <si>
    <t xml:space="preserve">  纺织服装、服饰业</t>
  </si>
  <si>
    <t xml:space="preserve">  Manufacture of Textile,Wearing Apparel and Accessories</t>
  </si>
  <si>
    <t xml:space="preserve">  皮革、毛皮、羽毛及其制品和制鞋业</t>
  </si>
  <si>
    <t xml:space="preserve">  Manufacture of Leather,Fur,Feather and Related Products and Footwear</t>
  </si>
  <si>
    <t xml:space="preserve">  木材加工和木、竹、藤、棕、草制品业</t>
  </si>
  <si>
    <t xml:space="preserve">  Processing of Timber,Manufacture of Wood,Bamboo,Rattan,Palm,
  Palm,and Straw Products</t>
  </si>
  <si>
    <t xml:space="preserve">  家具制造业</t>
  </si>
  <si>
    <t xml:space="preserve">  Manufacture of Furniture</t>
  </si>
  <si>
    <t xml:space="preserve">  造纸和纸制品业</t>
  </si>
  <si>
    <t xml:space="preserve">  Manufacture of Paper and Paper Products</t>
  </si>
  <si>
    <t xml:space="preserve">  印刷和记录媒介复制业</t>
  </si>
  <si>
    <t xml:space="preserve">  Printing and Reproduction of Recording Media</t>
  </si>
  <si>
    <t xml:space="preserve">  文教、工美、体育和娱乐用品制造业</t>
  </si>
  <si>
    <t xml:space="preserve">  Manufacture of Articles for Culture,Education,Arts and Crafts,
  Sport and Entertainment Activities</t>
  </si>
  <si>
    <t xml:space="preserve">  石油、煤炭及其他燃料加工业</t>
  </si>
  <si>
    <t xml:space="preserve">  Processing of Petroleum,Coal and Other Fuels</t>
  </si>
  <si>
    <t xml:space="preserve">  化学原料和化学制品制造业</t>
  </si>
  <si>
    <t xml:space="preserve">  Manufacture of Raw Chemical Materials and Chemical Products</t>
  </si>
  <si>
    <t xml:space="preserve">  医药制造业</t>
  </si>
  <si>
    <t xml:space="preserve">  Manufacture of Medicines</t>
  </si>
  <si>
    <t xml:space="preserve">  化学纤维制造业</t>
  </si>
  <si>
    <t xml:space="preserve">  Manufacture of Chemical Fibers</t>
  </si>
  <si>
    <t xml:space="preserve">  橡胶和塑料制品业</t>
  </si>
  <si>
    <t xml:space="preserve">  Manufacture of Rubber and Plastics Products</t>
  </si>
  <si>
    <t xml:space="preserve">  非金属矿物制品业</t>
  </si>
  <si>
    <t xml:space="preserve">  Manufacture of Non-metallic Mineral Products</t>
  </si>
  <si>
    <t xml:space="preserve">  黑色金属冶炼和压延加工业</t>
  </si>
  <si>
    <t xml:space="preserve">  Smelting and Pressing of Ferrous Metals</t>
  </si>
  <si>
    <t xml:space="preserve">  有色金属冶炼和压延加工业</t>
  </si>
  <si>
    <t xml:space="preserve">  Smelting and Pressing of Non-ferrous Metals</t>
  </si>
  <si>
    <t xml:space="preserve">  金属制品业</t>
  </si>
  <si>
    <t xml:space="preserve">  Manufacture of Metal Products</t>
  </si>
  <si>
    <t xml:space="preserve">  通用设备制造业</t>
  </si>
  <si>
    <t xml:space="preserve">  Manufacture of General Purpose Machinery</t>
  </si>
  <si>
    <t xml:space="preserve">  专用设备制造业</t>
  </si>
  <si>
    <t xml:space="preserve">  Manufacture of Special Purpose Machinery</t>
  </si>
  <si>
    <t xml:space="preserve">  汽车制造业</t>
  </si>
  <si>
    <t xml:space="preserve">  Manufacture of Automobiles</t>
  </si>
  <si>
    <t xml:space="preserve">  铁路、船舶、航空航天和其他运输设备
  制造业</t>
  </si>
  <si>
    <t xml:space="preserve">  Manufacture of Railway,Ship,Aerospace and Other Transport Equipments</t>
  </si>
  <si>
    <t xml:space="preserve">  电气机械和器材制造业</t>
  </si>
  <si>
    <t xml:space="preserve">  Manufacture of Electrical Machinery and Apparatus</t>
  </si>
  <si>
    <t xml:space="preserve">  计算机、通信和其他电子设备制造业</t>
  </si>
  <si>
    <t xml:space="preserve">  Manufacture of Computers,Communication and Other Electronic Equipment</t>
  </si>
  <si>
    <t xml:space="preserve">  仪器仪表制造业</t>
  </si>
  <si>
    <t xml:space="preserve">  Manufacture of Measuring Instruments and Machinery</t>
  </si>
  <si>
    <t xml:space="preserve">  其他制造业</t>
  </si>
  <si>
    <t xml:space="preserve">  Other Manufacture</t>
  </si>
  <si>
    <t xml:space="preserve">  废弃资源综合利用业</t>
  </si>
  <si>
    <t xml:space="preserve">  Utilization of Waste Resources</t>
  </si>
  <si>
    <t xml:space="preserve">  金属制品、机械和设备修理业</t>
  </si>
  <si>
    <t xml:space="preserve">  Repair Service of Metal Products,Machinery and Equipment</t>
  </si>
  <si>
    <t>(三)电力、热力、燃气及水生产和供应业</t>
  </si>
  <si>
    <t>Production and Supply of Electricity,Gas and Water</t>
  </si>
  <si>
    <t xml:space="preserve">  电力、热力生产和供应业</t>
  </si>
  <si>
    <t xml:space="preserve">  Production and Supply of Electric Power and Heat Power</t>
  </si>
  <si>
    <t xml:space="preserve">  燃气生产和供应业</t>
  </si>
  <si>
    <t xml:space="preserve">  Production and Supply of Gas</t>
  </si>
  <si>
    <t xml:space="preserve">  水的生产和供应业</t>
  </si>
  <si>
    <t xml:space="preserve">  Production and Supply of Water</t>
  </si>
  <si>
    <t>4-13 分行业电力消费总量</t>
  </si>
  <si>
    <t>Total Electricity Consumption by Sector</t>
  </si>
  <si>
    <t>单位:亿千瓦时</t>
  </si>
  <si>
    <r>
      <t>(10</t>
    </r>
    <r>
      <rPr>
        <vertAlign val="superscript"/>
        <sz val="10"/>
        <rFont val="宋体"/>
        <charset val="134"/>
      </rPr>
      <t>8</t>
    </r>
    <r>
      <rPr>
        <sz val="10"/>
        <rFont val="宋体"/>
        <charset val="134"/>
      </rPr>
      <t>kWh)</t>
    </r>
  </si>
  <si>
    <t>行业</t>
  </si>
  <si>
    <t>1995</t>
  </si>
  <si>
    <t>2000</t>
  </si>
  <si>
    <t>2005</t>
  </si>
  <si>
    <t>2010</t>
  </si>
  <si>
    <t>2015</t>
  </si>
  <si>
    <t>2016</t>
  </si>
  <si>
    <t>2017</t>
  </si>
  <si>
    <t>2018</t>
  </si>
  <si>
    <t>2019</t>
  </si>
  <si>
    <t>2020</t>
  </si>
  <si>
    <t>2021</t>
  </si>
  <si>
    <t>2022</t>
  </si>
  <si>
    <t>消费总量</t>
  </si>
  <si>
    <t>Total Consumption</t>
  </si>
  <si>
    <t>10023.40</t>
  </si>
  <si>
    <t>13472.38</t>
  </si>
  <si>
    <t>24940.32</t>
  </si>
  <si>
    <t>41934.49</t>
  </si>
  <si>
    <t>58019.98</t>
  </si>
  <si>
    <t>61205.09</t>
  </si>
  <si>
    <t>65913.97</t>
  </si>
  <si>
    <t>71508.20</t>
  </si>
  <si>
    <t>74866.12</t>
  </si>
  <si>
    <t>77620.17</t>
  </si>
  <si>
    <t>85200.10</t>
  </si>
  <si>
    <t>88357.62</t>
  </si>
  <si>
    <t>农、林、牧、渔业</t>
  </si>
  <si>
    <t>Agriculture,Forestry,Animal Husbandry and Fishery</t>
  </si>
  <si>
    <t>582.42</t>
  </si>
  <si>
    <t>532.96</t>
  </si>
  <si>
    <t>776.33</t>
  </si>
  <si>
    <t>976.49</t>
  </si>
  <si>
    <t>1039.83</t>
  </si>
  <si>
    <t>1091.91</t>
  </si>
  <si>
    <t>1175.12</t>
  </si>
  <si>
    <t>1242.53</t>
  </si>
  <si>
    <t>1336.20</t>
  </si>
  <si>
    <t>1422.11</t>
  </si>
  <si>
    <t>1596.54</t>
  </si>
  <si>
    <t>1756.72</t>
  </si>
  <si>
    <t>7659.81</t>
  </si>
  <si>
    <t>10004.62</t>
  </si>
  <si>
    <t>18521.69</t>
  </si>
  <si>
    <t>30871.77</t>
  </si>
  <si>
    <t>41549.99</t>
  </si>
  <si>
    <t>42996.89</t>
  </si>
  <si>
    <t>46052.84</t>
  </si>
  <si>
    <t>49094.91</t>
  </si>
  <si>
    <t>50698.30</t>
  </si>
  <si>
    <t>52353.44</t>
  </si>
  <si>
    <t>56622.31</t>
  </si>
  <si>
    <t>57412.48</t>
  </si>
  <si>
    <t xml:space="preserve">  采矿业</t>
  </si>
  <si>
    <t xml:space="preserve">  Mining</t>
  </si>
  <si>
    <t>837.66</t>
  </si>
  <si>
    <t>993.71</t>
  </si>
  <si>
    <t>1480.34</t>
  </si>
  <si>
    <t>1940.39</t>
  </si>
  <si>
    <t>2377.66</t>
  </si>
  <si>
    <t>2290.86</t>
  </si>
  <si>
    <t>2403.62</t>
  </si>
  <si>
    <t>2577.04</t>
  </si>
  <si>
    <t>2776.92</t>
  </si>
  <si>
    <t>2565.98</t>
  </si>
  <si>
    <t>2818.50</t>
  </si>
  <si>
    <t>2697.20</t>
  </si>
  <si>
    <t>392.38</t>
  </si>
  <si>
    <t>417.16</t>
  </si>
  <si>
    <t>589.53</t>
  </si>
  <si>
    <t>751.67</t>
  </si>
  <si>
    <t>883.79</t>
  </si>
  <si>
    <t>847.04</t>
  </si>
  <si>
    <t>881.57</t>
  </si>
  <si>
    <t>906.28</t>
  </si>
  <si>
    <t>1026.76</t>
  </si>
  <si>
    <t>908.81</t>
  </si>
  <si>
    <t>978.65</t>
  </si>
  <si>
    <t>950.70</t>
  </si>
  <si>
    <t>258.85</t>
  </si>
  <si>
    <t>321.64</t>
  </si>
  <si>
    <t>385.35</t>
  </si>
  <si>
    <t>347.90</t>
  </si>
  <si>
    <t>459.26</t>
  </si>
  <si>
    <t>463.18</t>
  </si>
  <si>
    <t>454.06</t>
  </si>
  <si>
    <t>417.33</t>
  </si>
  <si>
    <t>434.44</t>
  </si>
  <si>
    <t>463.32</t>
  </si>
  <si>
    <t>588.04</t>
  </si>
  <si>
    <t>557.14</t>
  </si>
  <si>
    <t>34.28</t>
  </si>
  <si>
    <t>63.46</t>
  </si>
  <si>
    <t>205.63</t>
  </si>
  <si>
    <t>361.33</t>
  </si>
  <si>
    <t>344.82</t>
  </si>
  <si>
    <t>315.14</t>
  </si>
  <si>
    <t>374.11</t>
  </si>
  <si>
    <t>388.26</t>
  </si>
  <si>
    <t>419.28</t>
  </si>
  <si>
    <t>447.44</t>
  </si>
  <si>
    <t>482.02</t>
  </si>
  <si>
    <t>432.87</t>
  </si>
  <si>
    <t>83.00</t>
  </si>
  <si>
    <t>80.79</t>
  </si>
  <si>
    <t>157.66</t>
  </si>
  <si>
    <t>258.71</t>
  </si>
  <si>
    <t>325.26</t>
  </si>
  <si>
    <t>306.76</t>
  </si>
  <si>
    <t>326.11</t>
  </si>
  <si>
    <t>379.48</t>
  </si>
  <si>
    <t>386.17</t>
  </si>
  <si>
    <t>329.47</t>
  </si>
  <si>
    <t>327.35</t>
  </si>
  <si>
    <t>339.55</t>
  </si>
  <si>
    <t xml:space="preserve">  Mining and Processing of Non-metal Ores</t>
  </si>
  <si>
    <t>52.76</t>
  </si>
  <si>
    <t>84.83</t>
  </si>
  <si>
    <t>114.14</t>
  </si>
  <si>
    <t>155.26</t>
  </si>
  <si>
    <t>225.74</t>
  </si>
  <si>
    <t>224.75</t>
  </si>
  <si>
    <t>228.93</t>
  </si>
  <si>
    <t>250.76</t>
  </si>
  <si>
    <t>257.36</t>
  </si>
  <si>
    <t>225.70</t>
  </si>
  <si>
    <t>237.67</t>
  </si>
  <si>
    <t>218.93</t>
  </si>
  <si>
    <t>25.72</t>
  </si>
  <si>
    <t>23.11</t>
  </si>
  <si>
    <t>23.87</t>
  </si>
  <si>
    <t>39.95</t>
  </si>
  <si>
    <t>41.30</t>
  </si>
  <si>
    <t>29.53</t>
  </si>
  <si>
    <t>32.73</t>
  </si>
  <si>
    <t>16.39</t>
  </si>
  <si>
    <t>25.84</t>
  </si>
  <si>
    <t>28.04</t>
  </si>
  <si>
    <t>65.52</t>
  </si>
  <si>
    <t>113.08</t>
  </si>
  <si>
    <t>110.88</t>
  </si>
  <si>
    <t>114.96</t>
  </si>
  <si>
    <t>194.99</t>
  </si>
  <si>
    <t>211.62</t>
  </si>
  <si>
    <t>161.71</t>
  </si>
  <si>
    <t>172.04</t>
  </si>
  <si>
    <t>165.29</t>
  </si>
  <si>
    <t xml:space="preserve">  制造业</t>
  </si>
  <si>
    <t xml:space="preserve">  Manufacturing</t>
  </si>
  <si>
    <t>5156.10</t>
  </si>
  <si>
    <t>6731.44</t>
  </si>
  <si>
    <t>13126.01</t>
  </si>
  <si>
    <t>22870.00</t>
  </si>
  <si>
    <t>31178.10</t>
  </si>
  <si>
    <t>32131.97</t>
  </si>
  <si>
    <t>34687.63</t>
  </si>
  <si>
    <t>36935.83</t>
  </si>
  <si>
    <t>38108.53</t>
  </si>
  <si>
    <t>39853.38</t>
  </si>
  <si>
    <t>43406.86</t>
  </si>
  <si>
    <t>44220.09</t>
  </si>
  <si>
    <t>181.00</t>
  </si>
  <si>
    <t>161.24</t>
  </si>
  <si>
    <t>253.35</t>
  </si>
  <si>
    <t>424.36</t>
  </si>
  <si>
    <t>641.29</t>
  </si>
  <si>
    <t>672.07</t>
  </si>
  <si>
    <t>716.29</t>
  </si>
  <si>
    <t>763.86</t>
  </si>
  <si>
    <t>797.43</t>
  </si>
  <si>
    <t>842.42</t>
  </si>
  <si>
    <t>923.14</t>
  </si>
  <si>
    <t>947.02</t>
  </si>
  <si>
    <t>72.15</t>
  </si>
  <si>
    <t>98.83</t>
  </si>
  <si>
    <t>114.81</t>
  </si>
  <si>
    <t>184.69</t>
  </si>
  <si>
    <t>239.46</t>
  </si>
  <si>
    <t>255.50</t>
  </si>
  <si>
    <t>263.34</t>
  </si>
  <si>
    <t>277.38</t>
  </si>
  <si>
    <t>301.94</t>
  </si>
  <si>
    <t>334.09</t>
  </si>
  <si>
    <t>369.58</t>
  </si>
  <si>
    <t>380.33</t>
  </si>
  <si>
    <t>52.62</t>
  </si>
  <si>
    <t>58.98</t>
  </si>
  <si>
    <t>76.55</t>
  </si>
  <si>
    <t>132.34</t>
  </si>
  <si>
    <t>162.13</t>
  </si>
  <si>
    <t>162.78</t>
  </si>
  <si>
    <t>156.37</t>
  </si>
  <si>
    <t>169.23</t>
  </si>
  <si>
    <t>173.56</t>
  </si>
  <si>
    <t>176.06</t>
  </si>
  <si>
    <t>199.14</t>
  </si>
  <si>
    <t>202.27</t>
  </si>
  <si>
    <t>17.16</t>
  </si>
  <si>
    <t>32.85</t>
  </si>
  <si>
    <t>35.86</t>
  </si>
  <si>
    <t>45.88</t>
  </si>
  <si>
    <t>52.75</t>
  </si>
  <si>
    <t>51.96</t>
  </si>
  <si>
    <t>52.81</t>
  </si>
  <si>
    <t>52.91</t>
  </si>
  <si>
    <t>50.87</t>
  </si>
  <si>
    <t>53.08</t>
  </si>
  <si>
    <t>53.83</t>
  </si>
  <si>
    <t>335.22</t>
  </si>
  <si>
    <t>370.42</t>
  </si>
  <si>
    <t>823.57</t>
  </si>
  <si>
    <t>1276.74</t>
  </si>
  <si>
    <t>1561.63</t>
  </si>
  <si>
    <t>1592.73</t>
  </si>
  <si>
    <t>1684.90</t>
  </si>
  <si>
    <t>1748.42</t>
  </si>
  <si>
    <t>1760.15</t>
  </si>
  <si>
    <t>1650.38</t>
  </si>
  <si>
    <t>1889.87</t>
  </si>
  <si>
    <t>1777.12</t>
  </si>
  <si>
    <t>41.22</t>
  </si>
  <si>
    <t>49.07</t>
  </si>
  <si>
    <t>87.60</t>
  </si>
  <si>
    <t>151.58</t>
  </si>
  <si>
    <t>216.93</t>
  </si>
  <si>
    <t>227.52</t>
  </si>
  <si>
    <t>215.83</t>
  </si>
  <si>
    <t>233.18</t>
  </si>
  <si>
    <t>231.59</t>
  </si>
  <si>
    <t>220.24</t>
  </si>
  <si>
    <t>258.01</t>
  </si>
  <si>
    <t>248.62</t>
  </si>
  <si>
    <t>42.88</t>
  </si>
  <si>
    <t>27.12</t>
  </si>
  <si>
    <t>54.85</t>
  </si>
  <si>
    <t>89.72</t>
  </si>
  <si>
    <t>158.23</t>
  </si>
  <si>
    <t>153.61</t>
  </si>
  <si>
    <t>147.25</t>
  </si>
  <si>
    <t>156.81</t>
  </si>
  <si>
    <t>140.96</t>
  </si>
  <si>
    <t>162.07</t>
  </si>
  <si>
    <t>155.40</t>
  </si>
  <si>
    <t xml:space="preserve">  Processing of Timber,Manufacture of Wood,Bamboo,Rattan,Palm,
  and Straw Products</t>
  </si>
  <si>
    <t>25.88</t>
  </si>
  <si>
    <t>32.24</t>
  </si>
  <si>
    <t>105.57</t>
  </si>
  <si>
    <t>212.21</t>
  </si>
  <si>
    <t>254.36</t>
  </si>
  <si>
    <t>251.17</t>
  </si>
  <si>
    <t>245.28</t>
  </si>
  <si>
    <t>269.86</t>
  </si>
  <si>
    <t>279.32</t>
  </si>
  <si>
    <t>283.98</t>
  </si>
  <si>
    <t>330.79</t>
  </si>
  <si>
    <t>310.42</t>
  </si>
  <si>
    <t>13.16</t>
  </si>
  <si>
    <t>12.48</t>
  </si>
  <si>
    <t>24.28</t>
  </si>
  <si>
    <t>44.49</t>
  </si>
  <si>
    <t>92.78</t>
  </si>
  <si>
    <t>95.94</t>
  </si>
  <si>
    <t>98.60</t>
  </si>
  <si>
    <t>108.84</t>
  </si>
  <si>
    <t>115.36</t>
  </si>
  <si>
    <t>120.74</t>
  </si>
  <si>
    <t>142.21</t>
  </si>
  <si>
    <t>133.16</t>
  </si>
  <si>
    <t>169.06</t>
  </si>
  <si>
    <t>237.41</t>
  </si>
  <si>
    <t>407.73</t>
  </si>
  <si>
    <t>535.44</t>
  </si>
  <si>
    <t>634.92</t>
  </si>
  <si>
    <t>675.81</t>
  </si>
  <si>
    <t>712.37</t>
  </si>
  <si>
    <t>728.24</t>
  </si>
  <si>
    <t>744.61</t>
  </si>
  <si>
    <t>798.25</t>
  </si>
  <si>
    <t>849.39</t>
  </si>
  <si>
    <t>900.64</t>
  </si>
  <si>
    <t>31.19</t>
  </si>
  <si>
    <t>31.21</t>
  </si>
  <si>
    <t>60.71</t>
  </si>
  <si>
    <t>95.45</t>
  </si>
  <si>
    <t>111.98</t>
  </si>
  <si>
    <t>115.60</t>
  </si>
  <si>
    <t>121.32</t>
  </si>
  <si>
    <t>126.27</t>
  </si>
  <si>
    <t>131.05</t>
  </si>
  <si>
    <t>132.53</t>
  </si>
  <si>
    <t>147.98</t>
  </si>
  <si>
    <t>142.80</t>
  </si>
  <si>
    <t>7.09</t>
  </si>
  <si>
    <t>20.81</t>
  </si>
  <si>
    <t>42.54</t>
  </si>
  <si>
    <t>48.09</t>
  </si>
  <si>
    <t>73.11</t>
  </si>
  <si>
    <t>77.07</t>
  </si>
  <si>
    <t>82.58</t>
  </si>
  <si>
    <t>88.42</t>
  </si>
  <si>
    <t>89.78</t>
  </si>
  <si>
    <t>85.05</t>
  </si>
  <si>
    <t>99.61</t>
  </si>
  <si>
    <t>93.95</t>
  </si>
  <si>
    <t>156.06</t>
  </si>
  <si>
    <t>245.60</t>
  </si>
  <si>
    <t>313.49</t>
  </si>
  <si>
    <t>565.34</t>
  </si>
  <si>
    <t>779.92</t>
  </si>
  <si>
    <t>836.08</t>
  </si>
  <si>
    <t>946.44</t>
  </si>
  <si>
    <t>1114.43</t>
  </si>
  <si>
    <t>1198.93</t>
  </si>
  <si>
    <t>1283.30</t>
  </si>
  <si>
    <t>1428.83</t>
  </si>
  <si>
    <t>1598.19</t>
  </si>
  <si>
    <t>1028.05</t>
  </si>
  <si>
    <t>1153.74</t>
  </si>
  <si>
    <t>2129.77</t>
  </si>
  <si>
    <t>3144.93</t>
  </si>
  <si>
    <t>4754.04</t>
  </si>
  <si>
    <t>4874.63</t>
  </si>
  <si>
    <t>5122.26</t>
  </si>
  <si>
    <t>5449.17</t>
  </si>
  <si>
    <t>5427.38</t>
  </si>
  <si>
    <t>5781.14</t>
  </si>
  <si>
    <t>6133.64</t>
  </si>
  <si>
    <t>6611.69</t>
  </si>
  <si>
    <t>107.46</t>
  </si>
  <si>
    <t>88.36</t>
  </si>
  <si>
    <t>153.21</t>
  </si>
  <si>
    <t>222.58</t>
  </si>
  <si>
    <t>315.19</t>
  </si>
  <si>
    <t>337.18</t>
  </si>
  <si>
    <t>364.77</t>
  </si>
  <si>
    <t>385.74</t>
  </si>
  <si>
    <t>407.71</t>
  </si>
  <si>
    <t>430.45</t>
  </si>
  <si>
    <t>487.56</t>
  </si>
  <si>
    <t>523.38</t>
  </si>
  <si>
    <t>194.79</t>
  </si>
  <si>
    <t>233.20</t>
  </si>
  <si>
    <t>298.86</t>
  </si>
  <si>
    <t>362.05</t>
  </si>
  <si>
    <t>390.28</t>
  </si>
  <si>
    <t>425.47</t>
  </si>
  <si>
    <t>437.68</t>
  </si>
  <si>
    <t>455.15</t>
  </si>
  <si>
    <t>450.37</t>
  </si>
  <si>
    <t>512.16</t>
  </si>
  <si>
    <t>502.33</t>
  </si>
  <si>
    <t>125.16</t>
  </si>
  <si>
    <t>219.56</t>
  </si>
  <si>
    <t>531.71</t>
  </si>
  <si>
    <t>862.99</t>
  </si>
  <si>
    <t>1174.69</t>
  </si>
  <si>
    <t>1238.36</t>
  </si>
  <si>
    <t>1349.35</t>
  </si>
  <si>
    <t>1376.17</t>
  </si>
  <si>
    <t>1426.38</t>
  </si>
  <si>
    <t>1480.76</t>
  </si>
  <si>
    <t>1655.80</t>
  </si>
  <si>
    <t>1608.55</t>
  </si>
  <si>
    <t xml:space="preserve">  Manufacture of Non-metal Mineral Products</t>
  </si>
  <si>
    <t>599.61</t>
  </si>
  <si>
    <t>763.74</t>
  </si>
  <si>
    <t>1419.51</t>
  </si>
  <si>
    <t>2448.48</t>
  </si>
  <si>
    <t>3105.42</t>
  </si>
  <si>
    <t>3187.99</t>
  </si>
  <si>
    <t>3305.08</t>
  </si>
  <si>
    <t>3506.40</t>
  </si>
  <si>
    <t>3760.64</t>
  </si>
  <si>
    <t>3929.53</t>
  </si>
  <si>
    <t>4152.08</t>
  </si>
  <si>
    <t>4018.67</t>
  </si>
  <si>
    <t>905.36</t>
  </si>
  <si>
    <t>1121.08</t>
  </si>
  <si>
    <t>2550.47</t>
  </si>
  <si>
    <t>4611.61</t>
  </si>
  <si>
    <t>5332.61</t>
  </si>
  <si>
    <t>5281.67</t>
  </si>
  <si>
    <t>5583.54</t>
  </si>
  <si>
    <t>6142.36</t>
  </si>
  <si>
    <t>6459.68</t>
  </si>
  <si>
    <t>6785.56</t>
  </si>
  <si>
    <t>7117.87</t>
  </si>
  <si>
    <t>6860.72</t>
  </si>
  <si>
    <t>425.61</t>
  </si>
  <si>
    <t>697.58</t>
  </si>
  <si>
    <t>1473.10</t>
  </si>
  <si>
    <t>3129.09</t>
  </si>
  <si>
    <t>5505.48</t>
  </si>
  <si>
    <t>5671.42</t>
  </si>
  <si>
    <t>6373.46</t>
  </si>
  <si>
    <t>6698.08</t>
  </si>
  <si>
    <t>6673.67</t>
  </si>
  <si>
    <t>7132.92</t>
  </si>
  <si>
    <t>7440.46</t>
  </si>
  <si>
    <t>7782.21</t>
  </si>
  <si>
    <t>113.51</t>
  </si>
  <si>
    <t>196.30</t>
  </si>
  <si>
    <t>507.25</t>
  </si>
  <si>
    <t>960.72</t>
  </si>
  <si>
    <t>1264.19</t>
  </si>
  <si>
    <t>1370.68</t>
  </si>
  <si>
    <t>1848.37</t>
  </si>
  <si>
    <t>1623.17</t>
  </si>
  <si>
    <t>1672.84</t>
  </si>
  <si>
    <t>1551.86</t>
  </si>
  <si>
    <t>1735.61</t>
  </si>
  <si>
    <t>1649.28</t>
  </si>
  <si>
    <t>136.30</t>
  </si>
  <si>
    <t>160.77</t>
  </si>
  <si>
    <t>344.77</t>
  </si>
  <si>
    <t>621.03</t>
  </si>
  <si>
    <t>774.40</t>
  </si>
  <si>
    <t>828.61</t>
  </si>
  <si>
    <t>913.95</t>
  </si>
  <si>
    <t>993.56</t>
  </si>
  <si>
    <t>1007.43</t>
  </si>
  <si>
    <t>1077.47</t>
  </si>
  <si>
    <t>1251.43</t>
  </si>
  <si>
    <t>1212.55</t>
  </si>
  <si>
    <t>97.67</t>
  </si>
  <si>
    <t>94.49</t>
  </si>
  <si>
    <t>182.90</t>
  </si>
  <si>
    <t>317.83</t>
  </si>
  <si>
    <t>430.99</t>
  </si>
  <si>
    <t>418.15</t>
  </si>
  <si>
    <t>423.87</t>
  </si>
  <si>
    <t>450.83</t>
  </si>
  <si>
    <t>499.42</t>
  </si>
  <si>
    <t>498.54</t>
  </si>
  <si>
    <t>557.49</t>
  </si>
  <si>
    <t>547.03</t>
  </si>
  <si>
    <t>154.63</t>
  </si>
  <si>
    <t>203.42</t>
  </si>
  <si>
    <t>300.72</t>
  </si>
  <si>
    <t>790.29</t>
  </si>
  <si>
    <t>769.06</t>
  </si>
  <si>
    <t>834.70</t>
  </si>
  <si>
    <t>885.42</t>
  </si>
  <si>
    <t>1006.19</t>
  </si>
  <si>
    <t>1031.41</t>
  </si>
  <si>
    <t>1182.79</t>
  </si>
  <si>
    <t>1355.20</t>
  </si>
  <si>
    <t>1419.56</t>
  </si>
  <si>
    <t xml:space="preserve">  铁路、船舶、航空航天和其他运输设备</t>
  </si>
  <si>
    <t>182.75</t>
  </si>
  <si>
    <t>174.68</t>
  </si>
  <si>
    <t>174.51</t>
  </si>
  <si>
    <t>166.83</t>
  </si>
  <si>
    <t>166.18</t>
  </si>
  <si>
    <t>159.76</t>
  </si>
  <si>
    <t>170.46</t>
  </si>
  <si>
    <t>163.52</t>
  </si>
  <si>
    <t>64.96</t>
  </si>
  <si>
    <t>90.68</t>
  </si>
  <si>
    <t>245.80</t>
  </si>
  <si>
    <t>508.19</t>
  </si>
  <si>
    <t>706.17</t>
  </si>
  <si>
    <t>736.53</t>
  </si>
  <si>
    <t>745.59</t>
  </si>
  <si>
    <t>802.04</t>
  </si>
  <si>
    <t>859.31</t>
  </si>
  <si>
    <t>942.86</t>
  </si>
  <si>
    <t>1170.51</t>
  </si>
  <si>
    <t>1410.11</t>
  </si>
  <si>
    <t xml:space="preserve">  Manufacture of Computers,Communication and
  Other Electronic Equipment</t>
  </si>
  <si>
    <t>38.64</t>
  </si>
  <si>
    <t>125.88</t>
  </si>
  <si>
    <t>327.89</t>
  </si>
  <si>
    <t>670.76</t>
  </si>
  <si>
    <t>938.62</t>
  </si>
  <si>
    <t>1004.23</t>
  </si>
  <si>
    <t>1106.77</t>
  </si>
  <si>
    <t>1391.21</t>
  </si>
  <si>
    <t>1500.45</t>
  </si>
  <si>
    <t>1570.61</t>
  </si>
  <si>
    <t>1880.00</t>
  </si>
  <si>
    <t>1988.87</t>
  </si>
  <si>
    <t>17.12</t>
  </si>
  <si>
    <t>25.37</t>
  </si>
  <si>
    <t>42.52</t>
  </si>
  <si>
    <t>85.83</t>
  </si>
  <si>
    <t>87.40</t>
  </si>
  <si>
    <t>86.41</t>
  </si>
  <si>
    <t>88.69</t>
  </si>
  <si>
    <t>83.37</t>
  </si>
  <si>
    <t>74.53</t>
  </si>
  <si>
    <t>77.23</t>
  </si>
  <si>
    <t>89.86</t>
  </si>
  <si>
    <t>92.33</t>
  </si>
  <si>
    <t>104.55</t>
  </si>
  <si>
    <t>217.42</t>
  </si>
  <si>
    <t>275.62</t>
  </si>
  <si>
    <t>376.40</t>
  </si>
  <si>
    <t>455.89</t>
  </si>
  <si>
    <t>478.78</t>
  </si>
  <si>
    <t>482.13</t>
  </si>
  <si>
    <t>519.01</t>
  </si>
  <si>
    <t>578.41</t>
  </si>
  <si>
    <t>600.70</t>
  </si>
  <si>
    <t>742.39</t>
  </si>
  <si>
    <t>778.19</t>
  </si>
  <si>
    <t>6.66</t>
  </si>
  <si>
    <t>14.10</t>
  </si>
  <si>
    <t>29.88</t>
  </si>
  <si>
    <t>39.35</t>
  </si>
  <si>
    <t>37.15</t>
  </si>
  <si>
    <t>47.74</t>
  </si>
  <si>
    <t>57.94</t>
  </si>
  <si>
    <t>67.10</t>
  </si>
  <si>
    <t>84.61</t>
  </si>
  <si>
    <t>92.46</t>
  </si>
  <si>
    <t>9.79</t>
  </si>
  <si>
    <t>10.48</t>
  </si>
  <si>
    <t>14.71</t>
  </si>
  <si>
    <t>17.70</t>
  </si>
  <si>
    <t>16.56</t>
  </si>
  <si>
    <t>14.84</t>
  </si>
  <si>
    <t>16.04</t>
  </si>
  <si>
    <t>14.88</t>
  </si>
  <si>
    <t xml:space="preserve">  电力、热力、燃气及水生产和供应业</t>
  </si>
  <si>
    <t xml:space="preserve">  Production and Supply of Electricity,Heat,Gas and Water</t>
  </si>
  <si>
    <t>1666.05</t>
  </si>
  <si>
    <t>2279.47</t>
  </si>
  <si>
    <t>3915.34</t>
  </si>
  <si>
    <t>6061.38</t>
  </si>
  <si>
    <t>7994.23</t>
  </si>
  <si>
    <t>8574.06</t>
  </si>
  <si>
    <t>8961.59</t>
  </si>
  <si>
    <t>9582.05</t>
  </si>
  <si>
    <t>9812.84</t>
  </si>
  <si>
    <t>9934.08</t>
  </si>
  <si>
    <t>10396.96</t>
  </si>
  <si>
    <t>10495.20</t>
  </si>
  <si>
    <t>1539.76</t>
  </si>
  <si>
    <t>2094.11</t>
  </si>
  <si>
    <t>3698.28</t>
  </si>
  <si>
    <t>5687.51</t>
  </si>
  <si>
    <t>7434.60</t>
  </si>
  <si>
    <t>7977.42</t>
  </si>
  <si>
    <t>8292.15</t>
  </si>
  <si>
    <t>8886.95</t>
  </si>
  <si>
    <t>9033.23</t>
  </si>
  <si>
    <t>9119.51</t>
  </si>
  <si>
    <t>9479.21</t>
  </si>
  <si>
    <t>9541.57</t>
  </si>
  <si>
    <t>10.83</t>
  </si>
  <si>
    <t>34.41</t>
  </si>
  <si>
    <t>29.86</t>
  </si>
  <si>
    <t>82.87</t>
  </si>
  <si>
    <t>148.37</t>
  </si>
  <si>
    <t>156.75</t>
  </si>
  <si>
    <t>182.68</t>
  </si>
  <si>
    <t>173.62</t>
  </si>
  <si>
    <t>185.85</t>
  </si>
  <si>
    <t>169.53</t>
  </si>
  <si>
    <t>186.52</t>
  </si>
  <si>
    <t>192.98</t>
  </si>
  <si>
    <t>115.46</t>
  </si>
  <si>
    <t>150.94</t>
  </si>
  <si>
    <t>187.20</t>
  </si>
  <si>
    <t>291.00</t>
  </si>
  <si>
    <t>411.26</t>
  </si>
  <si>
    <t>439.89</t>
  </si>
  <si>
    <t>486.77</t>
  </si>
  <si>
    <t>521.48</t>
  </si>
  <si>
    <t>593.76</t>
  </si>
  <si>
    <t>645.05</t>
  </si>
  <si>
    <t>731.23</t>
  </si>
  <si>
    <t>760.65</t>
  </si>
  <si>
    <t>建筑业</t>
  </si>
  <si>
    <t>Construction</t>
  </si>
  <si>
    <t>159.62</t>
  </si>
  <si>
    <t>159.77</t>
  </si>
  <si>
    <t>233.93</t>
  </si>
  <si>
    <t>483.24</t>
  </si>
  <si>
    <t>698.67</t>
  </si>
  <si>
    <t>725.62</t>
  </si>
  <si>
    <t>789.22</t>
  </si>
  <si>
    <t>887.82</t>
  </si>
  <si>
    <t>991.19</t>
  </si>
  <si>
    <t>1011.10</t>
  </si>
  <si>
    <t>1132.90</t>
  </si>
  <si>
    <t>1091.08</t>
  </si>
  <si>
    <t>交通运输、仓储和邮政业</t>
  </si>
  <si>
    <t>Transport,Storage and Post</t>
  </si>
  <si>
    <t>182.30</t>
  </si>
  <si>
    <t>281.20</t>
  </si>
  <si>
    <t>430.34</t>
  </si>
  <si>
    <t>734.53</t>
  </si>
  <si>
    <t>1125.61</t>
  </si>
  <si>
    <t>1251.49</t>
  </si>
  <si>
    <t>1417.98</t>
  </si>
  <si>
    <t>1608.50</t>
  </si>
  <si>
    <t>1752.34</t>
  </si>
  <si>
    <t>1750.98</t>
  </si>
  <si>
    <t>1993.02</t>
  </si>
  <si>
    <t>2041.41</t>
  </si>
  <si>
    <t>批发和零售业、住宿和餐饮业</t>
  </si>
  <si>
    <t>Wholesale and Retail Trades,Hotels and Catering Services</t>
  </si>
  <si>
    <t>199.47</t>
  </si>
  <si>
    <t>418.68</t>
  </si>
  <si>
    <t>752.31</t>
  </si>
  <si>
    <t>1292.00</t>
  </si>
  <si>
    <t>2122.04</t>
  </si>
  <si>
    <t>2323.78</t>
  </si>
  <si>
    <t>2526.65</t>
  </si>
  <si>
    <t>2900.40</t>
  </si>
  <si>
    <t>3187.10</t>
  </si>
  <si>
    <t>3169.04</t>
  </si>
  <si>
    <t>3869.60</t>
  </si>
  <si>
    <t>4042.93</t>
  </si>
  <si>
    <t>其他</t>
  </si>
  <si>
    <t>Others</t>
  </si>
  <si>
    <t>234.20</t>
  </si>
  <si>
    <t>623.20</t>
  </si>
  <si>
    <t>1340.91</t>
  </si>
  <si>
    <t>2451.83</t>
  </si>
  <si>
    <t>3918.63</t>
  </si>
  <si>
    <t>4394.80</t>
  </si>
  <si>
    <t>4880.59</t>
  </si>
  <si>
    <t>5716.49</t>
  </si>
  <si>
    <t>6263.78</t>
  </si>
  <si>
    <t>6517.02</t>
  </si>
  <si>
    <t>7706.84</t>
  </si>
  <si>
    <t>8077.14</t>
  </si>
  <si>
    <t>居民生活</t>
  </si>
  <si>
    <t>Residential</t>
  </si>
  <si>
    <t>1005.58</t>
  </si>
  <si>
    <t>1451.95</t>
  </si>
  <si>
    <t>2884.81</t>
  </si>
  <si>
    <t>5124.63</t>
  </si>
  <si>
    <t>7565.21</t>
  </si>
  <si>
    <t>8420.60</t>
  </si>
  <si>
    <t>9071.57</t>
  </si>
  <si>
    <t>10057.55</t>
  </si>
  <si>
    <t>10637.21</t>
  </si>
  <si>
    <t>11396.48</t>
  </si>
  <si>
    <t>12278.90</t>
  </si>
  <si>
    <t>13935.86</t>
  </si>
  <si>
    <t xml:space="preserve">Released: February 2021 </t>
  </si>
  <si>
    <t>Next MECS will be fielded in 2022.</t>
  </si>
  <si>
    <t>Table 5.2    End Uses of Fuel Consumption, 2018;</t>
  </si>
  <si>
    <t xml:space="preserve">                        Level: National Data; </t>
  </si>
  <si>
    <t xml:space="preserve">                        Row: End Uses within NAICS Codes;</t>
  </si>
  <si>
    <t xml:space="preserve">                        Column: Energy Sources, including Net Electricity;</t>
  </si>
  <si>
    <t xml:space="preserve">                        Unit: Trillion Btu.</t>
  </si>
  <si>
    <t xml:space="preserve"> </t>
  </si>
  <si>
    <t>Distillate</t>
  </si>
  <si>
    <t>Fuel Oil</t>
  </si>
  <si>
    <t>NAICS</t>
  </si>
  <si>
    <t>Net</t>
  </si>
  <si>
    <t>Residual</t>
  </si>
  <si>
    <t>and</t>
  </si>
  <si>
    <t xml:space="preserve">Natural </t>
  </si>
  <si>
    <t>HGL (excluding</t>
  </si>
  <si>
    <t>(excluding Coal</t>
  </si>
  <si>
    <t>Code(a)</t>
  </si>
  <si>
    <t>End Use</t>
  </si>
  <si>
    <t>Electricity(b)</t>
  </si>
  <si>
    <t>Diesel Fuel(c)</t>
  </si>
  <si>
    <t>Gas(d)</t>
  </si>
  <si>
    <t>natural gasoline)(e)</t>
  </si>
  <si>
    <t>Coke and Breeze)</t>
  </si>
  <si>
    <t>Other(f)</t>
  </si>
  <si>
    <t/>
  </si>
  <si>
    <t>Total United States</t>
  </si>
  <si>
    <t xml:space="preserve">  311 - 339</t>
  </si>
  <si>
    <t>ALL MANUFACTURING INDUSTRIES</t>
  </si>
  <si>
    <t>TOTAL FUEL CONSUMPTION</t>
  </si>
  <si>
    <t>Indirect Uses-Boiler Fuel</t>
  </si>
  <si>
    <t>--</t>
  </si>
  <si>
    <t xml:space="preserve">  Conventional Boiler Use</t>
  </si>
  <si>
    <t xml:space="preserve">  CHP and/or Cogeneration Process</t>
  </si>
  <si>
    <t>Direct Uses-Total Process</t>
  </si>
  <si>
    <t>D</t>
  </si>
  <si>
    <t xml:space="preserve">  Process Heating</t>
  </si>
  <si>
    <t xml:space="preserve">  Process Cooling and Refrigeration</t>
  </si>
  <si>
    <t>*</t>
  </si>
  <si>
    <t xml:space="preserve">  Machine Drive</t>
  </si>
  <si>
    <t xml:space="preserve">  Electro-Chemical Processes</t>
  </si>
  <si>
    <t xml:space="preserve">  Other Process Use</t>
  </si>
  <si>
    <t>Direct Uses-Total Nonprocess</t>
  </si>
  <si>
    <t xml:space="preserve">  Facility HVAC (g)</t>
  </si>
  <si>
    <t xml:space="preserve">  Facility Lighting</t>
  </si>
  <si>
    <t xml:space="preserve">  Other Facility Support</t>
  </si>
  <si>
    <t xml:space="preserve">  Onsite Transportation</t>
  </si>
  <si>
    <t xml:space="preserve">  Conventional Electricity Generation</t>
  </si>
  <si>
    <t xml:space="preserve">  Other Nonprocess Use</t>
  </si>
  <si>
    <t>End Use Not Reported</t>
  </si>
  <si>
    <t xml:space="preserve">  311</t>
  </si>
  <si>
    <t>FOOD</t>
  </si>
  <si>
    <t>Q</t>
  </si>
  <si>
    <t xml:space="preserve">    3112</t>
  </si>
  <si>
    <t xml:space="preserve">  Grain and Oilseed Milling</t>
  </si>
  <si>
    <t xml:space="preserve">      311221</t>
  </si>
  <si>
    <t xml:space="preserve">  Wet Corn Milling</t>
  </si>
  <si>
    <t xml:space="preserve">     31131</t>
  </si>
  <si>
    <t xml:space="preserve">  Sugar</t>
  </si>
  <si>
    <t xml:space="preserve">    3114</t>
  </si>
  <si>
    <t xml:space="preserve">  Fruit and Vegetable Preserving and Specialty Foods</t>
  </si>
  <si>
    <t xml:space="preserve">    3115</t>
  </si>
  <si>
    <t xml:space="preserve">  Dairy Products</t>
  </si>
  <si>
    <t xml:space="preserve">    3116</t>
  </si>
  <si>
    <t xml:space="preserve">  Animal Slaughtering and Processing</t>
  </si>
  <si>
    <t xml:space="preserve">  312</t>
  </si>
  <si>
    <t>BEVERAGE AND TOBACCO PRODUCTS</t>
  </si>
  <si>
    <t xml:space="preserve">    3121</t>
  </si>
  <si>
    <t xml:space="preserve">  Beverages</t>
  </si>
  <si>
    <t xml:space="preserve">    3122</t>
  </si>
  <si>
    <t xml:space="preserve">  Tobacco</t>
  </si>
  <si>
    <t xml:space="preserve">  313</t>
  </si>
  <si>
    <t>TEXTILE MILLS</t>
  </si>
  <si>
    <t xml:space="preserve">  314</t>
  </si>
  <si>
    <t>TEXTILE PRODUCT MILLS</t>
  </si>
  <si>
    <t xml:space="preserve">  315</t>
  </si>
  <si>
    <t>APPAREL</t>
  </si>
  <si>
    <t xml:space="preserve">  316</t>
  </si>
  <si>
    <t>LEATHER AND ALLIED PRODUCTS</t>
  </si>
  <si>
    <t xml:space="preserve">  321</t>
  </si>
  <si>
    <t>WOOD PRODUCTS</t>
  </si>
  <si>
    <t xml:space="preserve">      321113</t>
  </si>
  <si>
    <t xml:space="preserve">  Sawmills</t>
  </si>
  <si>
    <t xml:space="preserve">    3212</t>
  </si>
  <si>
    <t xml:space="preserve">  Veneer, Plywood, and Engineered Woods</t>
  </si>
  <si>
    <t xml:space="preserve">      321219</t>
  </si>
  <si>
    <t xml:space="preserve">  Reconstituted Wood Products</t>
  </si>
  <si>
    <t xml:space="preserve">    3219</t>
  </si>
  <si>
    <t xml:space="preserve">  Other Wood Products</t>
  </si>
  <si>
    <t xml:space="preserve">  322</t>
  </si>
  <si>
    <t>PAPER</t>
  </si>
  <si>
    <t xml:space="preserve">      322110</t>
  </si>
  <si>
    <t xml:space="preserve">  Pulp Mills</t>
  </si>
  <si>
    <t xml:space="preserve">      322121</t>
  </si>
  <si>
    <t xml:space="preserve">  Paper Mills, except Newsprint</t>
  </si>
  <si>
    <t xml:space="preserve">      322122</t>
  </si>
  <si>
    <t xml:space="preserve">  Newsprint Mills</t>
  </si>
  <si>
    <t xml:space="preserve">      322130</t>
  </si>
  <si>
    <t xml:space="preserve">  Paperboard Mills</t>
  </si>
  <si>
    <t xml:space="preserve">  323</t>
  </si>
  <si>
    <t>PRINTING AND RELATED SUPPORT</t>
  </si>
  <si>
    <t xml:space="preserve">  324</t>
  </si>
  <si>
    <t>PETROLEUM AND COAL PRODUCTS</t>
  </si>
  <si>
    <t xml:space="preserve">      324110</t>
  </si>
  <si>
    <t xml:space="preserve">  Petroleum Refineries</t>
  </si>
  <si>
    <t xml:space="preserve">      324121</t>
  </si>
  <si>
    <t xml:space="preserve">  Asphalt Paving Mixture and Block</t>
  </si>
  <si>
    <t xml:space="preserve">      324122</t>
  </si>
  <si>
    <t xml:space="preserve">   Asphalt Shingle and Coating Materials</t>
  </si>
  <si>
    <t xml:space="preserve">      324191</t>
  </si>
  <si>
    <t xml:space="preserve">  Petroleum Lubricating Oil and Grease Products</t>
  </si>
  <si>
    <t xml:space="preserve">      324199</t>
  </si>
  <si>
    <t xml:space="preserve">  Other Petroleum and Coal Products</t>
  </si>
  <si>
    <t xml:space="preserve">  325</t>
  </si>
  <si>
    <t>CHEMICALS</t>
  </si>
  <si>
    <t xml:space="preserve">      325110</t>
  </si>
  <si>
    <t xml:space="preserve">  Petrochemicals</t>
  </si>
  <si>
    <t xml:space="preserve">      325120</t>
  </si>
  <si>
    <t xml:space="preserve">  Industrial Gases</t>
  </si>
  <si>
    <t xml:space="preserve">      325180</t>
  </si>
  <si>
    <t xml:space="preserve">  Other Basic Inorganic Chemicals</t>
  </si>
  <si>
    <t xml:space="preserve">      325193</t>
  </si>
  <si>
    <t xml:space="preserve">  Ethyl Alcohol</t>
  </si>
  <si>
    <t xml:space="preserve">      325194</t>
  </si>
  <si>
    <t xml:space="preserve">  Cyclic Crudes, Intermediate and Gum and Wood Chemicals</t>
  </si>
  <si>
    <t xml:space="preserve">      325199</t>
  </si>
  <si>
    <t xml:space="preserve">  Other Basic Organic Chemicals</t>
  </si>
  <si>
    <t xml:space="preserve">      325211</t>
  </si>
  <si>
    <t xml:space="preserve">  Plastics Materials and Resins</t>
  </si>
  <si>
    <t xml:space="preserve">      325212</t>
  </si>
  <si>
    <t xml:space="preserve">  Synthetic Rubber</t>
  </si>
  <si>
    <t xml:space="preserve">      325220</t>
  </si>
  <si>
    <t xml:space="preserve">  Artificial and Synthetic Fibers and Filaments</t>
  </si>
  <si>
    <t xml:space="preserve">      325311</t>
  </si>
  <si>
    <t xml:space="preserve">  Nitrogenous Fertilizers</t>
  </si>
  <si>
    <t xml:space="preserve">      325312</t>
  </si>
  <si>
    <t xml:space="preserve">  Phosphatic Fertilizers</t>
  </si>
  <si>
    <t xml:space="preserve">    3254</t>
  </si>
  <si>
    <t xml:space="preserve">  Pharmaceuticals and Medicines</t>
  </si>
  <si>
    <t xml:space="preserve">      325412</t>
  </si>
  <si>
    <t xml:space="preserve">  Pharmaceutical Preparation</t>
  </si>
  <si>
    <t xml:space="preserve">      325992</t>
  </si>
  <si>
    <t xml:space="preserve">  Photographic Film, Paper, Plate, and Chemicals</t>
  </si>
  <si>
    <t xml:space="preserve">  326</t>
  </si>
  <si>
    <t>PLASTICS AND RUBBER PRODUCTS</t>
  </si>
  <si>
    <t xml:space="preserve">  327</t>
  </si>
  <si>
    <t>NONMETALLIC MINERAL PRODUCTS</t>
  </si>
  <si>
    <t xml:space="preserve">      327120</t>
  </si>
  <si>
    <t xml:space="preserve">  Clay Building Material and Refractories</t>
  </si>
  <si>
    <t xml:space="preserve">    327211</t>
  </si>
  <si>
    <t xml:space="preserve">  Flat Glass</t>
  </si>
  <si>
    <t xml:space="preserve">      327212</t>
  </si>
  <si>
    <t xml:space="preserve">  Other Pressed and Blown Glass and Glassware</t>
  </si>
  <si>
    <t xml:space="preserve">      327213</t>
  </si>
  <si>
    <t xml:space="preserve">  Glass Containers</t>
  </si>
  <si>
    <t xml:space="preserve">      327215</t>
  </si>
  <si>
    <t xml:space="preserve">  Glass Products from Purchased Glass</t>
  </si>
  <si>
    <t xml:space="preserve">      327310</t>
  </si>
  <si>
    <t xml:space="preserve">  Cements</t>
  </si>
  <si>
    <t xml:space="preserve">      327410</t>
  </si>
  <si>
    <t xml:space="preserve">  Lime</t>
  </si>
  <si>
    <t xml:space="preserve">      327420</t>
  </si>
  <si>
    <t xml:space="preserve">  Gypsum</t>
  </si>
  <si>
    <t xml:space="preserve">      327993</t>
  </si>
  <si>
    <t xml:space="preserve">  Mineral Wool</t>
  </si>
  <si>
    <t xml:space="preserve">  331</t>
  </si>
  <si>
    <t>PRIMARY METALS</t>
  </si>
  <si>
    <t xml:space="preserve">      331110</t>
  </si>
  <si>
    <t xml:space="preserve">  Iron and Steel Mills and Ferroalloys</t>
  </si>
  <si>
    <t xml:space="preserve">    3312</t>
  </si>
  <si>
    <t xml:space="preserve">  Steel Products from Purchased Steel</t>
  </si>
  <si>
    <t xml:space="preserve">    3313</t>
  </si>
  <si>
    <t xml:space="preserve">  Alumina and Aluminum</t>
  </si>
  <si>
    <t xml:space="preserve">      331314</t>
  </si>
  <si>
    <t xml:space="preserve">  Secondary Smelting and Alloying of Aluminum</t>
  </si>
  <si>
    <t xml:space="preserve">      331315</t>
  </si>
  <si>
    <t xml:space="preserve">  Aluminum Sheet, Plate and Foils</t>
  </si>
  <si>
    <t xml:space="preserve">      331318</t>
  </si>
  <si>
    <t xml:space="preserve">  Other Aluminum Rolling, Drawing and Extruding</t>
  </si>
  <si>
    <t xml:space="preserve">    3314</t>
  </si>
  <si>
    <t xml:space="preserve">  Nonferrous Metals, except Aluminum</t>
  </si>
  <si>
    <t xml:space="preserve">      331410</t>
  </si>
  <si>
    <t xml:space="preserve">  Nonferrous Metal (except Aluminum) Smelting and Refining</t>
  </si>
  <si>
    <t xml:space="preserve">    3315</t>
  </si>
  <si>
    <t xml:space="preserve">  Foundries</t>
  </si>
  <si>
    <t xml:space="preserve">      331511</t>
  </si>
  <si>
    <t xml:space="preserve">  Iron Foundries</t>
  </si>
  <si>
    <t xml:space="preserve">      331523</t>
  </si>
  <si>
    <t xml:space="preserve">  Nonferrous Metal Die-Casting Foundries</t>
  </si>
  <si>
    <t xml:space="preserve">      331524</t>
  </si>
  <si>
    <t xml:space="preserve">  Aluminum Foundries, except Die-Casting</t>
  </si>
  <si>
    <t xml:space="preserve">  332</t>
  </si>
  <si>
    <t>FABRICATED METAL PRODUCTS</t>
  </si>
  <si>
    <t xml:space="preserve">  333</t>
  </si>
  <si>
    <t>MACHINERY</t>
  </si>
  <si>
    <t xml:space="preserve">  334</t>
  </si>
  <si>
    <t>COMPUTER AND ELECTRONIC PRODUCTS</t>
  </si>
  <si>
    <t xml:space="preserve">      334413</t>
  </si>
  <si>
    <t xml:space="preserve">  Semiconductors and Related Devices</t>
  </si>
  <si>
    <t xml:space="preserve">  335</t>
  </si>
  <si>
    <t>ELEC. EQUIP., APPLIANCES, COMPONENTS</t>
  </si>
  <si>
    <t xml:space="preserve">  336</t>
  </si>
  <si>
    <t>TRANSPORTATION EQUIPMENT</t>
  </si>
  <si>
    <t xml:space="preserve">      336111</t>
  </si>
  <si>
    <t xml:space="preserve">  Automobiles</t>
  </si>
  <si>
    <t xml:space="preserve">      336112</t>
  </si>
  <si>
    <t xml:space="preserve">  Light Trucks and Utility Vehicles</t>
  </si>
  <si>
    <t xml:space="preserve">    3364</t>
  </si>
  <si>
    <t xml:space="preserve">  Aerospace Products</t>
  </si>
  <si>
    <t xml:space="preserve">      336411</t>
  </si>
  <si>
    <t xml:space="preserve">  Aircraft</t>
  </si>
  <si>
    <t xml:space="preserve">  337</t>
  </si>
  <si>
    <t>FURNITURE AND RELATED PRODUCTS</t>
  </si>
  <si>
    <t xml:space="preserve">  339</t>
  </si>
  <si>
    <t>MISCELLANEOUS</t>
  </si>
  <si>
    <t>Emission Factors for Greenhouse Gas Inventories</t>
  </si>
  <si>
    <t>Last Modified: June 5, 2024</t>
  </si>
  <si>
    <t>Blue text indicates an update from the 2023 version of this document.</t>
  </si>
  <si>
    <t>Light Blue text indicates an update from the original release of the 2024 version of this document.</t>
  </si>
  <si>
    <r>
      <t>Typically, greenhouse gas emissions are reported in units of carbon dioxide equivalent (CO</t>
    </r>
    <r>
      <rPr>
        <vertAlign val="subscript"/>
        <sz val="10"/>
        <rFont val="Arial"/>
        <family val="2"/>
      </rPr>
      <t>2</t>
    </r>
    <r>
      <rPr>
        <sz val="10"/>
        <rFont val="Arial"/>
        <family val="2"/>
      </rPr>
      <t>e).  Gases are converted to CO</t>
    </r>
    <r>
      <rPr>
        <vertAlign val="subscript"/>
        <sz val="10"/>
        <rFont val="Arial"/>
        <family val="2"/>
      </rPr>
      <t>2</t>
    </r>
    <r>
      <rPr>
        <sz val="10"/>
        <rFont val="Arial"/>
        <family val="2"/>
      </rPr>
      <t>e by multiplying by their global warming potential (GWP).  In most cases, the emission factors listed in this document generally have not been converted to CO</t>
    </r>
    <r>
      <rPr>
        <vertAlign val="subscript"/>
        <sz val="10"/>
        <rFont val="Arial"/>
        <family val="2"/>
      </rPr>
      <t>2</t>
    </r>
    <r>
      <rPr>
        <sz val="10"/>
        <rFont val="Arial"/>
        <family val="2"/>
      </rPr>
      <t xml:space="preserve">e.  To do so, multiply the emissions by the corresponding GWP listed in the table below.  </t>
    </r>
  </si>
  <si>
    <t>100-Year GWP</t>
  </si>
  <si>
    <r>
      <t>CH</t>
    </r>
    <r>
      <rPr>
        <vertAlign val="subscript"/>
        <sz val="10"/>
        <rFont val="Arial"/>
        <family val="2"/>
      </rPr>
      <t>4</t>
    </r>
  </si>
  <si>
    <r>
      <t>N</t>
    </r>
    <r>
      <rPr>
        <vertAlign val="subscript"/>
        <sz val="10"/>
        <rFont val="Arial"/>
        <family val="2"/>
      </rPr>
      <t>2</t>
    </r>
    <r>
      <rPr>
        <sz val="10"/>
        <rFont val="Arial"/>
        <family val="2"/>
      </rPr>
      <t>O</t>
    </r>
  </si>
  <si>
    <r>
      <rPr>
        <b/>
        <sz val="9"/>
        <rFont val="Arial"/>
        <family val="2"/>
      </rPr>
      <t xml:space="preserve">Source: </t>
    </r>
    <r>
      <rPr>
        <sz val="9"/>
        <rFont val="Arial"/>
        <family val="2"/>
      </rPr>
      <t xml:space="preserve">Intergovernmental Panel on Climate Change (IPCC), Fifth Assessment
Report (AR5), 2013. See the source note to Table 11 for further explanation. </t>
    </r>
  </si>
  <si>
    <r>
      <rPr>
        <b/>
        <sz val="9"/>
        <rFont val="Arial"/>
        <family val="2"/>
      </rPr>
      <t>Notes</t>
    </r>
    <r>
      <rPr>
        <sz val="9"/>
        <rFont val="Arial"/>
        <family val="2"/>
      </rPr>
      <t>: 
These GWP values represent a change from the previous version of this document. In alignment with the U.S. Inventory of U.S. GHG Emissions and Sinks 1990-2021 Inventory Report, the recommended GWP values have been updated to Intergovernmental Panel on Climate Change (IPCC), Fifth Assessment Report (AR5) values.</t>
    </r>
  </si>
  <si>
    <t xml:space="preserve">   Stationary Combustion</t>
  </si>
  <si>
    <t>Fuel Type</t>
  </si>
  <si>
    <t>Heat Content (HHV)</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</si>
  <si>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</si>
  <si>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</si>
  <si>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</si>
  <si>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mmBtu per short ton</t>
  </si>
  <si>
    <r>
      <t>kg CO</t>
    </r>
    <r>
      <rPr>
        <b/>
        <vertAlign val="subscript"/>
        <sz val="9"/>
        <rFont val="Arial"/>
        <family val="2"/>
      </rPr>
      <t>2</t>
    </r>
    <r>
      <rPr>
        <b/>
        <sz val="9"/>
        <rFont val="Arial"/>
        <family val="2"/>
      </rPr>
      <t xml:space="preserve"> per mmBtu</t>
    </r>
  </si>
  <si>
    <r>
      <t>g CH</t>
    </r>
    <r>
      <rPr>
        <b/>
        <vertAlign val="subscript"/>
        <sz val="9"/>
        <rFont val="Arial"/>
        <family val="2"/>
      </rPr>
      <t>4</t>
    </r>
    <r>
      <rPr>
        <b/>
        <sz val="9"/>
        <rFont val="Arial"/>
        <family val="2"/>
      </rPr>
      <t xml:space="preserve"> per mmBtu</t>
    </r>
  </si>
  <si>
    <r>
      <t>g N</t>
    </r>
    <r>
      <rPr>
        <b/>
        <vertAlign val="subscript"/>
        <sz val="9"/>
        <rFont val="Arial"/>
        <family val="2"/>
      </rPr>
      <t>2</t>
    </r>
    <r>
      <rPr>
        <b/>
        <sz val="9"/>
        <rFont val="Arial"/>
        <family val="2"/>
      </rPr>
      <t>O per mmBtu</t>
    </r>
  </si>
  <si>
    <r>
      <t>kg CO</t>
    </r>
    <r>
      <rPr>
        <b/>
        <vertAlign val="subscript"/>
        <sz val="9"/>
        <rFont val="Arial"/>
        <family val="2"/>
      </rPr>
      <t>2</t>
    </r>
    <r>
      <rPr>
        <b/>
        <sz val="9"/>
        <rFont val="Arial"/>
        <family val="2"/>
      </rPr>
      <t xml:space="preserve"> per short ton</t>
    </r>
  </si>
  <si>
    <r>
      <t>g CH</t>
    </r>
    <r>
      <rPr>
        <b/>
        <vertAlign val="subscript"/>
        <sz val="9"/>
        <rFont val="Arial"/>
        <family val="2"/>
      </rPr>
      <t>4</t>
    </r>
    <r>
      <rPr>
        <b/>
        <sz val="9"/>
        <rFont val="Arial"/>
        <family val="2"/>
      </rPr>
      <t xml:space="preserve"> per short ton</t>
    </r>
  </si>
  <si>
    <r>
      <t>g N</t>
    </r>
    <r>
      <rPr>
        <b/>
        <vertAlign val="subscript"/>
        <sz val="9"/>
        <rFont val="Arial"/>
        <family val="2"/>
      </rPr>
      <t>2</t>
    </r>
    <r>
      <rPr>
        <b/>
        <sz val="9"/>
        <rFont val="Arial"/>
        <family val="2"/>
      </rPr>
      <t>O per short ton</t>
    </r>
  </si>
  <si>
    <t>Coal and Coke</t>
  </si>
  <si>
    <t>Anthracite</t>
  </si>
  <si>
    <t>Bituminous</t>
  </si>
  <si>
    <t>Sub-bituminous</t>
  </si>
  <si>
    <t>Lignite</t>
  </si>
  <si>
    <t>Mixed (Commercial Sector)</t>
  </si>
  <si>
    <t>Mixed (Electric Power Sector)</t>
  </si>
  <si>
    <t>Mixed (Industrial Coking)</t>
  </si>
  <si>
    <t>Mixed (Industrial Sector)</t>
  </si>
  <si>
    <t>Coal Coke</t>
  </si>
  <si>
    <t>Other Fuels - Solid</t>
  </si>
  <si>
    <t>Municipal Solid Waste</t>
  </si>
  <si>
    <t>Petroleum Coke (Solid)</t>
  </si>
  <si>
    <t>Plastics</t>
  </si>
  <si>
    <t>Tires</t>
  </si>
  <si>
    <t>Biomass Fuels - Solid</t>
  </si>
  <si>
    <t>Agricultural Byproducts</t>
  </si>
  <si>
    <t>Peat</t>
  </si>
  <si>
    <t>Solid Byproducts</t>
  </si>
  <si>
    <t>Wood and Wood Residuals</t>
  </si>
  <si>
    <t>mmBtu per scf</t>
  </si>
  <si>
    <r>
      <t>kg CO</t>
    </r>
    <r>
      <rPr>
        <b/>
        <vertAlign val="subscript"/>
        <sz val="9"/>
        <rFont val="Arial"/>
        <family val="2"/>
      </rPr>
      <t>2</t>
    </r>
    <r>
      <rPr>
        <b/>
        <sz val="9"/>
        <rFont val="Arial"/>
        <family val="2"/>
      </rPr>
      <t xml:space="preserve"> per scf</t>
    </r>
  </si>
  <si>
    <r>
      <t>g CH</t>
    </r>
    <r>
      <rPr>
        <b/>
        <vertAlign val="subscript"/>
        <sz val="9"/>
        <rFont val="Arial"/>
        <family val="2"/>
      </rPr>
      <t>4</t>
    </r>
    <r>
      <rPr>
        <b/>
        <sz val="9"/>
        <rFont val="Arial"/>
        <family val="2"/>
      </rPr>
      <t xml:space="preserve"> per scf</t>
    </r>
  </si>
  <si>
    <r>
      <t>g N</t>
    </r>
    <r>
      <rPr>
        <b/>
        <vertAlign val="subscript"/>
        <sz val="9"/>
        <rFont val="Arial"/>
        <family val="2"/>
      </rPr>
      <t>2</t>
    </r>
    <r>
      <rPr>
        <b/>
        <sz val="9"/>
        <rFont val="Arial"/>
        <family val="2"/>
      </rPr>
      <t>O per scf</t>
    </r>
  </si>
  <si>
    <t>Other Fuels - Gaseous</t>
  </si>
  <si>
    <t>Blast Furnace Gas</t>
  </si>
  <si>
    <t>Coke Oven Gas</t>
  </si>
  <si>
    <t>Fuel Gas</t>
  </si>
  <si>
    <t>Propane Gas</t>
  </si>
  <si>
    <t>Biomass Fuels - Gaseous</t>
  </si>
  <si>
    <t>Landfill Gas</t>
  </si>
  <si>
    <t>Other Biomass Gases</t>
  </si>
  <si>
    <t>mmBtu per gallon</t>
  </si>
  <si>
    <r>
      <t>kg CO</t>
    </r>
    <r>
      <rPr>
        <b/>
        <vertAlign val="subscript"/>
        <sz val="9"/>
        <rFont val="Arial"/>
        <family val="2"/>
      </rPr>
      <t>2</t>
    </r>
    <r>
      <rPr>
        <b/>
        <sz val="9"/>
        <rFont val="Arial"/>
        <family val="2"/>
      </rPr>
      <t xml:space="preserve"> per gallon</t>
    </r>
  </si>
  <si>
    <r>
      <t>g CH</t>
    </r>
    <r>
      <rPr>
        <b/>
        <vertAlign val="subscript"/>
        <sz val="9"/>
        <rFont val="Arial"/>
        <family val="2"/>
      </rPr>
      <t>4</t>
    </r>
    <r>
      <rPr>
        <b/>
        <sz val="9"/>
        <rFont val="Arial"/>
        <family val="2"/>
      </rPr>
      <t xml:space="preserve"> per gallon</t>
    </r>
  </si>
  <si>
    <r>
      <t>g N</t>
    </r>
    <r>
      <rPr>
        <b/>
        <vertAlign val="subscript"/>
        <sz val="9"/>
        <rFont val="Arial"/>
        <family val="2"/>
      </rPr>
      <t>2</t>
    </r>
    <r>
      <rPr>
        <b/>
        <sz val="9"/>
        <rFont val="Arial"/>
        <family val="2"/>
      </rPr>
      <t>O per gallon</t>
    </r>
  </si>
  <si>
    <t>Petroleum Products</t>
  </si>
  <si>
    <t>Asphalt and Road Oil</t>
  </si>
  <si>
    <t>Aviation Gasoline</t>
  </si>
  <si>
    <t>Butane</t>
  </si>
  <si>
    <t>Butylene</t>
  </si>
  <si>
    <t>Crude Oil</t>
  </si>
  <si>
    <t>Distillate Fuel Oil No. 1</t>
  </si>
  <si>
    <t>Distillate Fuel Oil No. 2</t>
  </si>
  <si>
    <t>Distillate Fuel Oil No. 4</t>
  </si>
  <si>
    <t>Ethane</t>
  </si>
  <si>
    <t>Ethylene</t>
  </si>
  <si>
    <t>Heavy Gas Oils</t>
  </si>
  <si>
    <t>Isobutane</t>
  </si>
  <si>
    <t>Isobutylene</t>
  </si>
  <si>
    <t>Kerosene</t>
  </si>
  <si>
    <t>Kerosene-Type Jet Fuel</t>
  </si>
  <si>
    <t>Liquefied Petroleum Gases (LPG)</t>
  </si>
  <si>
    <t>Lubricants</t>
  </si>
  <si>
    <t>Motor Gasoline</t>
  </si>
  <si>
    <t>Naphtha (&lt;401 deg F)</t>
  </si>
  <si>
    <t>Natural Gasoline</t>
  </si>
  <si>
    <t>Other Oil (&gt;401 deg F)</t>
  </si>
  <si>
    <t>Pentanes Plus</t>
  </si>
  <si>
    <t>Petrochemical Feedstocks</t>
  </si>
  <si>
    <t>Propane</t>
  </si>
  <si>
    <t>Propylene</t>
  </si>
  <si>
    <t>Residual Fuel Oil No. 5</t>
  </si>
  <si>
    <t>Residual Fuel Oil No. 6</t>
  </si>
  <si>
    <t>Special Naphtha</t>
  </si>
  <si>
    <t>Unfinished Oils</t>
  </si>
  <si>
    <t>Used Oil</t>
  </si>
  <si>
    <t>Biomass Fuels - Liquid</t>
  </si>
  <si>
    <t>Biodiesel (100%)</t>
  </si>
  <si>
    <t>Ethanol (100%)</t>
  </si>
  <si>
    <t>Rendered Animal Fat</t>
  </si>
  <si>
    <t>Vegetable Oil</t>
  </si>
  <si>
    <t>Biomass Fuels - 
Kraft Pulping Liquor, by Wood Furnish</t>
  </si>
  <si>
    <t>North American Softwood</t>
  </si>
  <si>
    <t>North American Hardwood</t>
  </si>
  <si>
    <t>Bagasse</t>
  </si>
  <si>
    <t>Bamboo</t>
  </si>
  <si>
    <t>Straw</t>
  </si>
  <si>
    <t>Source:</t>
  </si>
  <si>
    <t xml:space="preserve">Federal Register EPA; 40 CFR Part 98; e-CFR, (see link below). Table C-1 and Table C-2 (78 FR 71950, Nov. 29, 2013, as amended at 81 FR 89252, Dec. 9, 2016), Table AA-1 (78 FR 71965, Nov. 29, 2013).  </t>
  </si>
  <si>
    <t>https://www.ecfr.gov/current/title-40/chapter-I/subchapter-C/part-98</t>
  </si>
  <si>
    <r>
      <rPr>
        <b/>
        <sz val="9"/>
        <rFont val="Arial"/>
        <family val="2"/>
      </rPr>
      <t>Notes:</t>
    </r>
    <r>
      <rPr>
        <sz val="9"/>
        <rFont val="Arial"/>
        <family val="2"/>
      </rPr>
      <t xml:space="preserve"> </t>
    </r>
  </si>
  <si>
    <t>Emission factors are per unit of heat content using higher heating values (HHV). If heat content is available from the fuel supplier, it is preferable to use that value. If not, default heat contents are provided.</t>
  </si>
  <si>
    <r>
      <t>All CO</t>
    </r>
    <r>
      <rPr>
        <vertAlign val="subscript"/>
        <sz val="9"/>
        <rFont val="Arial"/>
        <family val="2"/>
      </rPr>
      <t>2</t>
    </r>
    <r>
      <rPr>
        <sz val="9"/>
        <rFont val="Arial"/>
        <family val="2"/>
      </rPr>
      <t xml:space="preserve"> emission factors assume that 100 percent of the carbon content of the fuel is oxidized to CO</t>
    </r>
    <r>
      <rPr>
        <vertAlign val="subscript"/>
        <sz val="9"/>
        <rFont val="Arial"/>
        <family val="2"/>
      </rPr>
      <t>2</t>
    </r>
    <r>
      <rPr>
        <sz val="9"/>
        <rFont val="Arial"/>
        <family val="2"/>
      </rPr>
      <t xml:space="preserve">, as is recommended by the Intergovernmental Panel on Climate Change (IPCC). </t>
    </r>
  </si>
  <si>
    <r>
      <t>The CH</t>
    </r>
    <r>
      <rPr>
        <vertAlign val="subscript"/>
        <sz val="9"/>
        <rFont val="Arial"/>
        <family val="2"/>
      </rPr>
      <t>4</t>
    </r>
    <r>
      <rPr>
        <sz val="9"/>
        <rFont val="Arial"/>
        <family val="2"/>
      </rPr>
      <t xml:space="preserve"> and N</t>
    </r>
    <r>
      <rPr>
        <vertAlign val="subscript"/>
        <sz val="9"/>
        <rFont val="Arial"/>
        <family val="2"/>
      </rPr>
      <t>2</t>
    </r>
    <r>
      <rPr>
        <sz val="9"/>
        <rFont val="Arial"/>
        <family val="2"/>
      </rPr>
      <t>O emission factors provided represent emissions in terms of fuel type and by end-use sector (i.e., residential, commercial, industrial, electricity generation).</t>
    </r>
  </si>
  <si>
    <t>The factors represented in the table above represent combustion emissions only and do not represent upstream emissions.</t>
  </si>
  <si>
    <t>Table 2</t>
  </si>
  <si>
    <r>
      <t xml:space="preserve">   Mobile Combustion CO</t>
    </r>
    <r>
      <rPr>
        <b/>
        <vertAlign val="subscript"/>
        <sz val="12"/>
        <rFont val="Arial"/>
        <family val="2"/>
      </rPr>
      <t>2</t>
    </r>
  </si>
  <si>
    <r>
      <t>kg CO</t>
    </r>
    <r>
      <rPr>
        <b/>
        <vertAlign val="subscript"/>
        <sz val="10"/>
        <rFont val="Arial"/>
        <family val="2"/>
      </rPr>
      <t>2</t>
    </r>
    <r>
      <rPr>
        <b/>
        <sz val="10"/>
        <rFont val="Arial"/>
        <family val="2"/>
      </rPr>
      <t xml:space="preserve"> per unit</t>
    </r>
  </si>
  <si>
    <t>gallon</t>
  </si>
  <si>
    <t>Compressed Natural Gas (CNG)</t>
  </si>
  <si>
    <t>scf</t>
  </si>
  <si>
    <t>Diesel Fuel</t>
  </si>
  <si>
    <t>Liquefied Natural Gas (LNG)</t>
  </si>
  <si>
    <t>Residual Fuel Oil</t>
  </si>
  <si>
    <t>Federal Register EPA; 40 CFR Part 98; e-CFR, (see link below). Table C-1 (78 FR 71950, Nov. 29, 2013, as amended at 81 FR 89252, Dec. 9, 2016)</t>
  </si>
  <si>
    <r>
      <t>LNG: The factor was developed based on the CO</t>
    </r>
    <r>
      <rPr>
        <vertAlign val="subscript"/>
        <sz val="9"/>
        <rFont val="Arial"/>
        <family val="2"/>
      </rPr>
      <t>2</t>
    </r>
    <r>
      <rPr>
        <sz val="9"/>
        <rFont val="Arial"/>
        <family val="2"/>
      </rPr>
      <t xml:space="preserve"> factor (kg CO2 per mmBtu) for Natural Gas from Table 1 and the higher heating value (HHV) LNG fuel density factor (btu/gallon) from the GREET1 2023 Model, Argonne National Laboratory published December 21, 2023 
(Fuel_Specs worksheet).</t>
    </r>
  </si>
  <si>
    <t>More information on GREET can be found here: https://greet.anl.gov/greet_excel_model.models</t>
  </si>
  <si>
    <t>The factors represented in the table above represent combustion emissions only (tank-to-wheel) and do not represent upstream emissions or well-to-wheel emissions.</t>
  </si>
  <si>
    <t>Table 3</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</si>
  <si>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Gasoline Vehicles</t>
    </r>
  </si>
  <si>
    <t>Vehicle Type</t>
  </si>
  <si>
    <t>Model Year</t>
  </si>
  <si>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vehicle-mile)</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</si>
  <si>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vehicle-mile)</t>
    </r>
  </si>
  <si>
    <t>Gasoline Passenger Cars</t>
  </si>
  <si>
    <t>1973-1974</t>
  </si>
  <si>
    <t>1976-1977</t>
  </si>
  <si>
    <t>1978-1979</t>
  </si>
  <si>
    <t>1984-1993</t>
  </si>
  <si>
    <t>Gasoline Light-Duty Trucks</t>
  </si>
  <si>
    <t>(Vans, Pickup Trucks, SUVs)</t>
  </si>
  <si>
    <t>1977-1978</t>
  </si>
  <si>
    <t>1979-1980</t>
  </si>
  <si>
    <t>1987-1993</t>
  </si>
  <si>
    <t>Gasoline Heavy-Duty Vehicles</t>
  </si>
  <si>
    <t xml:space="preserve"> ≤1980</t>
  </si>
  <si>
    <t>1981-1984</t>
  </si>
  <si>
    <t>1985-1986</t>
  </si>
  <si>
    <t>1988-1989</t>
  </si>
  <si>
    <t>1990-1995</t>
  </si>
  <si>
    <t>Gasoline Motorcycles</t>
  </si>
  <si>
    <t xml:space="preserve"> 1960-1995 </t>
  </si>
  <si>
    <t xml:space="preserve"> 1996-2005</t>
  </si>
  <si>
    <t xml:space="preserve">0 </t>
  </si>
  <si>
    <t xml:space="preserve"> 2006-2020</t>
  </si>
  <si>
    <r>
      <t xml:space="preserve">Source: </t>
    </r>
    <r>
      <rPr>
        <sz val="9"/>
        <rFont val="Arial"/>
        <family val="2"/>
      </rPr>
      <t>EPA (2023) Inventory of U.S. Greenhouse Gas Emissions and Sinks: 1990-2021 (Annexes). All values are calculated from Tables A-81 through A-85.</t>
    </r>
  </si>
  <si>
    <r>
      <rPr>
        <b/>
        <sz val="9"/>
        <rFont val="Arial"/>
        <family val="2"/>
      </rPr>
      <t>Notes</t>
    </r>
    <r>
      <rPr>
        <sz val="9"/>
        <rFont val="Arial"/>
        <family val="2"/>
      </rPr>
      <t>: 
The factors represented in the table above represent combustion emissions only (tank-to-wheel) and do not represent upstream emissions or well-to-wheel emissions.</t>
    </r>
  </si>
  <si>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Diesel and Alternative Fuel Vehicles</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</si>
  <si>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vehicle-mile)</t>
    </r>
  </si>
  <si>
    <t>Passenger Cars</t>
  </si>
  <si>
    <t>1960-1982</t>
  </si>
  <si>
    <t>1983-2006</t>
  </si>
  <si>
    <t>2007-2021</t>
  </si>
  <si>
    <t>Light-Duty Trucks</t>
  </si>
  <si>
    <t>Medium- and Heavy-Duty Vehicles</t>
  </si>
  <si>
    <t>1960-2006</t>
  </si>
  <si>
    <t>Light-Duty Cars</t>
  </si>
  <si>
    <t>Methanol</t>
  </si>
  <si>
    <t>Ethanol</t>
  </si>
  <si>
    <t>CNG</t>
  </si>
  <si>
    <t>LPG</t>
  </si>
  <si>
    <t>Biodiesel</t>
  </si>
  <si>
    <t>LNG</t>
  </si>
  <si>
    <t>Medium-Duty Trucks</t>
  </si>
  <si>
    <t>Heavy-Duty Trucks</t>
  </si>
  <si>
    <t>Buses</t>
  </si>
  <si>
    <r>
      <rPr>
        <b/>
        <sz val="9"/>
        <rFont val="Arial"/>
        <family val="2"/>
      </rPr>
      <t>Source</t>
    </r>
    <r>
      <rPr>
        <sz val="9"/>
        <rFont val="Arial"/>
        <family val="2"/>
      </rPr>
      <t>: EPA (2023) Inventory of U.S. Greenhouse Gas Emissions and Sinks: 1990-2021 (Annexes). All values are calculated from Tables A-86 through A-87.</t>
    </r>
  </si>
  <si>
    <t>https://www.epa.gov/ghgemissions/inventory-us-greenhouse-gas-emissions-and-sinks</t>
  </si>
  <si>
    <t>Table 5</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</si>
  <si>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Non-Road Vehicles</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</si>
  <si>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gallon) </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</si>
  <si>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 xml:space="preserve">O / gallon) </t>
    </r>
  </si>
  <si>
    <t>Ships and Boats</t>
  </si>
  <si>
    <t>Gasoline (2 stroke)</t>
  </si>
  <si>
    <t>Gasoline (4 stroke)</t>
  </si>
  <si>
    <t>Locomotives</t>
  </si>
  <si>
    <t>Aircraft</t>
  </si>
  <si>
    <t>Jet Fuel</t>
  </si>
  <si>
    <r>
      <t>Agricultural Equipment</t>
    </r>
    <r>
      <rPr>
        <vertAlign val="superscript"/>
        <sz val="10"/>
        <rFont val="Arial"/>
        <family val="2"/>
      </rPr>
      <t>A</t>
    </r>
  </si>
  <si>
    <t>Gasoline Off-Road Trucks</t>
  </si>
  <si>
    <t>Diesel Equipment</t>
  </si>
  <si>
    <t>Diesel Off-Road Trucks</t>
  </si>
  <si>
    <r>
      <t>Construction/Mining Equipment</t>
    </r>
    <r>
      <rPr>
        <vertAlign val="superscript"/>
        <sz val="10"/>
        <rFont val="Arial"/>
        <family val="2"/>
      </rPr>
      <t>B</t>
    </r>
  </si>
  <si>
    <t>Lawn and Garden Equipment</t>
  </si>
  <si>
    <t>Airport Equipment</t>
  </si>
  <si>
    <t>Gasoline</t>
  </si>
  <si>
    <t>Industrial/Commercial Equipment</t>
  </si>
  <si>
    <t>Logging Equipment</t>
  </si>
  <si>
    <t>Railroad Equipment</t>
  </si>
  <si>
    <t>Recreational Equipment</t>
  </si>
  <si>
    <r>
      <rPr>
        <b/>
        <sz val="9"/>
        <rFont val="Arial"/>
        <family val="2"/>
      </rPr>
      <t>Source:</t>
    </r>
    <r>
      <rPr>
        <sz val="9"/>
        <rFont val="Arial"/>
        <family val="2"/>
      </rPr>
      <t xml:space="preserve"> EPA (2023) Inventory of U.S. Greenhouse Gas Emissions and Sinks: 1990-2021 (Annexes). All values are calculated from Tables A-88 and A-89.</t>
    </r>
  </si>
  <si>
    <r>
      <rPr>
        <b/>
        <sz val="9"/>
        <rFont val="Arial"/>
        <family val="2"/>
      </rPr>
      <t xml:space="preserve">Notes: 
</t>
    </r>
    <r>
      <rPr>
        <sz val="9"/>
        <rFont val="Arial"/>
        <family val="2"/>
      </rPr>
      <t xml:space="preserve">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Includes equipment, such as tractors and combines, as well as fuel consumption from trucks that are used off-road in agriculture.   
</t>
    </r>
    <r>
      <rPr>
        <vertAlign val="superscript"/>
        <sz val="9"/>
        <rFont val="Arial"/>
        <family val="2"/>
      </rPr>
      <t>B</t>
    </r>
    <r>
      <rPr>
        <sz val="9"/>
        <rFont val="Arial"/>
        <family val="2"/>
      </rPr>
      <t xml:space="preserve"> Includes equipment, such as cranes, dumpers, and excavators, as well as fuel consumption from trucks that are used off-road in construction. </t>
    </r>
  </si>
  <si>
    <t>Table 6</t>
  </si>
  <si>
    <t xml:space="preserve">   Electricity</t>
  </si>
  <si>
    <t>Total Output Emission Factors</t>
  </si>
  <si>
    <t>Non-Baseload Emission Factors</t>
  </si>
  <si>
    <t>eGRID Subregion Acronym</t>
  </si>
  <si>
    <t>eGRID Subregion Name</t>
  </si>
  <si>
    <r>
      <t>(lb CO</t>
    </r>
    <r>
      <rPr>
        <b/>
        <vertAlign val="subscript"/>
        <sz val="10"/>
        <rFont val="Arial"/>
        <family val="2"/>
      </rPr>
      <t>2</t>
    </r>
    <r>
      <rPr>
        <b/>
        <sz val="10"/>
        <rFont val="Arial"/>
        <family val="2"/>
      </rPr>
      <t xml:space="preserve"> / MWh)</t>
    </r>
  </si>
  <si>
    <r>
      <t>(lb CH</t>
    </r>
    <r>
      <rPr>
        <b/>
        <vertAlign val="subscript"/>
        <sz val="10"/>
        <rFont val="Arial"/>
        <family val="2"/>
      </rPr>
      <t>4</t>
    </r>
    <r>
      <rPr>
        <b/>
        <sz val="10"/>
        <rFont val="Arial"/>
        <family val="2"/>
      </rPr>
      <t xml:space="preserve"> / MWh)</t>
    </r>
  </si>
  <si>
    <r>
      <t>(lb N</t>
    </r>
    <r>
      <rPr>
        <b/>
        <vertAlign val="subscript"/>
        <sz val="10"/>
        <rFont val="Arial"/>
        <family val="2"/>
      </rPr>
      <t>2</t>
    </r>
    <r>
      <rPr>
        <b/>
        <sz val="10"/>
        <rFont val="Arial"/>
        <family val="2"/>
      </rPr>
      <t>O / MWh)</t>
    </r>
  </si>
  <si>
    <t>AKGD</t>
  </si>
  <si>
    <t>ASCC Alaska Grid</t>
  </si>
  <si>
    <t>AKMS</t>
  </si>
  <si>
    <t>ASCC Miscellaneous</t>
  </si>
  <si>
    <t>AZNM</t>
  </si>
  <si>
    <t>WECC Southwest</t>
  </si>
  <si>
    <t>CAMX</t>
  </si>
  <si>
    <t>WECC California</t>
  </si>
  <si>
    <t>ERCT</t>
  </si>
  <si>
    <t>ERCOT All</t>
  </si>
  <si>
    <t>FRCC</t>
  </si>
  <si>
    <t>FRCC All</t>
  </si>
  <si>
    <t>HIMS</t>
  </si>
  <si>
    <t>HICC Miscellaneous</t>
  </si>
  <si>
    <t>HIOA</t>
  </si>
  <si>
    <t>HICC Oahu</t>
  </si>
  <si>
    <t>MROE</t>
  </si>
  <si>
    <t>MRO East</t>
  </si>
  <si>
    <t>MROW</t>
  </si>
  <si>
    <t>MRO West</t>
  </si>
  <si>
    <t>NEWE</t>
  </si>
  <si>
    <t>NPCC New England</t>
  </si>
  <si>
    <t>NWPP</t>
  </si>
  <si>
    <t>WECC Northwest</t>
  </si>
  <si>
    <t>NYCW</t>
  </si>
  <si>
    <t>NPCC NYC/Westchester</t>
  </si>
  <si>
    <t>NYLI</t>
  </si>
  <si>
    <t>NPCC Long Island</t>
  </si>
  <si>
    <t>NYUP</t>
  </si>
  <si>
    <t>NPCC Upstate NY</t>
  </si>
  <si>
    <t>PRMS</t>
  </si>
  <si>
    <t>Puerto Rico Miscellaneous</t>
  </si>
  <si>
    <t>RFCE</t>
  </si>
  <si>
    <t>RFC East</t>
  </si>
  <si>
    <t>RFCM</t>
  </si>
  <si>
    <t>RFC Michigan</t>
  </si>
  <si>
    <t>RFCW</t>
  </si>
  <si>
    <t>RFC West</t>
  </si>
  <si>
    <t>RMPA</t>
  </si>
  <si>
    <t>WECC Rockies</t>
  </si>
  <si>
    <t>SPNO</t>
  </si>
  <si>
    <t>SPP North</t>
  </si>
  <si>
    <t>SPSO</t>
  </si>
  <si>
    <t>SPP South</t>
  </si>
  <si>
    <t>SRMV</t>
  </si>
  <si>
    <t>SERC Mississippi Valley</t>
  </si>
  <si>
    <t>SRMW</t>
  </si>
  <si>
    <t>SERC Midwest</t>
  </si>
  <si>
    <t>SRSO</t>
  </si>
  <si>
    <t>SERC South</t>
  </si>
  <si>
    <t>SRTV</t>
  </si>
  <si>
    <t>SERC Tennessee Valley</t>
  </si>
  <si>
    <t>SRVC</t>
  </si>
  <si>
    <t>SERC Virginia/Carolina</t>
  </si>
  <si>
    <t>US Average</t>
  </si>
  <si>
    <r>
      <rPr>
        <b/>
        <sz val="9"/>
        <rFont val="Arial"/>
        <family val="2"/>
      </rPr>
      <t xml:space="preserve">Source: </t>
    </r>
    <r>
      <rPr>
        <sz val="9"/>
        <rFont val="Arial"/>
        <family val="2"/>
      </rPr>
      <t>EPA eGRID2022, January 2024 (Summary Tables - Table 1. Subregion Output Emission Rates)</t>
    </r>
  </si>
  <si>
    <t>https://www.epa.gov/system/files/documents/2024-01/egrid2022_summary_tables.xlsx</t>
  </si>
  <si>
    <t>Notes:</t>
  </si>
  <si>
    <t>Total output emission factors can be used as default factors for estimating GHG emissions from electricity use when developing a carbon footprint or emissions inventory. Annual non-baseload output emission factors should not be used when developing a carbon footprint or emissions inventory, but can be used to estimate GHG emissions reductions on the grid from changes in electricity use. 
For technical information, reference the EPA's eGRID Technical Guide</t>
  </si>
  <si>
    <t>https://www.epa.gov/system/files/documents/2024-01/egrid2022_technical_guide.pdf</t>
  </si>
  <si>
    <t>Table 7</t>
  </si>
  <si>
    <t>Steam and Heat</t>
  </si>
  <si>
    <r>
      <t>CO</t>
    </r>
    <r>
      <rPr>
        <b/>
        <vertAlign val="subscript"/>
        <sz val="10"/>
        <rFont val="Arial"/>
        <family val="2"/>
      </rPr>
      <t>2</t>
    </r>
    <r>
      <rPr>
        <b/>
        <sz val="10"/>
        <rFont val="Arial"/>
        <family val="2"/>
      </rPr>
      <t xml:space="preserve"> Factor 
(kg CO</t>
    </r>
    <r>
      <rPr>
        <b/>
        <vertAlign val="subscript"/>
        <sz val="10"/>
        <rFont val="Arial"/>
        <family val="2"/>
      </rPr>
      <t>2</t>
    </r>
    <r>
      <rPr>
        <b/>
        <sz val="10"/>
        <rFont val="Arial"/>
        <family val="2"/>
      </rPr>
      <t xml:space="preserve"> / mmBtu)</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</si>
  <si>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mmBtu) </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</si>
  <si>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 xml:space="preserve">O / mmBtu) </t>
    </r>
  </si>
  <si>
    <t xml:space="preserve">Emission factors are per mmBtu of steam or heat purchased. These factors assume natural gas fuel is used to generate steam or heat at 80 percent thermal efficiency.  </t>
  </si>
  <si>
    <t>Scope 3 Emission Factors</t>
  </si>
  <si>
    <t>Scope 3 emission factors provided below are aligned with the Greenhouse Gas Protocol Technical Guidance for Calculating Scope 3 Emissions, version 1.0 (Scope 3 Calculation Guidance). Where applicable, the specific calculation method is referenced. Refer to the Scope 3 Calculation Guidance for more information (http://www.ghgprotocol.org/scope-3-technical-calculation-guidance)</t>
  </si>
  <si>
    <t>Table 8</t>
  </si>
  <si>
    <t xml:space="preserve">   Scope 3 Category 4: Upstream Transportation and Distribution and Category 9: Downstream Transportation and Distribution</t>
  </si>
  <si>
    <t xml:space="preserve">These factors are intended for use in the distance-based method defined in the Scope 3 Calculation Guidance. If fuel data are available, then the fuel-based method should be used, with factors from Tables 2 through 5. </t>
  </si>
  <si>
    <r>
      <t>CO</t>
    </r>
    <r>
      <rPr>
        <b/>
        <vertAlign val="subscript"/>
        <sz val="10"/>
        <rFont val="Arial"/>
        <family val="2"/>
      </rPr>
      <t>2</t>
    </r>
    <r>
      <rPr>
        <b/>
        <sz val="10"/>
        <rFont val="Arial"/>
        <family val="2"/>
      </rPr>
      <t xml:space="preserve"> Factor 
(kg CO</t>
    </r>
    <r>
      <rPr>
        <b/>
        <vertAlign val="subscript"/>
        <sz val="10"/>
        <rFont val="Arial"/>
        <family val="2"/>
      </rPr>
      <t>2</t>
    </r>
    <r>
      <rPr>
        <b/>
        <sz val="10"/>
        <rFont val="Arial"/>
        <family val="2"/>
      </rPr>
      <t xml:space="preserve"> / unit)</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</si>
  <si>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unit)</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</si>
  <si>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unit)</t>
    </r>
  </si>
  <si>
    <t>Medium- and Heavy-Duty Truck</t>
  </si>
  <si>
    <t>vehicle-mile</t>
  </si>
  <si>
    <r>
      <t xml:space="preserve">Passenger Car </t>
    </r>
    <r>
      <rPr>
        <vertAlign val="superscript"/>
        <sz val="10"/>
        <rFont val="Arial"/>
        <family val="2"/>
      </rPr>
      <t>A</t>
    </r>
  </si>
  <si>
    <r>
      <t xml:space="preserve">Light-Duty Truck </t>
    </r>
    <r>
      <rPr>
        <vertAlign val="superscript"/>
        <sz val="10"/>
        <rFont val="Arial"/>
        <family val="2"/>
      </rPr>
      <t>B</t>
    </r>
  </si>
  <si>
    <r>
      <t>Medium- and Heavy-Duty Truck</t>
    </r>
    <r>
      <rPr>
        <vertAlign val="superscript"/>
        <sz val="10"/>
        <rFont val="Arial"/>
        <family val="2"/>
      </rPr>
      <t>C</t>
    </r>
  </si>
  <si>
    <t>short ton-mile</t>
  </si>
  <si>
    <t>Rail</t>
  </si>
  <si>
    <t>Waterborne Craft</t>
  </si>
  <si>
    <r>
      <rPr>
        <b/>
        <sz val="9"/>
        <color theme="1"/>
        <rFont val="Arial"/>
        <family val="2"/>
      </rPr>
      <t>Source:</t>
    </r>
    <r>
      <rPr>
        <sz val="9"/>
        <color theme="1"/>
        <rFont val="Arial"/>
        <family val="2"/>
      </rPr>
      <t xml:space="preserve"> 
CO2, CH4, and N2O emissions data for road vehicles are from Table 2-13 of the EPA (April 2023) Inventory of U.S. Greenhouse Gas Emissions and Sinks: 1990-2021 data.
Vehicle-miles data for on-road vehicles are from Tables A-73 - A-75 of the EPA (April 2023) Inventory of U.S. Greenhouse Gas Emissions and Sinks: 1990–2021 data, Annexes.  
CO2e emissions data for non-road vehicles are based on Table A-107 of the EPA (April 2023) Inventory of U.S. Greenhouse Gas Emissions and Sinks: 1990-2021 data, which are distributed into CO2, CH4, and N2O emissions based on fuel/vehicle emission factors.
Freight ton-mile data are from Table 1-50 of the Bureau of Transportation Statistics, National Transportation Statistics (June 2022): 2020 data.</t>
    </r>
  </si>
  <si>
    <r>
      <rPr>
        <b/>
        <sz val="9"/>
        <rFont val="Arial"/>
        <family val="2"/>
      </rPr>
      <t>Notes:</t>
    </r>
    <r>
      <rPr>
        <sz val="9"/>
        <rFont val="Arial"/>
        <family val="2"/>
      </rPr>
      <t xml:space="preserve"> 
Vehicle-mile factors are appropriate to use when the entire vehicle is dedicated to transporting the reporting company's product. Ton-mile factors are appropriate when the vehicle is shared with products from other companies.  
</t>
    </r>
    <r>
      <rPr>
        <vertAlign val="superscript"/>
        <sz val="9"/>
        <rFont val="Arial"/>
        <family val="2"/>
      </rPr>
      <t>A</t>
    </r>
    <r>
      <rPr>
        <sz val="9"/>
        <rFont val="Arial"/>
        <family val="2"/>
      </rPr>
      <t xml:space="preserve"> Passenger cars are automobiles used primarily to transport 12 people or less for personal travel, and are less than 8,500 lbs in gross vehicle weight.
</t>
    </r>
    <r>
      <rPr>
        <vertAlign val="superscript"/>
        <sz val="9"/>
        <rFont val="Arial"/>
        <family val="2"/>
      </rPr>
      <t>B</t>
    </r>
    <r>
      <rPr>
        <sz val="9"/>
        <rFont val="Arial"/>
        <family val="2"/>
      </rPr>
      <t xml:space="preserve"> Light-duty trucks are vehicles that primarily transport passengers such as sport utility vehicles (SUVs) and minivans. This category also includes vehicles used for transporting light-weight cargo which are equipped with special features such as four-wheel drive for off-road operation. The gross vehicle weight normally ranges around 8,500 pounds or less. 
</t>
    </r>
    <r>
      <rPr>
        <vertAlign val="superscript"/>
        <sz val="9"/>
        <rFont val="Arial"/>
        <family val="2"/>
      </rPr>
      <t>C</t>
    </r>
    <r>
      <rPr>
        <sz val="9"/>
        <rFont val="Arial"/>
        <family val="2"/>
      </rPr>
      <t xml:space="preserve"> Medium- and heavy-duty trucks are vehicles with a gross vehicle weight of more than around 8,500 pounds, such as single unit trucks, combination trucks, tractor-trailers, and box trucks used for freight transportation. In addition, this category includes some vehicles that are not typically used for freight movement such as service and utility trucks.</t>
    </r>
  </si>
  <si>
    <t>Table 9</t>
  </si>
  <si>
    <t>Scope 3 Category 5: Waste Generated in Operations and Category 12: End-of-Life Treatment of Sold Products</t>
  </si>
  <si>
    <t>These factors are intended for use in the waste-type-specific method or the average-data method defined in the Scope 3 Calculation Guidance for category 5 and category 12. Choose the appropriate material and disposal method from the table below. For the average-data method, use one of the mixed material types, such as mixed MSW.</t>
  </si>
  <si>
    <r>
      <t>Metric Tons CO</t>
    </r>
    <r>
      <rPr>
        <b/>
        <vertAlign val="subscript"/>
        <sz val="10"/>
        <rFont val="Arial"/>
        <family val="2"/>
      </rPr>
      <t>2</t>
    </r>
    <r>
      <rPr>
        <b/>
        <sz val="10"/>
        <rFont val="Arial"/>
        <family val="2"/>
      </rPr>
      <t>e / Short Ton Material</t>
    </r>
  </si>
  <si>
    <t>Material</t>
  </si>
  <si>
    <r>
      <t>Recycled</t>
    </r>
    <r>
      <rPr>
        <vertAlign val="superscript"/>
        <sz val="10"/>
        <rFont val="Arial"/>
        <family val="2"/>
      </rPr>
      <t>A</t>
    </r>
  </si>
  <si>
    <r>
      <t>Landfilled</t>
    </r>
    <r>
      <rPr>
        <vertAlign val="superscript"/>
        <sz val="10"/>
        <rFont val="Arial"/>
        <family val="2"/>
      </rPr>
      <t>B</t>
    </r>
  </si>
  <si>
    <r>
      <t>Combusted</t>
    </r>
    <r>
      <rPr>
        <vertAlign val="superscript"/>
        <sz val="10"/>
        <rFont val="Arial"/>
        <family val="2"/>
      </rPr>
      <t>C</t>
    </r>
  </si>
  <si>
    <r>
      <t>Composted</t>
    </r>
    <r>
      <rPr>
        <vertAlign val="superscript"/>
        <sz val="10"/>
        <rFont val="Arial"/>
        <family val="2"/>
      </rPr>
      <t>D</t>
    </r>
  </si>
  <si>
    <r>
      <t>Anaerobically Digested (Dry Digestate with Curing)</t>
    </r>
    <r>
      <rPr>
        <b/>
        <vertAlign val="superscript"/>
        <sz val="10"/>
        <rFont val="Arial"/>
        <family val="2"/>
      </rPr>
      <t>E</t>
    </r>
  </si>
  <si>
    <r>
      <t>Anaerobically Digested (Wet  Digestate with Curing)</t>
    </r>
    <r>
      <rPr>
        <b/>
        <vertAlign val="superscript"/>
        <sz val="10"/>
        <rFont val="Arial"/>
        <family val="2"/>
      </rPr>
      <t>E</t>
    </r>
  </si>
  <si>
    <t>Aluminum Cans</t>
  </si>
  <si>
    <t>NA</t>
  </si>
  <si>
    <t>Aluminum Ingot</t>
  </si>
  <si>
    <t>Steel Cans</t>
  </si>
  <si>
    <t>Copper Wire</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</si>
  <si>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</si>
  <si>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</si>
  <si>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</si>
  <si>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</si>
  <si>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</si>
  <si>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</si>
  <si>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</si>
  <si>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</si>
  <si>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</si>
  <si>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</si>
  <si>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</si>
  <si>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</si>
  <si>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</si>
  <si>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</si>
  <si>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</si>
  <si>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</si>
  <si>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</si>
  <si>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</si>
  <si>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</si>
  <si>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</si>
  <si>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</si>
  <si>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</si>
  <si>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</si>
  <si>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</si>
  <si>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</si>
  <si>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</si>
  <si>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</si>
  <si>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</si>
  <si>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</si>
  <si>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</si>
  <si>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</si>
  <si>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</si>
  <si>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</si>
  <si>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</si>
  <si>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</si>
  <si>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</si>
  <si>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Mixed MSW</t>
  </si>
  <si>
    <t>Carpet</t>
  </si>
  <si>
    <t>Desktop CPUs</t>
  </si>
  <si>
    <t>Portable Electronic Devices</t>
  </si>
  <si>
    <t>Flat-panel Displays</t>
  </si>
  <si>
    <t>CRT Displays</t>
  </si>
  <si>
    <t>Electronic Peripherals</t>
  </si>
  <si>
    <t>Hard-copy Devices</t>
  </si>
  <si>
    <t>Mixed Electronics</t>
  </si>
  <si>
    <t>Clay Bricks</t>
  </si>
  <si>
    <t>Concrete</t>
  </si>
  <si>
    <t>Fly Ash</t>
  </si>
  <si>
    <t>Asphalt Concrete</t>
  </si>
  <si>
    <t>Asphalt Shingles</t>
  </si>
  <si>
    <t>Drywall</t>
  </si>
  <si>
    <t>Fiberglass Insulation</t>
  </si>
  <si>
    <t>Structural Steel</t>
  </si>
  <si>
    <t>Vinyl Flooring</t>
  </si>
  <si>
    <t>Wood Flooring</t>
  </si>
  <si>
    <t xml:space="preserve">Source: </t>
  </si>
  <si>
    <r>
      <rPr>
        <sz val="9"/>
        <rFont val="Arial"/>
        <family val="2"/>
      </rPr>
      <t xml:space="preserve">U.S. Environmental Protection Agency, Office of Resource Conservation and Recovery (December 2023) Documentation for Greenhouse Gas Emission and Energy Factors used in the </t>
    </r>
    <r>
      <rPr>
        <u/>
        <sz val="9"/>
        <color indexed="12"/>
        <rFont val="Arial"/>
        <family val="2"/>
      </rPr>
      <t xml:space="preserve">Waste Reduction Model (WARM). </t>
    </r>
    <r>
      <rPr>
        <sz val="9"/>
        <rFont val="Arial"/>
        <family val="2"/>
      </rPr>
      <t xml:space="preserve">Factors from tables provided in the Management Practices Chapters and Background Chapters. </t>
    </r>
  </si>
  <si>
    <r>
      <rPr>
        <b/>
        <sz val="9"/>
        <rFont val="Arial"/>
        <family val="2"/>
      </rPr>
      <t>Notes:</t>
    </r>
    <r>
      <rPr>
        <sz val="9"/>
        <rFont val="Arial"/>
        <family val="2"/>
      </rPr>
      <t xml:space="preserve">
These factors do not include avoided emissions impact from any of the disposal methods. This exclusion is an adjustment to the life-cycle factors in the WARM tool. Thus the waste factors presented above will not directly match the factors published in the WARM tool. All the factors presented above include transportation emissions, which are optional in the Scope 3 Calculation Guidance, with an assumed average distance traveled to the processing facility. More information about the differences between WARM and the Emissions Factor Hub’s Waste Emissions can be found here: https://www.epa.gov/sites/default/files/2020-04/documents/guidanceefwastefactors_vs_warm.pdf. 
AR4 GWP values are used to convert all waste emission factors into CO2e. 
Short ton = 2000 lbs.
</t>
    </r>
    <r>
      <rPr>
        <vertAlign val="superscript"/>
        <sz val="9"/>
        <rFont val="Arial"/>
        <family val="2"/>
      </rPr>
      <t>A</t>
    </r>
    <r>
      <rPr>
        <sz val="9"/>
        <rFont val="Arial"/>
        <family val="2"/>
      </rPr>
      <t xml:space="preserve"> Recycling emissions do not include avoided emissions associated with process energy, transportation energy, process non-energy, or forest carbon storage. Recycling emissions include transport to recycling facility and sorting of recycled materials at material recovery facility. 
</t>
    </r>
    <r>
      <rPr>
        <vertAlign val="superscript"/>
        <sz val="9"/>
        <rFont val="Arial"/>
        <family val="2"/>
      </rPr>
      <t>B</t>
    </r>
    <r>
      <rPr>
        <sz val="9"/>
        <rFont val="Arial"/>
        <family val="2"/>
      </rPr>
      <t xml:space="preserve"> Landfilling emissions do not include avoided emissions associated with energy recovery or landfill carbon sequestration. Landfilling emissions include transport to landfill, equipment use at landfill, and landfill CH4 emissions from anaerobic decomposition of biogenic carbon compounds. Landfill CH4 is based on typical landfill gas collection practices, average landfill moisture conditions, and U.S.-average non-baseload electricity grid mix.
</t>
    </r>
    <r>
      <rPr>
        <vertAlign val="superscript"/>
        <sz val="9"/>
        <rFont val="Arial"/>
        <family val="2"/>
      </rPr>
      <t>C</t>
    </r>
    <r>
      <rPr>
        <sz val="9"/>
        <rFont val="Arial"/>
        <family val="2"/>
      </rPr>
      <t xml:space="preserve"> Combustion emissions do not include avoided emissions associated with displaced electric utility generation or avoided GHG emissions due to the recovery and recycling of ferrous metals at the combustor. Combustion emissions include transport to waste-to-energy facility and combustion-related non-biogenic CO2 and N2O. 
</t>
    </r>
    <r>
      <rPr>
        <vertAlign val="superscript"/>
        <sz val="9"/>
        <rFont val="Arial"/>
        <family val="2"/>
      </rPr>
      <t>D</t>
    </r>
    <r>
      <rPr>
        <sz val="9"/>
        <rFont val="Arial"/>
        <family val="2"/>
      </rPr>
      <t xml:space="preserve"> Composting emissions do not include avoided emissions associated with fertilizer offset or soil carbon storage. Composting emissions include transport to compost facility, equipment use at compost facility, and CH4 and N2O emissions during composting.
</t>
    </r>
    <r>
      <rPr>
        <vertAlign val="superscript"/>
        <sz val="9"/>
        <rFont val="Arial"/>
        <family val="2"/>
      </rPr>
      <t>E</t>
    </r>
    <r>
      <rPr>
        <sz val="9"/>
        <rFont val="Arial"/>
        <family val="2"/>
      </rPr>
      <t xml:space="preserve"> Anaerobically Digested (Dry and Wet Digestate with Curing) emissions do not include avoided emissions associated with displaced electric utility generation, soil carbon storage, or avoided fertilizer application. Anaerobically Digested (Dry and Wet Digestate with Curing) emissions include transport to the anaerobic digester facility, equipment use at the anaerobic digester facility, biogas leakage at the digester, emissions released during the curing and land application process, and fugitive emissions during the curing and after land application. </t>
    </r>
  </si>
  <si>
    <t>Table 10</t>
  </si>
  <si>
    <t xml:space="preserve">Scope 3 Category 6: Business Travel and Category 7: Employee Commuting </t>
  </si>
  <si>
    <t xml:space="preserve">These factors are intended for use in the distance-based method defined in the Scope 3 Calculation Guidance.  If fuel data are available, then the fuel-based method should be used, with factors from Tables 2 through 5. </t>
  </si>
  <si>
    <t>Motorcycle</t>
  </si>
  <si>
    <r>
      <t xml:space="preserve">Intercity Rail - Northeast Corridor </t>
    </r>
    <r>
      <rPr>
        <vertAlign val="superscript"/>
        <sz val="10"/>
        <color rgb="FF000000"/>
        <rFont val="Arial"/>
        <family val="2"/>
      </rPr>
      <t>C</t>
    </r>
  </si>
  <si>
    <t>passenger-mile</t>
  </si>
  <si>
    <r>
      <t xml:space="preserve">Intercity Rail - Other Routes </t>
    </r>
    <r>
      <rPr>
        <vertAlign val="superscript"/>
        <sz val="10"/>
        <color rgb="FF000000"/>
        <rFont val="Arial"/>
        <family val="2"/>
      </rPr>
      <t>C</t>
    </r>
  </si>
  <si>
    <r>
      <t xml:space="preserve">Intercity Rail - National Average </t>
    </r>
    <r>
      <rPr>
        <vertAlign val="superscript"/>
        <sz val="10"/>
        <color rgb="FF000000"/>
        <rFont val="Arial"/>
        <family val="2"/>
      </rPr>
      <t>C</t>
    </r>
  </si>
  <si>
    <r>
      <t>Commuter Rail</t>
    </r>
    <r>
      <rPr>
        <vertAlign val="superscript"/>
        <sz val="10"/>
        <color rgb="FF000000"/>
        <rFont val="Arial"/>
        <family val="2"/>
      </rPr>
      <t xml:space="preserve"> D</t>
    </r>
  </si>
  <si>
    <r>
      <t>Transit Rail (i.e. Subway, Tram)</t>
    </r>
    <r>
      <rPr>
        <vertAlign val="superscript"/>
        <sz val="10"/>
        <rFont val="Arial"/>
        <family val="2"/>
      </rPr>
      <t xml:space="preserve"> E</t>
    </r>
  </si>
  <si>
    <t>Bus</t>
  </si>
  <si>
    <t xml:space="preserve">Air Travel - Short Haul (&lt; 300 miles) </t>
  </si>
  <si>
    <t xml:space="preserve">Air Travel - Medium Haul (&gt;= 300 miles, &lt; 2300 miles) </t>
  </si>
  <si>
    <t xml:space="preserve">Air Travel - Long Haul (&gt;= 2300 miles) </t>
  </si>
  <si>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 xml:space="preserve">O emissions data for highway vehicles are from Table 2-13 of the EPA (April 2023) Inventory of U.S. Greenhouse Gas Emissions and Sinks: 1990–2021 data.  
Vehicle-miles data for on-road vehicles are from Tables A-73 - A-75 of the EPA (April 2023) Inventory of U.S. Greenhouse Gas Emissions and Sinks: 1990–2021 data, Annexes.  
Passenger-miles data for buses are from Table VM-1 of the Federal Highway Administration Highway Statistics (January 2024): 2021 data.
Fuel consumption data and passenger-miles data for rail are from Tables A.14 - A.16, 10-10, and 7.3 - 7.4 of the Transportation Energy Data Book: Edition 40 (June 2022): 2019 data. Fuel consumption was converted to emissions by using fuel and electricity emission factors presented in the tables above. 
Intercity Rail factors from communication with Amtrak, March 2020. These are based on 2019 values. 
Air Travel factors from 2022 Guidelines to Defra / DECC's GHG Conversion Factors for Company Reporting. Version 2.0 June 2022. Defra air travel emission factors held constant from 2022 release (2018 activity data) to more accurately reflect the current state of business travel as the 2023 Defra release reflects significantly reduced load factors during COVID-19. </t>
    </r>
  </si>
  <si>
    <r>
      <rPr>
        <b/>
        <sz val="9"/>
        <rFont val="Arial"/>
        <family val="2"/>
      </rPr>
      <t>Notes:</t>
    </r>
    <r>
      <rPr>
        <sz val="9"/>
        <rFont val="Arial"/>
        <family val="2"/>
      </rPr>
      <t xml:space="preserve"> 
</t>
    </r>
    <r>
      <rPr>
        <vertAlign val="superscript"/>
        <sz val="9"/>
        <rFont val="Arial"/>
        <family val="2"/>
      </rPr>
      <t>A</t>
    </r>
    <r>
      <rPr>
        <sz val="9"/>
        <rFont val="Arial"/>
        <family val="2"/>
      </rPr>
      <t xml:space="preserve"> Passenger cars are automobiles used primarily to transport 12 people or less for personal travel, and are less than 8,500 lbs in gross vehicle weight.
</t>
    </r>
    <r>
      <rPr>
        <vertAlign val="superscript"/>
        <sz val="9"/>
        <rFont val="Arial"/>
        <family val="2"/>
      </rPr>
      <t>B</t>
    </r>
    <r>
      <rPr>
        <sz val="9"/>
        <rFont val="Arial"/>
        <family val="2"/>
      </rPr>
      <t xml:space="preserve"> Light-duty trucks are vehicles that primarily transport passengers such as sport utility vehicles (SUVs) and minivans. This category also includes vehicles used for transporting light-weight cargo which are equipped with special features such as four-wheel drive for off-road operation. The gross vehicle weight normally ranges around 8,500 pounds or less. 
</t>
    </r>
    <r>
      <rPr>
        <vertAlign val="superscript"/>
        <sz val="9"/>
        <rFont val="Arial"/>
        <family val="2"/>
      </rPr>
      <t>C</t>
    </r>
    <r>
      <rPr>
        <sz val="9"/>
        <rFont val="Arial"/>
        <family val="2"/>
      </rPr>
      <t xml:space="preserve"> Intercity rail: Amtrak long-distance rail between major cities. Northeast Corridor extends from Boston to Washington D.C. Other Routes are all routes outside the Northeast Corridor.
</t>
    </r>
    <r>
      <rPr>
        <vertAlign val="superscript"/>
        <sz val="9"/>
        <rFont val="Arial"/>
        <family val="2"/>
      </rPr>
      <t>D</t>
    </r>
    <r>
      <rPr>
        <sz val="9"/>
        <rFont val="Arial"/>
        <family val="2"/>
      </rPr>
      <t xml:space="preserve"> Commuter rail: rail service between a central city and adjacent suburbs (also called regional rail or suburban rail).  
</t>
    </r>
    <r>
      <rPr>
        <vertAlign val="superscript"/>
        <sz val="9"/>
        <rFont val="Arial"/>
        <family val="2"/>
      </rPr>
      <t>E</t>
    </r>
    <r>
      <rPr>
        <sz val="9"/>
        <rFont val="Arial"/>
        <family val="2"/>
      </rPr>
      <t xml:space="preserve"> Transit rail: rail typically within an urban center, such as subways, elevated railways, metropolitan railways (metro), streetcars, trolley cars, and tramways.</t>
    </r>
  </si>
  <si>
    <t>Global Warming Potential</t>
  </si>
  <si>
    <t>Table 11</t>
  </si>
  <si>
    <t xml:space="preserve">   Global Warming Potential (GWP)</t>
  </si>
  <si>
    <t>Industrial Designation or 
Common Name </t>
  </si>
  <si>
    <t>Chemical Formula </t>
  </si>
  <si>
    <t>Carbon dioxide</t>
  </si>
  <si>
    <r>
      <t>CO</t>
    </r>
    <r>
      <rPr>
        <vertAlign val="subscript"/>
        <sz val="10"/>
        <rFont val="Arial"/>
        <family val="2"/>
      </rPr>
      <t>2</t>
    </r>
  </si>
  <si>
    <t>Methane</t>
  </si>
  <si>
    <t>Nitrous oxide</t>
  </si>
  <si>
    <t>HFC-23</t>
  </si>
  <si>
    <r>
      <t>CHF</t>
    </r>
    <r>
      <rPr>
        <vertAlign val="subscript"/>
        <sz val="10"/>
        <rFont val="Arial"/>
        <family val="2"/>
      </rPr>
      <t>3</t>
    </r>
  </si>
  <si>
    <t>HFC-32</t>
  </si>
  <si>
    <r>
      <t>CH</t>
    </r>
    <r>
      <rPr>
        <vertAlign val="subscript"/>
        <sz val="10"/>
        <rFont val="Arial"/>
        <family val="2"/>
      </rPr>
      <t>2</t>
    </r>
    <r>
      <rPr>
        <sz val="10"/>
        <rFont val="Arial"/>
        <family val="2"/>
      </rPr>
      <t>F</t>
    </r>
    <r>
      <rPr>
        <vertAlign val="subscript"/>
        <sz val="10"/>
        <rFont val="Arial"/>
        <family val="2"/>
      </rPr>
      <t>2</t>
    </r>
    <r>
      <rPr>
        <sz val="10"/>
        <rFont val="Arial"/>
        <family val="2"/>
      </rPr>
      <t xml:space="preserve">  </t>
    </r>
  </si>
  <si>
    <t>HFC-41</t>
  </si>
  <si>
    <r>
      <t>CH</t>
    </r>
    <r>
      <rPr>
        <vertAlign val="subscript"/>
        <sz val="10"/>
        <rFont val="Arial"/>
        <family val="2"/>
      </rPr>
      <t>3</t>
    </r>
    <r>
      <rPr>
        <sz val="10"/>
        <rFont val="Arial"/>
        <family val="2"/>
      </rPr>
      <t>F </t>
    </r>
  </si>
  <si>
    <t>HFC-125</t>
  </si>
  <si>
    <r>
      <t>CHF</t>
    </r>
    <r>
      <rPr>
        <vertAlign val="subscript"/>
        <sz val="10"/>
        <rFont val="Arial"/>
        <family val="2"/>
      </rPr>
      <t>2</t>
    </r>
    <r>
      <rPr>
        <sz val="10"/>
        <rFont val="Arial"/>
        <family val="2"/>
      </rPr>
      <t>CF</t>
    </r>
    <r>
      <rPr>
        <vertAlign val="subscript"/>
        <sz val="10"/>
        <rFont val="Arial"/>
        <family val="2"/>
      </rPr>
      <t>3</t>
    </r>
  </si>
  <si>
    <t>HFC-134</t>
  </si>
  <si>
    <r>
      <t>CHF</t>
    </r>
    <r>
      <rPr>
        <vertAlign val="subscript"/>
        <sz val="10"/>
        <rFont val="Arial"/>
        <family val="2"/>
      </rPr>
      <t>2</t>
    </r>
    <r>
      <rPr>
        <sz val="10"/>
        <rFont val="Arial"/>
        <family val="2"/>
      </rPr>
      <t>CHF</t>
    </r>
    <r>
      <rPr>
        <vertAlign val="subscript"/>
        <sz val="10"/>
        <rFont val="Arial"/>
        <family val="2"/>
      </rPr>
      <t>2</t>
    </r>
  </si>
  <si>
    <t>HFC-134a</t>
  </si>
  <si>
    <r>
      <t>CH</t>
    </r>
    <r>
      <rPr>
        <vertAlign val="subscript"/>
        <sz val="10"/>
        <rFont val="Arial"/>
        <family val="2"/>
      </rPr>
      <t>2</t>
    </r>
    <r>
      <rPr>
        <sz val="10"/>
        <rFont val="Arial"/>
        <family val="2"/>
      </rPr>
      <t>FCF</t>
    </r>
    <r>
      <rPr>
        <vertAlign val="subscript"/>
        <sz val="10"/>
        <rFont val="Arial"/>
        <family val="2"/>
      </rPr>
      <t>3</t>
    </r>
    <r>
      <rPr>
        <sz val="10"/>
        <rFont val="Arial"/>
        <family val="2"/>
      </rPr>
      <t xml:space="preserve">  </t>
    </r>
  </si>
  <si>
    <t>HFC-143</t>
  </si>
  <si>
    <r>
      <t>CH</t>
    </r>
    <r>
      <rPr>
        <vertAlign val="subscript"/>
        <sz val="10"/>
        <rFont val="Arial"/>
        <family val="2"/>
      </rPr>
      <t>2</t>
    </r>
    <r>
      <rPr>
        <sz val="10"/>
        <rFont val="Arial"/>
        <family val="2"/>
      </rPr>
      <t>FCHF</t>
    </r>
    <r>
      <rPr>
        <vertAlign val="subscript"/>
        <sz val="10"/>
        <rFont val="Arial"/>
        <family val="2"/>
      </rPr>
      <t>2</t>
    </r>
  </si>
  <si>
    <t>HFC-143a</t>
  </si>
  <si>
    <r>
      <t>CH</t>
    </r>
    <r>
      <rPr>
        <vertAlign val="subscript"/>
        <sz val="10"/>
        <rFont val="Arial"/>
        <family val="2"/>
      </rPr>
      <t>3</t>
    </r>
    <r>
      <rPr>
        <sz val="10"/>
        <rFont val="Arial"/>
        <family val="2"/>
      </rPr>
      <t>CF</t>
    </r>
    <r>
      <rPr>
        <vertAlign val="subscript"/>
        <sz val="10"/>
        <rFont val="Arial"/>
        <family val="2"/>
      </rPr>
      <t>3</t>
    </r>
    <r>
      <rPr>
        <sz val="10"/>
        <rFont val="Arial"/>
        <family val="2"/>
      </rPr>
      <t xml:space="preserve">  </t>
    </r>
  </si>
  <si>
    <t>HFC-152</t>
  </si>
  <si>
    <r>
      <t>CH</t>
    </r>
    <r>
      <rPr>
        <vertAlign val="subscript"/>
        <sz val="10"/>
        <rFont val="Arial"/>
        <family val="2"/>
      </rPr>
      <t>2</t>
    </r>
    <r>
      <rPr>
        <sz val="10"/>
        <rFont val="Arial"/>
        <family val="2"/>
      </rPr>
      <t>FCH</t>
    </r>
    <r>
      <rPr>
        <vertAlign val="subscript"/>
        <sz val="10"/>
        <rFont val="Arial"/>
        <family val="2"/>
      </rPr>
      <t>2</t>
    </r>
    <r>
      <rPr>
        <sz val="10"/>
        <rFont val="Arial"/>
        <family val="2"/>
      </rPr>
      <t>F</t>
    </r>
  </si>
  <si>
    <t>HFC-152a</t>
  </si>
  <si>
    <r>
      <t>CH</t>
    </r>
    <r>
      <rPr>
        <vertAlign val="subscript"/>
        <sz val="10"/>
        <rFont val="Arial"/>
        <family val="2"/>
      </rPr>
      <t>3</t>
    </r>
    <r>
      <rPr>
        <sz val="10"/>
        <rFont val="Arial"/>
        <family val="2"/>
      </rPr>
      <t>CHF</t>
    </r>
    <r>
      <rPr>
        <vertAlign val="subscript"/>
        <sz val="10"/>
        <rFont val="Arial"/>
        <family val="2"/>
      </rPr>
      <t>2</t>
    </r>
    <r>
      <rPr>
        <sz val="10"/>
        <rFont val="Arial"/>
        <family val="2"/>
      </rPr>
      <t xml:space="preserve">  </t>
    </r>
  </si>
  <si>
    <t>HFC-161</t>
  </si>
  <si>
    <r>
      <t>CH</t>
    </r>
    <r>
      <rPr>
        <vertAlign val="subscript"/>
        <sz val="10"/>
        <rFont val="Arial"/>
        <family val="2"/>
      </rPr>
      <t>3</t>
    </r>
    <r>
      <rPr>
        <sz val="10"/>
        <rFont val="Arial"/>
        <family val="2"/>
      </rPr>
      <t>CH</t>
    </r>
    <r>
      <rPr>
        <vertAlign val="subscript"/>
        <sz val="10"/>
        <rFont val="Arial"/>
        <family val="2"/>
      </rPr>
      <t>2</t>
    </r>
    <r>
      <rPr>
        <sz val="10"/>
        <rFont val="Arial"/>
        <family val="2"/>
      </rPr>
      <t>F</t>
    </r>
  </si>
  <si>
    <t>HFC-227ea</t>
  </si>
  <si>
    <r>
      <t>CF</t>
    </r>
    <r>
      <rPr>
        <vertAlign val="subscript"/>
        <sz val="10"/>
        <rFont val="Arial"/>
        <family val="2"/>
      </rPr>
      <t>3</t>
    </r>
    <r>
      <rPr>
        <sz val="10"/>
        <rFont val="Arial"/>
        <family val="2"/>
      </rPr>
      <t>CHFCF</t>
    </r>
    <r>
      <rPr>
        <vertAlign val="subscript"/>
        <sz val="10"/>
        <rFont val="Arial"/>
        <family val="2"/>
      </rPr>
      <t>3</t>
    </r>
    <r>
      <rPr>
        <sz val="10"/>
        <rFont val="Arial"/>
        <family val="2"/>
      </rPr>
      <t xml:space="preserve">  </t>
    </r>
  </si>
  <si>
    <t>HFC-236cb</t>
  </si>
  <si>
    <r>
      <t>CH</t>
    </r>
    <r>
      <rPr>
        <vertAlign val="subscript"/>
        <sz val="10"/>
        <rFont val="Arial"/>
        <family val="2"/>
      </rPr>
      <t>2</t>
    </r>
    <r>
      <rPr>
        <sz val="10"/>
        <rFont val="Arial"/>
        <family val="2"/>
      </rPr>
      <t>FCF</t>
    </r>
    <r>
      <rPr>
        <vertAlign val="subscript"/>
        <sz val="10"/>
        <rFont val="Arial"/>
        <family val="2"/>
      </rPr>
      <t>2</t>
    </r>
    <r>
      <rPr>
        <sz val="10"/>
        <rFont val="Arial"/>
        <family val="2"/>
      </rPr>
      <t>CF</t>
    </r>
    <r>
      <rPr>
        <vertAlign val="subscript"/>
        <sz val="10"/>
        <rFont val="Arial"/>
        <family val="2"/>
      </rPr>
      <t>3</t>
    </r>
  </si>
  <si>
    <t>HFC-236ea</t>
  </si>
  <si>
    <r>
      <t>CHF</t>
    </r>
    <r>
      <rPr>
        <vertAlign val="subscript"/>
        <sz val="10"/>
        <rFont val="Arial"/>
        <family val="2"/>
      </rPr>
      <t>2</t>
    </r>
    <r>
      <rPr>
        <sz val="10"/>
        <rFont val="Arial"/>
        <family val="2"/>
      </rPr>
      <t>CHFCF</t>
    </r>
    <r>
      <rPr>
        <vertAlign val="subscript"/>
        <sz val="10"/>
        <rFont val="Arial"/>
        <family val="2"/>
      </rPr>
      <t>3</t>
    </r>
  </si>
  <si>
    <t>HFC-236fa</t>
  </si>
  <si>
    <r>
      <t>CF</t>
    </r>
    <r>
      <rPr>
        <vertAlign val="subscript"/>
        <sz val="10"/>
        <rFont val="Arial"/>
        <family val="2"/>
      </rPr>
      <t>3</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</si>
  <si>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HFC-245ca</t>
  </si>
  <si>
    <r>
      <t>CH</t>
    </r>
    <r>
      <rPr>
        <vertAlign val="subscript"/>
        <sz val="10"/>
        <rFont val="Arial"/>
        <family val="2"/>
      </rPr>
      <t>2</t>
    </r>
    <r>
      <rPr>
        <sz val="10"/>
        <rFont val="Arial"/>
        <family val="2"/>
      </rPr>
      <t>FCF</t>
    </r>
    <r>
      <rPr>
        <vertAlign val="subscript"/>
        <sz val="10"/>
        <rFont val="Arial"/>
        <family val="2"/>
      </rPr>
      <t>2</t>
    </r>
    <r>
      <rPr>
        <sz val="10"/>
        <rFont val="Arial"/>
        <family val="2"/>
      </rPr>
      <t>CHF</t>
    </r>
    <r>
      <rPr>
        <vertAlign val="subscript"/>
        <sz val="10"/>
        <rFont val="Arial"/>
        <family val="2"/>
      </rPr>
      <t>2</t>
    </r>
  </si>
  <si>
    <t>HFC-245fa</t>
  </si>
  <si>
    <r>
      <t>CHF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 xml:space="preserve">3 </t>
    </r>
    <r>
      <rPr>
        <sz val="10"/>
        <rFont val="Arial"/>
        <family val="2"/>
      </rPr>
      <t> </t>
    </r>
  </si>
  <si>
    <t>HFC-365mfc</t>
  </si>
  <si>
    <r>
      <t>CH</t>
    </r>
    <r>
      <rPr>
        <vertAlign val="subscript"/>
        <sz val="10"/>
        <rFont val="Arial"/>
        <family val="2"/>
      </rPr>
      <t>3</t>
    </r>
    <r>
      <rPr>
        <sz val="10"/>
        <rFont val="Arial"/>
        <family val="2"/>
      </rPr>
      <t>CF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</si>
  <si>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HFC-43-10mee</t>
  </si>
  <si>
    <r>
      <t>CF</t>
    </r>
    <r>
      <rPr>
        <vertAlign val="subscript"/>
        <sz val="10"/>
        <rFont val="Arial"/>
        <family val="2"/>
      </rPr>
      <t>3</t>
    </r>
    <r>
      <rPr>
        <sz val="10"/>
        <rFont val="Arial"/>
        <family val="2"/>
      </rPr>
      <t>CHFCHFCF</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</si>
  <si>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Sulfur hexafluoride</t>
  </si>
  <si>
    <r>
      <t>SF</t>
    </r>
    <r>
      <rPr>
        <vertAlign val="subscript"/>
        <sz val="10"/>
        <rFont val="Arial"/>
        <family val="2"/>
      </rPr>
      <t>6</t>
    </r>
  </si>
  <si>
    <t>Nitrogen trifluoride</t>
  </si>
  <si>
    <r>
      <t>NF</t>
    </r>
    <r>
      <rPr>
        <vertAlign val="subscript"/>
        <sz val="10"/>
        <rFont val="Arial"/>
        <family val="2"/>
      </rPr>
      <t>3</t>
    </r>
  </si>
  <si>
    <t>PFC-14</t>
  </si>
  <si>
    <r>
      <t>CF</t>
    </r>
    <r>
      <rPr>
        <vertAlign val="subscript"/>
        <sz val="10"/>
        <rFont val="Arial"/>
        <family val="2"/>
      </rPr>
      <t>4</t>
    </r>
  </si>
  <si>
    <t>PFC-116</t>
  </si>
  <si>
    <r>
      <t>C</t>
    </r>
    <r>
      <rPr>
        <vertAlign val="subscript"/>
        <sz val="10"/>
        <rFont val="Arial"/>
        <family val="2"/>
      </rPr>
      <t>2</t>
    </r>
    <r>
      <rPr>
        <sz val="10"/>
        <rFont val="Arial"/>
        <family val="2"/>
      </rPr>
      <t>F</t>
    </r>
    <r>
      <rPr>
        <vertAlign val="subscript"/>
        <sz val="10"/>
        <rFont val="Arial"/>
        <family val="2"/>
      </rPr>
      <t>6</t>
    </r>
  </si>
  <si>
    <t>PFC-218</t>
  </si>
  <si>
    <r>
      <t>C</t>
    </r>
    <r>
      <rPr>
        <vertAlign val="subscript"/>
        <sz val="10"/>
        <rFont val="Arial"/>
        <family val="2"/>
      </rPr>
      <t>3</t>
    </r>
    <r>
      <rPr>
        <sz val="10"/>
        <rFont val="Arial"/>
        <family val="2"/>
      </rPr>
      <t>F</t>
    </r>
    <r>
      <rPr>
        <vertAlign val="subscript"/>
        <sz val="10"/>
        <rFont val="Arial"/>
        <family val="2"/>
      </rPr>
      <t>8</t>
    </r>
  </si>
  <si>
    <t>PFC-318</t>
  </si>
  <si>
    <r>
      <t>c-C</t>
    </r>
    <r>
      <rPr>
        <vertAlign val="subscript"/>
        <sz val="10"/>
        <rFont val="Arial"/>
        <family val="2"/>
      </rPr>
      <t>4</t>
    </r>
    <r>
      <rPr>
        <sz val="10"/>
        <rFont val="Arial"/>
        <family val="2"/>
      </rPr>
      <t>F</t>
    </r>
    <r>
      <rPr>
        <vertAlign val="subscript"/>
        <sz val="10"/>
        <rFont val="Arial"/>
        <family val="2"/>
      </rPr>
      <t>8</t>
    </r>
  </si>
  <si>
    <t>PFC-31-10</t>
  </si>
  <si>
    <r>
      <t>C</t>
    </r>
    <r>
      <rPr>
        <vertAlign val="subscript"/>
        <sz val="10"/>
        <rFont val="Arial"/>
        <family val="2"/>
      </rPr>
      <t>4</t>
    </r>
    <r>
      <rPr>
        <sz val="10"/>
        <rFont val="Arial"/>
        <family val="2"/>
      </rPr>
      <t>F</t>
    </r>
    <r>
      <rPr>
        <vertAlign val="subscript"/>
        <sz val="10"/>
        <rFont val="Arial"/>
        <family val="2"/>
      </rPr>
      <t>10</t>
    </r>
  </si>
  <si>
    <t>PFC-41-12</t>
  </si>
  <si>
    <r>
      <t>C</t>
    </r>
    <r>
      <rPr>
        <vertAlign val="subscript"/>
        <sz val="10"/>
        <rFont val="Arial"/>
        <family val="2"/>
      </rPr>
      <t>5</t>
    </r>
    <r>
      <rPr>
        <sz val="10"/>
        <rFont val="Arial"/>
        <family val="2"/>
      </rPr>
      <t>F</t>
    </r>
    <r>
      <rPr>
        <vertAlign val="subscript"/>
        <sz val="10"/>
        <rFont val="Arial"/>
        <family val="2"/>
      </rPr>
      <t>12</t>
    </r>
  </si>
  <si>
    <t>PFC-51-14</t>
  </si>
  <si>
    <r>
      <t>C</t>
    </r>
    <r>
      <rPr>
        <vertAlign val="subscript"/>
        <sz val="10"/>
        <rFont val="Arial"/>
        <family val="2"/>
      </rPr>
      <t>6</t>
    </r>
    <r>
      <rPr>
        <sz val="10"/>
        <rFont val="Arial"/>
        <family val="2"/>
      </rPr>
      <t>F</t>
    </r>
    <r>
      <rPr>
        <vertAlign val="subscript"/>
        <sz val="10"/>
        <rFont val="Arial"/>
        <family val="2"/>
      </rPr>
      <t>14</t>
    </r>
  </si>
  <si>
    <t>PFC-91-18</t>
  </si>
  <si>
    <r>
      <t>C</t>
    </r>
    <r>
      <rPr>
        <vertAlign val="subscript"/>
        <sz val="10"/>
        <rFont val="Arial"/>
        <family val="2"/>
      </rPr>
      <t>10</t>
    </r>
    <r>
      <rPr>
        <sz val="10"/>
        <rFont val="Arial"/>
        <family val="2"/>
      </rPr>
      <t>F</t>
    </r>
    <r>
      <rPr>
        <vertAlign val="subscript"/>
        <sz val="10"/>
        <rFont val="Arial"/>
        <family val="2"/>
      </rPr>
      <t>18</t>
    </r>
  </si>
  <si>
    <r>
      <rPr>
        <b/>
        <sz val="9"/>
        <rFont val="Arial"/>
        <family val="2"/>
      </rPr>
      <t>Source:</t>
    </r>
    <r>
      <rPr>
        <sz val="9"/>
        <rFont val="Arial"/>
        <family val="2"/>
      </rPr>
      <t xml:space="preserve"> 
100-year GWP values from IPCC Fifth Assessment Report (AR5), 2013. Chapter 8, Table 8.A.1, Lifetimes, Radiative Efficiencies and Metric Values.
IPCC AR5 was published in 2013 and is among the most current and comprehensive peer-reviewed assessments of climate change. AR5 provides revised GWP values of several GHGs relative to the values provided in previous assessment reports, following advances in scientific knowledge on the radiative efficiencies and atmospheric lifetimes of these GHGs. </t>
    </r>
  </si>
  <si>
    <t>Table 12</t>
  </si>
  <si>
    <t>Global Warming Potential (GWP) for Blended Refrigerants</t>
  </si>
  <si>
    <t>ASHRAE #</t>
  </si>
  <si>
    <t>100-year GWP</t>
  </si>
  <si>
    <t>Blend Composition</t>
  </si>
  <si>
    <t>R-401A</t>
  </si>
  <si>
    <t>53% HCFC-22 , 34% HCFC-124 , 13% HFC-152a</t>
  </si>
  <si>
    <t>R-401B</t>
  </si>
  <si>
    <t>61% HCFC-22 , 28% HCFC-124 , 11% HFC-152a</t>
  </si>
  <si>
    <t>R-401C</t>
  </si>
  <si>
    <t>33% HCFC-22 , 52% HCFC-124 , 15% HFC-152a</t>
  </si>
  <si>
    <t>R-402A</t>
  </si>
  <si>
    <t>38% HCFC-22 , 60% HFC-125 , 2% propane</t>
  </si>
  <si>
    <t>R-402B</t>
  </si>
  <si>
    <t>60% HCFC-22 , 38% HFC-125 , 2% propane</t>
  </si>
  <si>
    <t>R-403B</t>
  </si>
  <si>
    <t>56% HCFC-22 , 39% PFC-218 , 5% propane</t>
  </si>
  <si>
    <t>R-404A</t>
  </si>
  <si>
    <t>44% HFC-125 , 4% HFC-134a , 52% HFC-143a</t>
  </si>
  <si>
    <t>R-406A</t>
  </si>
  <si>
    <t>55% HCFC-22 , 41% HCFC-142b , 4% isobutane</t>
  </si>
  <si>
    <t>R-407A</t>
  </si>
  <si>
    <t>20% HFC-32 , 40% HFC-125 , 40% HFC-134a</t>
  </si>
  <si>
    <t>R-407B</t>
  </si>
  <si>
    <t>10% HFC-32 , 70% HFC-125 , 20% HFC-134a</t>
  </si>
  <si>
    <t>R-407C</t>
  </si>
  <si>
    <t>23% HFC-32 , 25% HFC-125 , 52% HFC-134a</t>
  </si>
  <si>
    <t>R-407D</t>
  </si>
  <si>
    <t>15% HFC-32 , 15% HFC-125 , 70% HFC-134a</t>
  </si>
  <si>
    <t>R-408A</t>
  </si>
  <si>
    <t>47% HCFC-22 , 7% HFC-125 , 46% HFC-143a</t>
  </si>
  <si>
    <t>R-409A</t>
  </si>
  <si>
    <t>60% HCFC-22 , 25% HCFC-124 , 15% HCFC-142b</t>
  </si>
  <si>
    <t>R-410A</t>
  </si>
  <si>
    <t>50% HFC-32 , 50% HFC-125</t>
  </si>
  <si>
    <t>R-410B</t>
  </si>
  <si>
    <t>45% HFC-32 , 55% HFC-125</t>
  </si>
  <si>
    <t>R-411A</t>
  </si>
  <si>
    <t>87.5% HCFC-22 , 11% HFC-152a , 1.5% propylene</t>
  </si>
  <si>
    <t>R-411B</t>
  </si>
  <si>
    <t>94% HCFC-22 , 3% HFC-152a , 3% propylene</t>
  </si>
  <si>
    <t>R-414A</t>
  </si>
  <si>
    <t>51% HCFC-22 , 28.5% HCFC-124 , 16.5% HCFC-142b , 4% isobutane</t>
  </si>
  <si>
    <t>R-414B</t>
  </si>
  <si>
    <t>50% HCFC-22 , 39% HCFC-124 , 9.5% HCFC-142b , 1.5% isobutane</t>
  </si>
  <si>
    <t>R-417A</t>
  </si>
  <si>
    <t>46.6% HFC-125 , 50% HFC-134a , 3.4% butane</t>
  </si>
  <si>
    <t>R-422A</t>
  </si>
  <si>
    <t>85.1% HFC-125 , 11.5% HFC-134a , 3.4% isobutane</t>
  </si>
  <si>
    <t>R-422D</t>
  </si>
  <si>
    <t>65.1% HFC-125 , 31.5% HFC-134a , 3.4% isobutane</t>
  </si>
  <si>
    <t>R-424A</t>
  </si>
  <si>
    <t>50.5% HFC-125 , 47% HFC-134a , 1% butane , 0.9% isobutane , 0.6% isopentane</t>
  </si>
  <si>
    <t>R-426A</t>
  </si>
  <si>
    <t>5.1% HFC-125 , 93% HFC-134a , 1.3% butane , 0.6% isobutane</t>
  </si>
  <si>
    <t>R-428A</t>
  </si>
  <si>
    <t>77.5% HFC-125 , 20% HFC-143a , 1.9% isobutane , 0.6% propane</t>
  </si>
  <si>
    <t>R-434A</t>
  </si>
  <si>
    <t>63.2% HFC-125 , 16% HFC-134a , 18% HFC-143a , 2.8% isobutane</t>
  </si>
  <si>
    <r>
      <rPr>
        <sz val="10"/>
        <rFont val="Arial"/>
        <family val="2"/>
      </rPr>
      <t>R-507</t>
    </r>
    <r>
      <rPr>
        <sz val="10"/>
        <color rgb="FF0070C0"/>
        <rFont val="Arial"/>
        <family val="2"/>
      </rPr>
      <t>A</t>
    </r>
  </si>
  <si>
    <t>50% HFC-125 , 50% HFC-143a</t>
  </si>
  <si>
    <t>R-508A</t>
  </si>
  <si>
    <t>39% HFC-23 , 61% PFC-116</t>
  </si>
  <si>
    <t>R-508B</t>
  </si>
  <si>
    <t>46% HFC-23 , 54% PFC-116</t>
  </si>
  <si>
    <r>
      <rPr>
        <b/>
        <sz val="9"/>
        <rFont val="Arial"/>
        <family val="2"/>
      </rPr>
      <t>Source:</t>
    </r>
    <r>
      <rPr>
        <sz val="9"/>
        <rFont val="Arial"/>
        <family val="2"/>
      </rPr>
      <t xml:space="preserve"> 
100-year GWP values from IPCC Fifth Assessment Report (AR5), 2013. Chapter 8, Table 8.A.1, Lifetimes, Radiative Efficiencies and Metric Values.
GWP values of blended refrigerants are based only on their HFC and PFC constituents, which are based on data from https://www.epa.gov/snap/compositions-refrigerant-blends.</t>
    </r>
  </si>
  <si>
    <t>China Electricity Grid Emissions Factors and Fuel Price Data</t>
  </si>
  <si>
    <t>Source: 14</t>
  </si>
  <si>
    <t>Original data table</t>
  </si>
  <si>
    <t xml:space="preserve">Emission factor for grid electricity in China – Baseline scenario </t>
  </si>
  <si>
    <t xml:space="preserve">kgCO2/MWh </t>
  </si>
  <si>
    <t xml:space="preserve">Emission factor for grid electricity in China – Ambitious scenario </t>
  </si>
  <si>
    <t xml:space="preserve">Average unit price of electricity for industry in China </t>
  </si>
  <si>
    <t xml:space="preserve">2021 US$/kWh </t>
  </si>
  <si>
    <t xml:space="preserve">Average unit price of natural gas for industry in China </t>
  </si>
  <si>
    <t xml:space="preserve">Average unit price of coke and coal for industry in China </t>
  </si>
  <si>
    <t xml:space="preserve">Average unit price of LPG and fuels for industry in China </t>
  </si>
  <si>
    <t>Converting to Million $ / PJ</t>
  </si>
  <si>
    <t>Billion 2021 US$ / PJ</t>
  </si>
  <si>
    <t>Reformatting to fit World Bank paper fuel types and graph categories</t>
  </si>
  <si>
    <t>2021 Actual</t>
  </si>
  <si>
    <t>2050 Natural Demand Changes</t>
  </si>
  <si>
    <t>After Efficiency and Longevity</t>
  </si>
  <si>
    <t>After Electrification, H2, and CCS</t>
  </si>
  <si>
    <t>Calculations for Purchased Heat (Steam)</t>
  </si>
  <si>
    <t>kPaG</t>
  </si>
  <si>
    <t xml:space="preserve">saturated </t>
  </si>
  <si>
    <t>BTU/lbm</t>
  </si>
  <si>
    <t>based on changing from saturated steam to saturated condensate at the pressure noted</t>
  </si>
  <si>
    <t>GJ/lbm</t>
  </si>
  <si>
    <t>GJ/tonne</t>
  </si>
  <si>
    <t>City</t>
  </si>
  <si>
    <t>Province</t>
  </si>
  <si>
    <t>Price (Low)</t>
  </si>
  <si>
    <t>Price (High)</t>
  </si>
  <si>
    <t>Date</t>
  </si>
  <si>
    <t>Lanxi</t>
  </si>
  <si>
    <t xml:space="preserve">Zhejiang </t>
  </si>
  <si>
    <t>Yuan/tonne</t>
  </si>
  <si>
    <t xml:space="preserve">Suzhou </t>
  </si>
  <si>
    <t xml:space="preserve">Jiangsu </t>
  </si>
  <si>
    <t>(before being adjusted to 300yuan/t)</t>
  </si>
  <si>
    <t>Nangang Industrial Park</t>
  </si>
  <si>
    <t>Tianjin</t>
  </si>
  <si>
    <t>1.0 Mpa</t>
  </si>
  <si>
    <t>3.5 Mpa</t>
  </si>
  <si>
    <t>Jinan (coal-based)</t>
  </si>
  <si>
    <t>Shandong</t>
  </si>
  <si>
    <t>Factory price</t>
  </si>
  <si>
    <t>Base sales price</t>
  </si>
  <si>
    <t>Jinan (NG-based)</t>
  </si>
  <si>
    <t>Zaozhuang</t>
  </si>
  <si>
    <t>Sales price</t>
  </si>
  <si>
    <t>Huainan</t>
  </si>
  <si>
    <t>Anhui</t>
  </si>
  <si>
    <t>Yixing (coal-based)</t>
  </si>
  <si>
    <t>Yixing (NG-based)</t>
  </si>
  <si>
    <t>Average (coal)</t>
  </si>
  <si>
    <t>Yuan/GJ</t>
  </si>
  <si>
    <t>Average (NG)</t>
  </si>
  <si>
    <t>Coal-based steam price (average) converted to USD</t>
  </si>
  <si>
    <t>USD/GJ</t>
  </si>
  <si>
    <t>USD/PJ</t>
  </si>
  <si>
    <t>Alternative Data Source for Steam Price in Large Regions in China (not used)</t>
  </si>
  <si>
    <t>Region</t>
  </si>
  <si>
    <t>Price</t>
  </si>
  <si>
    <t>Northern China:</t>
  </si>
  <si>
    <t>100-240</t>
  </si>
  <si>
    <t>Yuan/ton</t>
  </si>
  <si>
    <t>Southern China</t>
  </si>
  <si>
    <t>Source: 69</t>
  </si>
  <si>
    <t>Figure 8.1 (page 77) shows very high expected product demand growth for each subindustry in the baseline scenario (BSL).</t>
  </si>
  <si>
    <t>Growth factor (2022-2050)</t>
  </si>
  <si>
    <t>Percent Increase (2022-2050)</t>
  </si>
  <si>
    <t>Other chemicals</t>
  </si>
  <si>
    <t>Pulp and paper</t>
  </si>
  <si>
    <t>Ammonia</t>
  </si>
  <si>
    <t>Extractive</t>
  </si>
  <si>
    <t>Glass, ceramic</t>
  </si>
  <si>
    <t>Textile</t>
  </si>
  <si>
    <t>Motor vehicles</t>
  </si>
  <si>
    <t>Other industries</t>
  </si>
  <si>
    <t>Wood products</t>
  </si>
  <si>
    <t>Weighted average</t>
  </si>
  <si>
    <t>Hovever, figure 8.2 shows industrial energy demand growing much less in the baseline scenario (BSL):</t>
  </si>
  <si>
    <t>2022-2050 growth</t>
  </si>
  <si>
    <t>Therefore, there must be significant improvement in energy efficiency built into the BSL scenario, even</t>
  </si>
  <si>
    <t>though the report says it only includes policies already on the books.</t>
  </si>
  <si>
    <t>The product demand projection is based on a 6-7% annual GDP growth rate, which in practice is very unlikely to be</t>
  </si>
  <si>
    <t>sustained over almost 30 years.  We assess the energy demand projection to be more suitable for this</t>
  </si>
  <si>
    <t>analysis than the product demand increase projection for use as our anticipated natural change in energy demand by subindustry.</t>
  </si>
  <si>
    <t>The source report doesn't break out projected energy growth by subindustry, so we estimate it from the size of each</t>
  </si>
  <si>
    <t>subindustry's energy consumption today, the relative expected growth in that subindustry, and the overall energy demand growth, as follows:</t>
  </si>
  <si>
    <t>2022 energy demand (PJ)</t>
  </si>
  <si>
    <t>Product demand growth from above (closest match)</t>
  </si>
  <si>
    <t>2050 demand before adjustment (PJ)</t>
  </si>
  <si>
    <t>2050 demand after adjustment (PJ)</t>
  </si>
  <si>
    <t>Product demand growth</t>
  </si>
  <si>
    <t>Target new total</t>
  </si>
  <si>
    <t>Energy Efficiency Potential</t>
  </si>
  <si>
    <t>Source: 40</t>
  </si>
  <si>
    <t>English translated versions</t>
  </si>
  <si>
    <t>Vietnamese (original) versions</t>
  </si>
  <si>
    <t>Source: 66</t>
  </si>
  <si>
    <t>Units: USD/GJ</t>
  </si>
  <si>
    <t>Non-electricity data from pages 40-41</t>
  </si>
  <si>
    <t>Dom. Coal (4b-5)</t>
  </si>
  <si>
    <t>Dom. Coal CCS (4b-5)</t>
  </si>
  <si>
    <t>Dom. Coal (6)</t>
  </si>
  <si>
    <t>Dom. Coal CCS (6)</t>
  </si>
  <si>
    <t>Dom. Coal (7)</t>
  </si>
  <si>
    <t>Imp. coal</t>
  </si>
  <si>
    <t>Imp coal CCS</t>
  </si>
  <si>
    <t>NG (East)</t>
  </si>
  <si>
    <t>NG (West)</t>
  </si>
  <si>
    <t>NG (Block B)</t>
  </si>
  <si>
    <t>NG (CVX)</t>
  </si>
  <si>
    <t>NG (Ken Bau)</t>
  </si>
  <si>
    <t>LNG (CCS)</t>
  </si>
  <si>
    <t>Biogas</t>
  </si>
  <si>
    <t>Non-wood biomass</t>
  </si>
  <si>
    <t>Diesel and Uranium</t>
  </si>
  <si>
    <t>Fuel oil</t>
  </si>
  <si>
    <t>Light oil</t>
  </si>
  <si>
    <t>Electricity data from page 95</t>
  </si>
  <si>
    <t>Average electricity production cost</t>
  </si>
  <si>
    <t>cents / kWh</t>
  </si>
  <si>
    <t>cents / PJ</t>
  </si>
  <si>
    <t>billion cents / PJ</t>
  </si>
  <si>
    <t>Electricity Prices for Industrial Buyers</t>
  </si>
  <si>
    <t>Source: 68</t>
  </si>
  <si>
    <t>Tariff Number</t>
  </si>
  <si>
    <t>Power Limit</t>
  </si>
  <si>
    <t>Cost (Rp/kWh)</t>
  </si>
  <si>
    <t>900 VA</t>
  </si>
  <si>
    <t>1300 VA</t>
  </si>
  <si>
    <t>2200 VA</t>
  </si>
  <si>
    <t>2500 to 5500 VA</t>
  </si>
  <si>
    <t>6600 VA and above</t>
  </si>
  <si>
    <t>6600 VA to 200 kVA</t>
  </si>
  <si>
    <t>above 200 kVA</t>
  </si>
  <si>
    <t>30,000 kVA and above</t>
  </si>
  <si>
    <t>n/a</t>
  </si>
  <si>
    <t>Rp / kWh</t>
  </si>
  <si>
    <t>2022 Avg. Exchange Rate</t>
  </si>
  <si>
    <t>USD / Rp</t>
  </si>
  <si>
    <t>https://www.exchange-rates.org/exchange-rate-history/idr-usd-2022</t>
  </si>
  <si>
    <t>Electricity price</t>
  </si>
  <si>
    <t>USD / PJ</t>
  </si>
  <si>
    <t>https://www.163.com/dy/article/GPHTUIBD0530X1RU.html</t>
  </si>
  <si>
    <t>Source: 5</t>
  </si>
  <si>
    <t>Time (Year)</t>
  </si>
  <si>
    <t>Industrial Fuel Use for Non Energy Purposes[chemicals 20,electricity if] : MostRecentRun</t>
  </si>
  <si>
    <t>Industrial Fuel Use for Non Energy Purposes[chemicals 20,hard coal if] : MostRecentRun</t>
  </si>
  <si>
    <t>Industrial Fuel Use for Non Energy Purposes[chemicals 20,natural gas if] : MostRecentRun</t>
  </si>
  <si>
    <t>Industrial Fuel Use for Non Energy Purposes[chemicals 20,biomass if] : MostRecentRun</t>
  </si>
  <si>
    <t>Industrial Fuel Use for Non Energy Purposes[chemicals 20,petroleum diesel if] : MostRecentRun</t>
  </si>
  <si>
    <t>Industrial Fuel Use for Non Energy Purposes[chemicals 20,heat if] : MostRecentRun</t>
  </si>
  <si>
    <t>Industrial Fuel Use for Non Energy Purposes[chemicals 20,crude oil if] : MostRecentRun</t>
  </si>
  <si>
    <t>Industrial Fuel Use for Non Energy Purposes[chemicals 20,heavy or residual fuel oil if] : MostRecentRun</t>
  </si>
  <si>
    <t>Industrial Fuel Use for Non Energy Purposes[chemicals 20,LPG propane or butane if] : MostRecentRun</t>
  </si>
  <si>
    <t>Industrial Fuel Use for Non Energy Purposes[chemicals 20,hydrogen if] : MostRecentRun</t>
  </si>
  <si>
    <t>2022 Electricity Demand</t>
  </si>
  <si>
    <t>Source: 1</t>
  </si>
  <si>
    <t>2022 elec demand - manufacturing</t>
  </si>
  <si>
    <t>10^8 kWh</t>
  </si>
  <si>
    <t>2022 elec demand - rest of industry</t>
  </si>
  <si>
    <t>Includes mining/drilling and supply of electricity, gas, and water</t>
  </si>
  <si>
    <t>2022 elec demand - rest of economy</t>
  </si>
  <si>
    <t>2022 elec demand - total</t>
  </si>
  <si>
    <t>Convert to TWh</t>
  </si>
  <si>
    <r>
      <rPr>
        <b/>
        <sz val="11"/>
        <color theme="1"/>
        <rFont val="Aptos Narrow"/>
        <family val="2"/>
        <scheme val="minor"/>
      </rPr>
      <t>With "China" selected in the "Graphs" tab</t>
    </r>
    <r>
      <rPr>
        <sz val="11"/>
        <color theme="1"/>
        <rFont val="Aptos Narrow"/>
        <family val="2"/>
        <scheme val="minor"/>
      </rPr>
      <t>, this value should be close to our calculated value of:</t>
    </r>
  </si>
  <si>
    <t>2024 Electricity Demand</t>
  </si>
  <si>
    <t>Source: 81</t>
  </si>
  <si>
    <t>2024 elec demand - primary industry</t>
  </si>
  <si>
    <t>2024 elec demand - secondary industry</t>
  </si>
  <si>
    <t>We assume this maps onto CESY "Industry" category</t>
  </si>
  <si>
    <t>2024 elec demand - tertiary industry</t>
  </si>
  <si>
    <t>2024 elec demand - buildings</t>
  </si>
  <si>
    <t>2024 elec demand - total</t>
  </si>
  <si>
    <t>2050 Electricity Demand</t>
  </si>
  <si>
    <t>Source: 82</t>
  </si>
  <si>
    <t>Here we use World Bank's own projection</t>
  </si>
  <si>
    <t>2060 elec demand - total</t>
  </si>
  <si>
    <t>2050 elec demand - total, interpolated</t>
  </si>
  <si>
    <t>% growth from 2024 - 2050</t>
  </si>
  <si>
    <t>Percent Growth by Specified Years</t>
  </si>
  <si>
    <t>baseline</t>
  </si>
  <si>
    <t>We calculate manufacturing electricity demand ourselves in this model.</t>
  </si>
  <si>
    <t>Therefore, we apply the growth rate to the rest of the economy's electricity demand (including non-manufacturing industry)</t>
  </si>
  <si>
    <t>manufacturing, 2022</t>
  </si>
  <si>
    <t>manufacturing, 2025</t>
  </si>
  <si>
    <t>manufacturing, 2030</t>
  </si>
  <si>
    <t>manufacturing, 2035</t>
  </si>
  <si>
    <t>manufacturing, 2040</t>
  </si>
  <si>
    <t>manufacturing, 2045</t>
  </si>
  <si>
    <t>manufacturing, 2050</t>
  </si>
  <si>
    <t>Source: 71</t>
  </si>
  <si>
    <t>interpolated/extrapolated</t>
  </si>
  <si>
    <t>households</t>
  </si>
  <si>
    <t>businesses (commercial buildings)</t>
  </si>
  <si>
    <t>public services</t>
  </si>
  <si>
    <t>industry</t>
  </si>
  <si>
    <t>transportation (electric vehicles)</t>
  </si>
  <si>
    <t>Whole economy</t>
  </si>
  <si>
    <t>Industry sector</t>
  </si>
  <si>
    <t>However, we want to isolate manufacturing from non-manufacturing activities.</t>
  </si>
  <si>
    <t>We use an assumption consistent with that used on the "Indonesia Energy Use" tab - see that tab for details.</t>
  </si>
  <si>
    <t>Manufacturing share of industry</t>
  </si>
  <si>
    <t>Alternative source (not used) below</t>
  </si>
  <si>
    <t>Pacific Northwest National Laboratory (PNNL)</t>
  </si>
  <si>
    <t>GCAM 7.1</t>
  </si>
  <si>
    <t>https://github.com/JGCRI/gcam-core</t>
  </si>
  <si>
    <t>Referecne scenario, queries/energy/energy transformation/electricity/elec consumption by demand sector</t>
  </si>
  <si>
    <t>Input</t>
  </si>
  <si>
    <t>Included in industrial sector</t>
  </si>
  <si>
    <t>Reference,date=2025-13-3T13:09:47-07:00</t>
  </si>
  <si>
    <t>elect_td_bld</t>
  </si>
  <si>
    <t>comm cooling</t>
  </si>
  <si>
    <t>comm others</t>
  </si>
  <si>
    <t>municipal wastewater treatment</t>
  </si>
  <si>
    <t>municipal water abstraction</t>
  </si>
  <si>
    <t>municipal water distribution</t>
  </si>
  <si>
    <t>municipal water treatment</t>
  </si>
  <si>
    <t>resid cooling modern_d1</t>
  </si>
  <si>
    <t>resid cooling modern_d10</t>
  </si>
  <si>
    <t>resid cooling modern_d2</t>
  </si>
  <si>
    <t>resid cooling modern_d3</t>
  </si>
  <si>
    <t>resid cooling modern_d4</t>
  </si>
  <si>
    <t>resid cooling modern_d5</t>
  </si>
  <si>
    <t>resid cooling modern_d6</t>
  </si>
  <si>
    <t>resid cooling modern_d7</t>
  </si>
  <si>
    <t>resid cooling modern_d8</t>
  </si>
  <si>
    <t>resid cooling modern_d9</t>
  </si>
  <si>
    <t>resid others modern_d1</t>
  </si>
  <si>
    <t>resid others modern_d10</t>
  </si>
  <si>
    <t>resid others modern_d2</t>
  </si>
  <si>
    <t>resid others modern_d3</t>
  </si>
  <si>
    <t>resid others modern_d4</t>
  </si>
  <si>
    <t>resid others modern_d5</t>
  </si>
  <si>
    <t>resid others modern_d6</t>
  </si>
  <si>
    <t>resid others modern_d7</t>
  </si>
  <si>
    <t>resid others modern_d8</t>
  </si>
  <si>
    <t>resid others modern_d9</t>
  </si>
  <si>
    <t>elect_td_ind</t>
  </si>
  <si>
    <t>H2 central production</t>
  </si>
  <si>
    <t>H2 industrial</t>
  </si>
  <si>
    <t>H2 liquid truck</t>
  </si>
  <si>
    <t>H2 pipeline</t>
  </si>
  <si>
    <t>agricultural energy use</t>
  </si>
  <si>
    <t>aluminum</t>
  </si>
  <si>
    <t>cement</t>
  </si>
  <si>
    <t>construction energy use</t>
  </si>
  <si>
    <t>desalinated water</t>
  </si>
  <si>
    <t>food processing</t>
  </si>
  <si>
    <t>industrial wastewater treatment</t>
  </si>
  <si>
    <t>industrial water abstraction</t>
  </si>
  <si>
    <t>industrial water treatment</t>
  </si>
  <si>
    <t>iron and steel</t>
  </si>
  <si>
    <t>irrigation water abstraction</t>
  </si>
  <si>
    <t>mining energy use</t>
  </si>
  <si>
    <t>other industrial energy use</t>
  </si>
  <si>
    <t>process heat food processing</t>
  </si>
  <si>
    <t>process heat paper</t>
  </si>
  <si>
    <t>refining</t>
  </si>
  <si>
    <t>elect_td_trn</t>
  </si>
  <si>
    <t>H2 wholesale dispensing</t>
  </si>
  <si>
    <t>trn_aviation_intl</t>
  </si>
  <si>
    <t>trn_freight</t>
  </si>
  <si>
    <t>trn_freight_road</t>
  </si>
  <si>
    <t>trn_pass</t>
  </si>
  <si>
    <t>trn_pass_road</t>
  </si>
  <si>
    <t>trn_pass_road_LDV</t>
  </si>
  <si>
    <t>trn_pass_road_LDV_4W</t>
  </si>
  <si>
    <t>trn_shipping_intl</t>
  </si>
  <si>
    <t>Total (EJ)</t>
  </si>
  <si>
    <t>Total (TWh)</t>
  </si>
  <si>
    <t>Industry sector total (EJ)</t>
  </si>
  <si>
    <t>Total demand</t>
  </si>
  <si>
    <t>Indst sector demand</t>
  </si>
  <si>
    <t>Historical electricity generation in 2022</t>
  </si>
  <si>
    <t>Source: 78</t>
  </si>
  <si>
    <t>Unit: GWh</t>
  </si>
  <si>
    <t>2022 generation</t>
  </si>
  <si>
    <t>Share excl. imports</t>
  </si>
  <si>
    <t>Hydroelectricity</t>
  </si>
  <si>
    <t>Coal-fired thermal power</t>
  </si>
  <si>
    <t>Gas turbine</t>
  </si>
  <si>
    <t>Oil thermal power</t>
  </si>
  <si>
    <t>Electricity imports</t>
  </si>
  <si>
    <t>Renewable energy</t>
  </si>
  <si>
    <t>Wind power</t>
  </si>
  <si>
    <t>Solar power</t>
  </si>
  <si>
    <t>Other sources</t>
  </si>
  <si>
    <t>This may include non-biomass bioenergy such as biogas, RNG, black liquor, etc.; municipal solid waste, and other sources.</t>
  </si>
  <si>
    <t>TOTAL</t>
  </si>
  <si>
    <t>Mapped onto categories used in this analysis</t>
  </si>
  <si>
    <t>We assign "other sources" to "other renewables" since the other sources may be largely bioenergy, and MSW is often grouped with bioenergy when data are reported, even though MSW is not technically renewable. The percentage here is quite small, so it makes little difference.</t>
  </si>
  <si>
    <t>Projections of Electricity Demand Through 2050</t>
  </si>
  <si>
    <t>Total Demand</t>
  </si>
  <si>
    <t>Industrial share</t>
  </si>
  <si>
    <t>Industrial demand</t>
  </si>
  <si>
    <t>Baseline Scenario (BSL)</t>
  </si>
  <si>
    <t>Electricity Emissions Intensity by Plant Type</t>
  </si>
  <si>
    <t>Source: 77</t>
  </si>
  <si>
    <t>2022 gen (MWh)</t>
  </si>
  <si>
    <t>Emission (tCO2)</t>
  </si>
  <si>
    <t>2022 gen (PJ)</t>
  </si>
  <si>
    <t>Emissions (MMT CO2)</t>
  </si>
  <si>
    <t>Intensity (MMT CO2 / PJ)</t>
  </si>
  <si>
    <t>Gas turbine thermal power</t>
  </si>
  <si>
    <t>Oil-fired thermal power</t>
  </si>
  <si>
    <t>Diesel oil-fired thermal power</t>
  </si>
  <si>
    <t>Petroleum (total)</t>
  </si>
  <si>
    <t>Indonesia Energy Use Excluding Chemical Feedstocks</t>
  </si>
  <si>
    <t>Source: 50</t>
  </si>
  <si>
    <t>2022 Energy Use Data from BPS-Statistics Indonesia (Heterogenous Units)</t>
  </si>
  <si>
    <t>KBLI Code</t>
  </si>
  <si>
    <t>Purchased Electricity (kWh)</t>
  </si>
  <si>
    <t>Gasoline (Liter)</t>
  </si>
  <si>
    <t>Diesel Fuel (Liter)</t>
  </si>
  <si>
    <t>Industrial Diesel Oil (Liter)</t>
  </si>
  <si>
    <t>Bio Solar / Bio-Diesel (Liter)</t>
  </si>
  <si>
    <t>Coal (Ton)</t>
  </si>
  <si>
    <t>Coke and Coal Briquettes (kg)</t>
  </si>
  <si>
    <t>Natural Gas (MMBtu)</t>
  </si>
  <si>
    <t>Fuel Oil (Liter)</t>
  </si>
  <si>
    <t>Liquid Petroleum Gas (kg)</t>
  </si>
  <si>
    <t>Biomass (ton)</t>
  </si>
  <si>
    <t>Lubricant Oil (Liter)</t>
  </si>
  <si>
    <t>Food Products</t>
  </si>
  <si>
    <t>Beverage</t>
  </si>
  <si>
    <t>Tobacco</t>
  </si>
  <si>
    <t>Wearing Apparel</t>
  </si>
  <si>
    <t>Leather and Related Products</t>
  </si>
  <si>
    <t>Wood, wood and cork products (except furniture), articles of straw and plaiting materials</t>
  </si>
  <si>
    <t>Paper and paper products</t>
  </si>
  <si>
    <t>Printing and recorded media</t>
  </si>
  <si>
    <t>Coke and refined petroleum products</t>
  </si>
  <si>
    <t>Chemicals and chemical products</t>
  </si>
  <si>
    <t>Pharmaceuticals, medicinal chemical and botanical products</t>
  </si>
  <si>
    <t>Rubber and plastics products</t>
  </si>
  <si>
    <t>Other non-metallic mineral products</t>
  </si>
  <si>
    <t>Basic metals</t>
  </si>
  <si>
    <t>Manufacture of basic iron and steel</t>
  </si>
  <si>
    <t>Manufacture of basic precious and other non-ferrous metals</t>
  </si>
  <si>
    <t>Casting of iron and steel</t>
  </si>
  <si>
    <t>Casting of nonferrous metals</t>
  </si>
  <si>
    <t>Fabricated metal products, except machinery and equipment</t>
  </si>
  <si>
    <t>Computer, electronic, and optical products</t>
  </si>
  <si>
    <t>Electrical equipment</t>
  </si>
  <si>
    <t>Machinery and equipment not elsewhere classified</t>
  </si>
  <si>
    <t>Motor vehicles, trailer, and semi-trailers</t>
  </si>
  <si>
    <t>Transport equipment</t>
  </si>
  <si>
    <t>Furniture</t>
  </si>
  <si>
    <t>Repair and installation of machinery and equipment</t>
  </si>
  <si>
    <t>Total as reported in tables</t>
  </si>
  <si>
    <t>Calculated total from KBLI codes</t>
  </si>
  <si>
    <t>Difference</t>
  </si>
  <si>
    <t>Conversion Factors</t>
  </si>
  <si>
    <t>Conversion</t>
  </si>
  <si>
    <t>Conversion Factor</t>
  </si>
  <si>
    <t>Megajoules to Petajoules</t>
  </si>
  <si>
    <t>PJ/MJ</t>
  </si>
  <si>
    <t>Kilogram to metric ton</t>
  </si>
  <si>
    <t>kg/t</t>
  </si>
  <si>
    <t>Energy Type</t>
  </si>
  <si>
    <t>Purchased Electricity</t>
  </si>
  <si>
    <t>PJ/kWh</t>
  </si>
  <si>
    <t>EIA</t>
  </si>
  <si>
    <t>PJ/l</t>
  </si>
  <si>
    <t>Industrial Diesel Oil</t>
  </si>
  <si>
    <t>Assumed to be equal to the conversion factor for diesel fuel.</t>
  </si>
  <si>
    <t>Bio Solar / Bio Diesel</t>
  </si>
  <si>
    <t>SEAI</t>
  </si>
  <si>
    <t>"Bio Solar/Bio Diesel" refers to a blend of biodiesel and petroleum diesel (currently ~30%/70%), so this reflects the average diesel-biofuel blend in 2023.</t>
  </si>
  <si>
    <t>PJ/t</t>
  </si>
  <si>
    <t>Coke and Coal Briquettes</t>
  </si>
  <si>
    <t>PJ/kg</t>
  </si>
  <si>
    <t>European Nuclear Society</t>
  </si>
  <si>
    <t>Based on average of the energy contents of hard coal coke and lignite briquette.</t>
  </si>
  <si>
    <t>PJ/MMBtu</t>
  </si>
  <si>
    <t>Liquid Petroleum Gas</t>
  </si>
  <si>
    <t>Based on wood logs and chips (25% moisture content) rather than wood pellets and briquettes.</t>
  </si>
  <si>
    <t>Lubricant Oil</t>
  </si>
  <si>
    <t>Assumed to be equal to the conversion factor for fuel oil.</t>
  </si>
  <si>
    <t>2022 Energy Use Data in Petajoules (PJ)</t>
  </si>
  <si>
    <t xml:space="preserve">Purchased Electricity </t>
  </si>
  <si>
    <t>Bio Solar / Bio-Diesel</t>
  </si>
  <si>
    <t>Mapped industry categories for this analysis</t>
  </si>
  <si>
    <t>Maapped fuel types for this analysis</t>
  </si>
  <si>
    <t>Industry Mapping</t>
  </si>
  <si>
    <t>EARA Categories</t>
  </si>
  <si>
    <t>Relevant KBLI Codes</t>
  </si>
  <si>
    <t>10, 11, 12</t>
  </si>
  <si>
    <t>13, 14, 15</t>
  </si>
  <si>
    <t>16, 31</t>
  </si>
  <si>
    <t>17, 18</t>
  </si>
  <si>
    <t>20, 21</t>
  </si>
  <si>
    <t>23</t>
  </si>
  <si>
    <t>241, 2431</t>
  </si>
  <si>
    <t>242, 2432</t>
  </si>
  <si>
    <t>28</t>
  </si>
  <si>
    <t>29, 30</t>
  </si>
  <si>
    <t>26, 27</t>
  </si>
  <si>
    <t>25</t>
  </si>
  <si>
    <t>32</t>
  </si>
  <si>
    <t>Mapped onto the industries and fuels used in this analysis</t>
  </si>
  <si>
    <t>Data highlighted in red appear questionable. They are possibly wrong in the original source (ref. #50).</t>
  </si>
  <si>
    <t>Electricity multiplier</t>
  </si>
  <si>
    <t>According source #71, Indonesia's industrial electricity demand should be much higher than indicated in source #50.</t>
  </si>
  <si>
    <t>Source #71</t>
  </si>
  <si>
    <t>Source #71, 2022 industrial electricity demand:</t>
  </si>
  <si>
    <t>Source #50, 2022 industrial electricity demand:</t>
  </si>
  <si>
    <t>Part of the difference may amount to the fact that source #50 is giving electricity demand only for manufacturing and source #71 is including the whole industry sector.</t>
  </si>
  <si>
    <t>However, that cannot explain a difference of this size.  Likely, the main problem is that the data in source #50 are wrong and incomplete.</t>
  </si>
  <si>
    <t>Lacking any better data on electricity demand by subindustry, we scale using the following assumptions.</t>
  </si>
  <si>
    <t>based on China data, excludes extractive industries (mining, drilling, etc.)</t>
  </si>
  <si>
    <t>Est. 2022 manufacturing electricity demand</t>
  </si>
  <si>
    <t>Multiplier</t>
  </si>
  <si>
    <t>Check for realism</t>
  </si>
  <si>
    <t>This multiplier makes Indonesia's share of electricity among industrial energy sources:</t>
  </si>
  <si>
    <t>This is similar to the shares in China and Viet Nam:</t>
  </si>
  <si>
    <t>This suggests that the issue with source #50 was not necessarily that all fuels were understated but that electricity use in particular was understated.</t>
  </si>
  <si>
    <t>Therefore, using this multiplier is a good solution.</t>
  </si>
  <si>
    <t>Alternative data source for coal</t>
  </si>
  <si>
    <t>Reference: 51</t>
  </si>
  <si>
    <t>metals</t>
  </si>
  <si>
    <t>tons</t>
  </si>
  <si>
    <t>power plants</t>
  </si>
  <si>
    <t>cement, textiles, and fertilizer</t>
  </si>
  <si>
    <t>pulp &amp; paper</t>
  </si>
  <si>
    <t>briquettes</t>
  </si>
  <si>
    <t>others</t>
  </si>
  <si>
    <t>Metals we allocate to iron and steel vs. nonferrous metals proportionately to the original source (including coke).</t>
  </si>
  <si>
    <t>Iron &amp; steel, coal and coke (summed)</t>
  </si>
  <si>
    <t>Nonferrous metals, coal</t>
  </si>
  <si>
    <t>In iron and steel, coke should be the majority, with roughly 4x as much as coal, based on both China and U.S. examples.</t>
  </si>
  <si>
    <t>Coke share of coke + coal in iron and steel industry</t>
  </si>
  <si>
    <t>Iron &amp; steel, coal</t>
  </si>
  <si>
    <t>Iron &amp; steel, coke</t>
  </si>
  <si>
    <t>For non-metallic minerals:</t>
  </si>
  <si>
    <t>Indonesia's cement production is cited to be around 84 million tons of cement per year.</t>
  </si>
  <si>
    <t>For instance, see https://asianinsiders.com/2023/03/21/cement-is-big-business-in-indonesia/</t>
  </si>
  <si>
    <t>It generally takes about 1 ton of coal to make 5 tons of cement, which would lead us to expect a ballpark</t>
  </si>
  <si>
    <t>figure of around 17 MMT of coal use by the cement industry, +/- a few MMT</t>
  </si>
  <si>
    <t>The entire "cement, textiles, and fertilizer" figure from the table above is only 13 MMT of coal.</t>
  </si>
  <si>
    <t>Therefore, we allocate it all to non-metallic minerals, and even this might be a low (conservative) estimate.</t>
  </si>
  <si>
    <t>We don't alter the amounts for chemicals or textiles from the original source, since we don't have any other</t>
  </si>
  <si>
    <t>breakdown for those subindustries.</t>
  </si>
  <si>
    <t>Combining data from our two Indonesian data sources in a single table:</t>
  </si>
  <si>
    <t>Source: 74</t>
  </si>
  <si>
    <t>Subindustry</t>
  </si>
  <si>
    <t>Asphalt</t>
  </si>
  <si>
    <t>Other oil products</t>
  </si>
  <si>
    <t>1000 tons</t>
  </si>
  <si>
    <t>million m^3</t>
  </si>
  <si>
    <t>Industry total (excl. non-energy)</t>
  </si>
  <si>
    <t>Mining, quarrying, drilling</t>
  </si>
  <si>
    <t>Food, beverage, and tobacco</t>
  </si>
  <si>
    <t>Textiles &amp; leather</t>
  </si>
  <si>
    <t>Wood &amp; wood products</t>
  </si>
  <si>
    <t>Metals &amp; basic metal products</t>
  </si>
  <si>
    <t>Machinery and equipment</t>
  </si>
  <si>
    <t>Non-energy consumption</t>
  </si>
  <si>
    <t>Conversion factors come from Energy Balance Sheet 2022, comparing KTOE and physical quantity versions, from the same source as was used to provide the data in the table above.</t>
  </si>
  <si>
    <t>Conversion factor (KTOE/unit)</t>
  </si>
  <si>
    <t>Assigned WB Report Industry Category</t>
  </si>
  <si>
    <t>excluded</t>
  </si>
  <si>
    <t>Handled specially</t>
  </si>
  <si>
    <t>Mass</t>
  </si>
  <si>
    <t>Input crude oil</t>
  </si>
  <si>
    <t>Gasoline production</t>
  </si>
  <si>
    <t>Jet fuel production</t>
  </si>
  <si>
    <t>Diesel production</t>
  </si>
  <si>
    <t>Fuel oil production</t>
  </si>
  <si>
    <t>LPG production (from refineries)</t>
  </si>
  <si>
    <t>Net petroleum consumption</t>
  </si>
  <si>
    <t>GWh / KTOE</t>
  </si>
  <si>
    <t>GWh</t>
  </si>
  <si>
    <t>Coal mining</t>
  </si>
  <si>
    <t>Oil and gas extraction</t>
  </si>
  <si>
    <t>Uranium &amp; thorium mining</t>
  </si>
  <si>
    <t>Metal ore mining</t>
  </si>
  <si>
    <t>Sand &amp; stone mining</t>
  </si>
  <si>
    <t>Beverages</t>
  </si>
  <si>
    <t>Fiber and textiles</t>
  </si>
  <si>
    <t>Apparel</t>
  </si>
  <si>
    <t>Tanning, leather processing</t>
  </si>
  <si>
    <t>Pulp &amp; paper</t>
  </si>
  <si>
    <t>Publishing &amp; printing</t>
  </si>
  <si>
    <t>Coke &amp; petroleum products</t>
  </si>
  <si>
    <t>Chemicals &amp; fertilizers</t>
  </si>
  <si>
    <t>Rubber &amp; plastic products</t>
  </si>
  <si>
    <t>Metals</t>
  </si>
  <si>
    <t>Handled specially to divide iron &amp; steel from non-metallic minerals</t>
  </si>
  <si>
    <t>Metal products</t>
  </si>
  <si>
    <t>Machinery &amp; equipment</t>
  </si>
  <si>
    <t>Communications equipment</t>
  </si>
  <si>
    <t>Household products</t>
  </si>
  <si>
    <t>Medical &amp; precision instruments</t>
  </si>
  <si>
    <t>Vehicles</t>
  </si>
  <si>
    <t>Scrap recycling</t>
  </si>
  <si>
    <t>We assume all scrap recycling is iron &amp; steel (i.e., disregard any copper, aluminum, etc. scrap recycling)</t>
  </si>
  <si>
    <t>Refining estimate</t>
  </si>
  <si>
    <t>Estimated using ratio of electricity-to-petroleum use in U.S. refineries, applied to petroleum use in Vietnamese refineries</t>
  </si>
  <si>
    <t>Industrial use</t>
  </si>
  <si>
    <t>Rice husks</t>
  </si>
  <si>
    <t>Charcoal</t>
  </si>
  <si>
    <t>Byproducts &amp; other</t>
  </si>
  <si>
    <t>We don't have explicit bioenergy division by subindustry, so we use bioenergy per unit electricity use intensities from the U.S. (which has the most reliable dataset) to divide up the industrial bioenergy use by subindustry</t>
  </si>
  <si>
    <t>Bio to Elec Ratio</t>
  </si>
  <si>
    <t>Implied VT bioenergy use</t>
  </si>
  <si>
    <t>Rescaled to match VT total</t>
  </si>
  <si>
    <t>The U.S. ratio here is high because "refining" in the U.S. dataset includes ethanol refining. Refining in the VT dataset does not include ethanol refining, so we only apply this ratio to the non-refining fuel processing, which results in a total bioenergy use very close to the total reported in the Vietnamese data source.</t>
  </si>
  <si>
    <t>Plastic &amp; rubber products estimate</t>
  </si>
  <si>
    <t>Although there is an electricity amount given for "plastic &amp; rubber products" in the data source, it is too high to be just this, while the chemicals value is too low, implying it probably</t>
  </si>
  <si>
    <t>includes the production of plastic resins, which we choose to allocate to the "Chemicals" industry (to be parallel with other countries in the dataset).  Therefore, we need a different</t>
  </si>
  <si>
    <t>way to estimate a "plastic and rubber products" breakout.</t>
  </si>
  <si>
    <t>We handle this by taking U.S. data ratios of "plastic and rubber products" to "chemicals" by fuel type.</t>
  </si>
  <si>
    <t>Plastic &amp; rubber products share</t>
  </si>
  <si>
    <t>World Bank Report Industry and Fuel Categories</t>
  </si>
  <si>
    <t>Unit: KTOE</t>
  </si>
  <si>
    <t>Cells in yellow use data below to break up "metals" into component subindustries.</t>
  </si>
  <si>
    <t>Cells in green involve estimates to split up chemicals and plastic/rubber products.</t>
  </si>
  <si>
    <t>Orange cells involve other estimates.</t>
  </si>
  <si>
    <t>Convert from KTOE to PJ</t>
  </si>
  <si>
    <t>Unit: PJ</t>
  </si>
  <si>
    <t>Reviewer refinements to metals</t>
  </si>
  <si>
    <t>Reviewers find the iron &amp; steel value too low and not consistent with reported quantities of steel produced.  This stems from the source data from VNEEP.</t>
  </si>
  <si>
    <t>Therefore, we replace the iron &amp; steel data (and the data for rows derived from iron &amp; steel - i.e., nonferrous metals and other metal products.</t>
  </si>
  <si>
    <t>Average energy consumption per tonne of steel</t>
  </si>
  <si>
    <t>Source: 79</t>
  </si>
  <si>
    <t>BF-BOF route</t>
  </si>
  <si>
    <t>kg metallurgical coal / tonne steel</t>
  </si>
  <si>
    <t>tonne coal / tonne steel</t>
  </si>
  <si>
    <t>short ton coal / tonne steel</t>
  </si>
  <si>
    <t>MM btu / tonne steel</t>
  </si>
  <si>
    <t>GJ / tonne steel</t>
  </si>
  <si>
    <t>PJ / tonne steel</t>
  </si>
  <si>
    <t>EAF route</t>
  </si>
  <si>
    <t>GJ electricity / tonne steel</t>
  </si>
  <si>
    <t>PJ electricity / tonne steel</t>
  </si>
  <si>
    <t>Vietnam steel production in 2022</t>
  </si>
  <si>
    <t>Source: 42</t>
  </si>
  <si>
    <t>total steel production in 2022</t>
  </si>
  <si>
    <t>Mt steel</t>
  </si>
  <si>
    <t>BF-BOF capacity</t>
  </si>
  <si>
    <t>Mt / y</t>
  </si>
  <si>
    <t>EAF capacity</t>
  </si>
  <si>
    <t>We divide up the production by capacity of furnaces, i.e., assuming BF-BOF and EAFs have similar load factors.</t>
  </si>
  <si>
    <t>This is reasonable, as steelmakers prefer to run their plants close to 24/7 for both types of plants.</t>
  </si>
  <si>
    <t>BF-BOF production</t>
  </si>
  <si>
    <t>EAF production</t>
  </si>
  <si>
    <t>BF-BOF coal use</t>
  </si>
  <si>
    <t>This is inclusive of the coal used to make coke consumed in BFs and coal consumed directly in BFs.</t>
  </si>
  <si>
    <t>EAF electricity use</t>
  </si>
  <si>
    <t>Electricity for "metals" from above</t>
  </si>
  <si>
    <t>This is likely more inclusive than just the electricity for EAFs and may include rolling mills, etc. Therefore, we should use the more inclusive value.</t>
  </si>
  <si>
    <t>Using ratios from below to estimate values for nonferrous metals and for other metal products</t>
  </si>
  <si>
    <t>Viet Nam Non-Feedstock Energy Use by Subindustry by Fuel</t>
  </si>
  <si>
    <t>Chemical Feedstocks</t>
  </si>
  <si>
    <t>Chemical industry feedstocks</t>
  </si>
  <si>
    <t>We can't assume all 47 PJ of "other oil products" are chemical feedstocks, so we use the ratio of China's petroleum feedstocks to non-petroleum feedstocks</t>
  </si>
  <si>
    <t>Data source to divide up Iron &amp; Steel vs. Non-ferrous metals (and for combustible fuels, vs. basic metal products)</t>
  </si>
  <si>
    <t>Source: 75</t>
  </si>
  <si>
    <t>It is difficult to find production data that disaggregates the metals industry, but there is good data on Vietnamese exports.</t>
  </si>
  <si>
    <t>We assume that the share of metals exports that consists of non-ferrous metals is the same as the share of production that consists of non-ferrous metals.</t>
  </si>
  <si>
    <t>We assume that financial quantities are proportional to energy use quantities.</t>
  </si>
  <si>
    <t>Iron &amp; steel share</t>
  </si>
  <si>
    <t>Non-ferrous metals share</t>
  </si>
  <si>
    <t>Metal products share</t>
  </si>
  <si>
    <t>Excludng metal products</t>
  </si>
  <si>
    <t>Raw Source Data</t>
  </si>
  <si>
    <t>Pig Iron</t>
  </si>
  <si>
    <t>Ferroalloys</t>
  </si>
  <si>
    <t>Iron Reductions</t>
  </si>
  <si>
    <t>Scrap Iron</t>
  </si>
  <si>
    <t>Iron Powder</t>
  </si>
  <si>
    <t>Iron Ingots</t>
  </si>
  <si>
    <t>Semi-Finished Iron</t>
  </si>
  <si>
    <t>Hot-Rolled Iron</t>
  </si>
  <si>
    <t>Cold-Rolled Iron</t>
  </si>
  <si>
    <t>Coated Flat-Rolled Iron</t>
  </si>
  <si>
    <t>Large Flat-Rolled Iron</t>
  </si>
  <si>
    <t>Large Coated Flat-Rolled Iron</t>
  </si>
  <si>
    <t>Hot-Rolled Iron Bars</t>
  </si>
  <si>
    <t>Raw Iron Bars</t>
  </si>
  <si>
    <t>Other Iron Bars</t>
  </si>
  <si>
    <t>Iron Blocks</t>
  </si>
  <si>
    <t>Iron Wire</t>
  </si>
  <si>
    <t>Stainless Steel Ingots</t>
  </si>
  <si>
    <t>Large Flat-Rolled Stainless Steel</t>
  </si>
  <si>
    <t>Flat-Rolled Stainless Steel</t>
  </si>
  <si>
    <t>Hot-Rolled Stainless Steel Bars</t>
  </si>
  <si>
    <t>Other Stainless Steel Bars</t>
  </si>
  <si>
    <t>Stainless Steel Wire</t>
  </si>
  <si>
    <t>Steel Ingots</t>
  </si>
  <si>
    <t>Flat Flat-Rolled Steel</t>
  </si>
  <si>
    <t>Flat-Rolled Iron</t>
  </si>
  <si>
    <t>Steel Bars</t>
  </si>
  <si>
    <t>Other Steel Bars</t>
  </si>
  <si>
    <t>Steel Wire</t>
  </si>
  <si>
    <t>Iron/Steel Articles</t>
  </si>
  <si>
    <t>Iron Sheet Piling</t>
  </si>
  <si>
    <t>Iron Railway Products</t>
  </si>
  <si>
    <t>Cast Iron Pipes</t>
  </si>
  <si>
    <t>Iron Pipes</t>
  </si>
  <si>
    <t>Other Large Iron Pipes</t>
  </si>
  <si>
    <t>Other Small Iron Pipes</t>
  </si>
  <si>
    <t>Iron Pipe Fittings</t>
  </si>
  <si>
    <t>Iron Structures</t>
  </si>
  <si>
    <t>Large Iron Containers</t>
  </si>
  <si>
    <t>Small Iron Containers</t>
  </si>
  <si>
    <t>Iron Gas Containers</t>
  </si>
  <si>
    <t>Stranded Iron Wire</t>
  </si>
  <si>
    <t>Barbed Wire</t>
  </si>
  <si>
    <t>Iron Cloth</t>
  </si>
  <si>
    <t>Iron Chains</t>
  </si>
  <si>
    <t>Iron Anchors</t>
  </si>
  <si>
    <t>Iron Nails</t>
  </si>
  <si>
    <t>Iron Fasteners</t>
  </si>
  <si>
    <t>Iron Sewing Needles</t>
  </si>
  <si>
    <t>Iron Springs</t>
  </si>
  <si>
    <t>Iron Stovetops</t>
  </si>
  <si>
    <t>Iron Radiators</t>
  </si>
  <si>
    <t>Iron Housewares</t>
  </si>
  <si>
    <t>Iron Toiletry</t>
  </si>
  <si>
    <t>Other Cast Iron Products</t>
  </si>
  <si>
    <t>Other Iron Products</t>
  </si>
  <si>
    <t>Copper articles</t>
  </si>
  <si>
    <t>Precipitated Copper</t>
  </si>
  <si>
    <t>Raw Copper</t>
  </si>
  <si>
    <t>Refined Copper</t>
  </si>
  <si>
    <t>Scrap Copper</t>
  </si>
  <si>
    <t>Copper Powder</t>
  </si>
  <si>
    <t>Copper Bars</t>
  </si>
  <si>
    <t>Copper Plating</t>
  </si>
  <si>
    <t>Copper Foil</t>
  </si>
  <si>
    <t>Copper Pipes</t>
  </si>
  <si>
    <t>Copper Pipe Fittings</t>
  </si>
  <si>
    <t>Stranded Copper Wire</t>
  </si>
  <si>
    <t>Copper Fasteners</t>
  </si>
  <si>
    <t>Copper Springs</t>
  </si>
  <si>
    <t>Copper Housewares</t>
  </si>
  <si>
    <t>Other Copper Products</t>
  </si>
  <si>
    <t>Nickel articles</t>
  </si>
  <si>
    <t>Nickel Mattes</t>
  </si>
  <si>
    <t>Raw Nickel</t>
  </si>
  <si>
    <t>Scrap Nickel</t>
  </si>
  <si>
    <t>Nickel Powder</t>
  </si>
  <si>
    <t>Nickel Bars</t>
  </si>
  <si>
    <t>Nickel Sheets</t>
  </si>
  <si>
    <t>Nickel Pipes</t>
  </si>
  <si>
    <t>Other Nickel Products</t>
  </si>
  <si>
    <t>Aluminum articles</t>
  </si>
  <si>
    <t>Raw Aluminium</t>
  </si>
  <si>
    <t>Scrap Aluminium</t>
  </si>
  <si>
    <t>Aluminium Powder</t>
  </si>
  <si>
    <t>Aluminium Bars</t>
  </si>
  <si>
    <t>Aluminium Wire</t>
  </si>
  <si>
    <t>Aluminium Plating</t>
  </si>
  <si>
    <t>Aluminium Foil</t>
  </si>
  <si>
    <t>Aluminium Pipes</t>
  </si>
  <si>
    <t>Aluminium Pipe Fittings</t>
  </si>
  <si>
    <t>Aluminium Structures</t>
  </si>
  <si>
    <t>Large Aluminium Containers</t>
  </si>
  <si>
    <t>Aluminium Cans</t>
  </si>
  <si>
    <t>Aluminium Gas Containers</t>
  </si>
  <si>
    <t>Stranded Aluminium Wire</t>
  </si>
  <si>
    <t>Aluminium Housewares</t>
  </si>
  <si>
    <t>Other Aluminium Products</t>
  </si>
  <si>
    <t>Lead articles</t>
  </si>
  <si>
    <t>Raw Lead</t>
  </si>
  <si>
    <t>Scrap Lead</t>
  </si>
  <si>
    <t>Lead Sheets</t>
  </si>
  <si>
    <t>Other Lead Products</t>
  </si>
  <si>
    <t>Zinc articles</t>
  </si>
  <si>
    <t>Raw Zinc</t>
  </si>
  <si>
    <t>Scrap Waste</t>
  </si>
  <si>
    <t>Zinc Powder</t>
  </si>
  <si>
    <t>Zinc Bars</t>
  </si>
  <si>
    <t>Zinc Sheets</t>
  </si>
  <si>
    <t>Other Zinc Products</t>
  </si>
  <si>
    <t>Tin articles</t>
  </si>
  <si>
    <t>Raw Tin</t>
  </si>
  <si>
    <t>Scrap Tin</t>
  </si>
  <si>
    <t>Tin Bars</t>
  </si>
  <si>
    <t>Other Tin Products</t>
  </si>
  <si>
    <t>Cermet articles</t>
  </si>
  <si>
    <t>Tungsten</t>
  </si>
  <si>
    <t>Molybdenum</t>
  </si>
  <si>
    <t>Tantalum</t>
  </si>
  <si>
    <t>Magnesium</t>
  </si>
  <si>
    <t>Cobalt</t>
  </si>
  <si>
    <t>Bismuth</t>
  </si>
  <si>
    <t>Cadmium</t>
  </si>
  <si>
    <t>Titanium</t>
  </si>
  <si>
    <t>Zirconium</t>
  </si>
  <si>
    <t>Antimony</t>
  </si>
  <si>
    <t>Manganese</t>
  </si>
  <si>
    <t>Other Metals</t>
  </si>
  <si>
    <t>Cermets</t>
  </si>
  <si>
    <t>Tools &amp; cutlery</t>
  </si>
  <si>
    <t>Garden Tools</t>
  </si>
  <si>
    <t>Hand Saws</t>
  </si>
  <si>
    <t>Hand Tools</t>
  </si>
  <si>
    <t>Wrenches</t>
  </si>
  <si>
    <t>Other Hand Tools</t>
  </si>
  <si>
    <t>Tool Sets</t>
  </si>
  <si>
    <t>Interchangeable Tool Parts</t>
  </si>
  <si>
    <t>Cutting Blades</t>
  </si>
  <si>
    <t>Tool Plates</t>
  </si>
  <si>
    <t>Cooking Hand Tools</t>
  </si>
  <si>
    <t>Knives</t>
  </si>
  <si>
    <t>Razor Blades</t>
  </si>
  <si>
    <t>Scissors</t>
  </si>
  <si>
    <t>Other Cutlery</t>
  </si>
  <si>
    <t>Cutlery Sets</t>
  </si>
  <si>
    <t>Miscellaneous metal products</t>
  </si>
  <si>
    <t>Padlocks</t>
  </si>
  <si>
    <t>Metal Mountings</t>
  </si>
  <si>
    <t>Safes</t>
  </si>
  <si>
    <t>Filing Cabinets</t>
  </si>
  <si>
    <t>Metal Office Supplies</t>
  </si>
  <si>
    <t>Bells and Other Metal Ornaments</t>
  </si>
  <si>
    <t>Flexible Metal Tubing</t>
  </si>
  <si>
    <t>Other Metal Fasteners</t>
  </si>
  <si>
    <t>Metal Stoppers</t>
  </si>
  <si>
    <t>Metal Signs</t>
  </si>
  <si>
    <t>Coated Metal Soldering Products</t>
  </si>
  <si>
    <t>to estimate Viet Nam's petroleum feedstocks.</t>
  </si>
  <si>
    <t>ref2023.d020623a</t>
  </si>
  <si>
    <t>Report</t>
  </si>
  <si>
    <t>ref2023</t>
  </si>
  <si>
    <t>Datekey</t>
  </si>
  <si>
    <t>d020623a</t>
  </si>
  <si>
    <t>Release Date</t>
  </si>
  <si>
    <t xml:space="preserve"> March 2023</t>
  </si>
  <si>
    <t>IRF000</t>
  </si>
  <si>
    <t>24. Refining Industry Energy Consumption</t>
  </si>
  <si>
    <t>Annual</t>
  </si>
  <si>
    <t>Change</t>
  </si>
  <si>
    <t>2022–2050</t>
  </si>
  <si>
    <t xml:space="preserve"> Shipments, Energy Consumption, and Emissions</t>
  </si>
  <si>
    <t>IRF000:ba_ValueofShipme</t>
  </si>
  <si>
    <t>Value of Shipments (billion 2012 dollars)</t>
  </si>
  <si>
    <t>Inputs to Distillation Units</t>
  </si>
  <si>
    <t>IRF000:ba_CrudeOilInput</t>
  </si>
  <si>
    <t>(million barrels per day)</t>
  </si>
  <si>
    <t>Total Energy Consumption (trillion Btu) 1/</t>
  </si>
  <si>
    <t>IRF000:ca_ResidualOil</t>
  </si>
  <si>
    <t xml:space="preserve"> Residual Fuel Oil</t>
  </si>
  <si>
    <t>IRF000:ca_DistillateOil</t>
  </si>
  <si>
    <t xml:space="preserve"> Distillate Fuel Oil</t>
  </si>
  <si>
    <t>IRF000:ca_LiquefiedPetr</t>
  </si>
  <si>
    <t>Liquefied Petroleum Gas Heat and Power 2/</t>
  </si>
  <si>
    <t>IRF000:ca_PetroleumCoke</t>
  </si>
  <si>
    <t xml:space="preserve"> Petroleum Coke</t>
  </si>
  <si>
    <t>IRF000:ca_StillGas</t>
  </si>
  <si>
    <t xml:space="preserve"> Still Gas</t>
  </si>
  <si>
    <t>IRF000:ca_OtherPetroleu</t>
  </si>
  <si>
    <t xml:space="preserve"> Other Petroleum 3/</t>
  </si>
  <si>
    <t>IRF000:ca_PetroleumSubt</t>
  </si>
  <si>
    <t xml:space="preserve">   Petroleum and Other Liquids Subtotal</t>
  </si>
  <si>
    <t>IRF000:ca_NaturalGas</t>
  </si>
  <si>
    <t xml:space="preserve"> Natural Gas</t>
  </si>
  <si>
    <t>IRF000:NatGas_owHeatPow</t>
  </si>
  <si>
    <t xml:space="preserve">    of which:  Heat and Power</t>
  </si>
  <si>
    <t>IRF000:NatGas_owFeed</t>
  </si>
  <si>
    <t xml:space="preserve">    of which:  Feedstocks</t>
  </si>
  <si>
    <t>IRF000:NatGas_owGTLHeat</t>
  </si>
  <si>
    <t xml:space="preserve">    of which:  Gas-to-Liquids Heat</t>
  </si>
  <si>
    <t>IRF000:ca_SteamCoal</t>
  </si>
  <si>
    <t xml:space="preserve"> Steam Coal 4/</t>
  </si>
  <si>
    <t>IRF000:ca_BiofuelsHeat</t>
  </si>
  <si>
    <t xml:space="preserve"> Biofuels Heat and Coproducts</t>
  </si>
  <si>
    <t>IRF000:ca_PurchasedElec</t>
  </si>
  <si>
    <t xml:space="preserve"> Purchased Electricity</t>
  </si>
  <si>
    <t>IRF000:ca_Total</t>
  </si>
  <si>
    <t xml:space="preserve">   Total</t>
  </si>
  <si>
    <t>Carbon Dioxide Emissions 5/</t>
  </si>
  <si>
    <t>IRF000:ea_tonscarbon_dd</t>
  </si>
  <si>
    <t>(million metric tons carbon dioxide)</t>
  </si>
  <si>
    <t>Energy Related to Refining Activity Only</t>
  </si>
  <si>
    <t xml:space="preserve">  Energy Consumption</t>
  </si>
  <si>
    <t>IRF000:da_ResidualOil</t>
  </si>
  <si>
    <t xml:space="preserve">    Residual Fuel Oil</t>
  </si>
  <si>
    <t>IRF000:da_DistillateOil</t>
  </si>
  <si>
    <t xml:space="preserve">    Distillate Fuel Oil</t>
  </si>
  <si>
    <t>IRF000:da_LiquefiedPetr</t>
  </si>
  <si>
    <t xml:space="preserve">    Liquefied Petroleum Gas Heat and Power 2/</t>
  </si>
  <si>
    <t>IRF000:da_PetroleumCoke</t>
  </si>
  <si>
    <t xml:space="preserve">    Petroleum Coke</t>
  </si>
  <si>
    <t>IRF000:da_StillGas</t>
  </si>
  <si>
    <t xml:space="preserve">    Still Gas</t>
  </si>
  <si>
    <t>IRF000:da_OtherPetroleu</t>
  </si>
  <si>
    <t xml:space="preserve">    Other Petroleum 3/</t>
  </si>
  <si>
    <t>IRF000:da_PetroleumSubt</t>
  </si>
  <si>
    <t xml:space="preserve">      Petroleum and Other Liquids Subtotal</t>
  </si>
  <si>
    <t>IRF000:da_NaturalGas</t>
  </si>
  <si>
    <t xml:space="preserve">    Natural Gas</t>
  </si>
  <si>
    <t>IRF000:da_SteamCoal</t>
  </si>
  <si>
    <t xml:space="preserve">    Steam Coal 4/</t>
  </si>
  <si>
    <t>IRF000:da_PurchasedElec</t>
  </si>
  <si>
    <t xml:space="preserve">    Purchased Electricity</t>
  </si>
  <si>
    <t>IRF000:da_Total</t>
  </si>
  <si>
    <t xml:space="preserve">      Total</t>
  </si>
  <si>
    <t xml:space="preserve">  Carbon Dioxide Emissions 5/</t>
  </si>
  <si>
    <t>IRF000:da_tonscarbon_dd</t>
  </si>
  <si>
    <t xml:space="preserve">  (million metric tons carbon dioxide)</t>
  </si>
  <si>
    <t xml:space="preserve">  Energy Consumption per Unit of Refinery Input</t>
  </si>
  <si>
    <t xml:space="preserve">  (thousand Btu per barrel)</t>
  </si>
  <si>
    <t>IRF000:db_ResidualOil</t>
  </si>
  <si>
    <t>IRF000:db_DistillateOil</t>
  </si>
  <si>
    <t>IRF000:db_LiquefiedPetr</t>
  </si>
  <si>
    <t>IRF000:db_PetroleumCoke</t>
  </si>
  <si>
    <t>IRF000:db_StillGas</t>
  </si>
  <si>
    <t>IRF000:db_OtherPetroleu</t>
  </si>
  <si>
    <t>IRF000:db_PetroleumSubt</t>
  </si>
  <si>
    <t>IRF000:db_NaturalGas</t>
  </si>
  <si>
    <t>IRF000:db_SteamCoal</t>
  </si>
  <si>
    <t>IRF000:db_PurchasedElec</t>
  </si>
  <si>
    <t>IRF000:db_Total</t>
  </si>
  <si>
    <t>Combined Heat and Power</t>
  </si>
  <si>
    <t xml:space="preserve">  Generating Capacity (gigawatts) 6/</t>
  </si>
  <si>
    <t>IRF000:ga_Petroleum</t>
  </si>
  <si>
    <t xml:space="preserve">    Petroleum</t>
  </si>
  <si>
    <t>IRF000:ga_NaturalGas</t>
  </si>
  <si>
    <t>IRF000:ga_Coal</t>
  </si>
  <si>
    <t xml:space="preserve">    Coal</t>
  </si>
  <si>
    <t>IRF000:ga_Other</t>
  </si>
  <si>
    <t xml:space="preserve">    Other 7/</t>
  </si>
  <si>
    <t>IRF000:ga_Total</t>
  </si>
  <si>
    <t xml:space="preserve">  Net Generation (billion kilowatthours)</t>
  </si>
  <si>
    <t>IRF000:ha_Petroleum</t>
  </si>
  <si>
    <t>IRF000:ha_NaturalGas</t>
  </si>
  <si>
    <t>IRF000:ha_Coal</t>
  </si>
  <si>
    <t>IRF000:ha_Other</t>
  </si>
  <si>
    <t>IRF000:ha_Total</t>
  </si>
  <si>
    <t xml:space="preserve">    Disposition</t>
  </si>
  <si>
    <t>IRF000:ha_SalestotheGri</t>
  </si>
  <si>
    <t xml:space="preserve">      Sales to the Grid</t>
  </si>
  <si>
    <t>IRF000:ha_Generationfor</t>
  </si>
  <si>
    <t xml:space="preserve">      Generation for Own Use</t>
  </si>
  <si>
    <t>Energy Consumed at Ethanol Plants</t>
  </si>
  <si>
    <t>(trillion Btu)</t>
  </si>
  <si>
    <t>IRF000:ja_NaturalGas</t>
  </si>
  <si>
    <t xml:space="preserve">  Natural Gas</t>
  </si>
  <si>
    <t>IRF000:ja_Coal</t>
  </si>
  <si>
    <t xml:space="preserve">  Coal</t>
  </si>
  <si>
    <t>IRF000:ja_Electricity</t>
  </si>
  <si>
    <t xml:space="preserve">  Electricity</t>
  </si>
  <si>
    <t>IRF000:ja_Total</t>
  </si>
  <si>
    <t xml:space="preserve">    Total</t>
  </si>
  <si>
    <t>1/ Includes energy for combined-heat-and-power plants that have a non-regulatory status, small on-site generating systems,</t>
  </si>
  <si>
    <t>consumption at ethanol plants, and (if adapted) consumption at coal-to-liquids (CTL) and gas-to-liquids (GTL) plants.</t>
  </si>
  <si>
    <t>2/ Includes ethane, natural gasoline, and refinery olefins.</t>
  </si>
  <si>
    <t>3/ Includes lubricants and miscellaneous petroleum products.</t>
  </si>
  <si>
    <t>4/ Includes consumption at ethanol and coal-to-liquids (CTL) plants. Where CTL technology is adopted in these projections,</t>
  </si>
  <si>
    <t>the plants are assumed to produce oil products and to generate electricity.</t>
  </si>
  <si>
    <t>A portion of the coal use is attributed to feedstock use to produce the liquids.  The feedstock portion</t>
  </si>
  <si>
    <t>is assumed to be equal to the Btu content of the liquids produced.  The rest of the coal used in CTL plants is accounted for in</t>
  </si>
  <si>
    <t>industrial steam coal consumption, a portion of which is reflected in energy used for end-use sector combined heat and power.</t>
  </si>
  <si>
    <t>5/ Includes emissions attributable to the fuels consumed to generate the purchased electricity.</t>
  </si>
  <si>
    <t>6/ All capacities are in gigawatts alternating current.</t>
  </si>
  <si>
    <t>7/ Includes municipal waste, wood, and other biomass.</t>
  </si>
  <si>
    <t>Btu = British thermal unit.</t>
  </si>
  <si>
    <t>- - = Not applicable.</t>
  </si>
  <si>
    <t>Note:  Includes estimated consumption for petroleum and other liquids.  Totals may not equal sum of components due to independent rounding.</t>
  </si>
  <si>
    <t>Data source: 2022 value of shipments:  IHS Markit, Macroeconomic model, September 2022.</t>
  </si>
  <si>
    <t>2022:  U.S. Energy Information Administration (EIA), Short-Term Energy Outlook, November 2022 and EIA,</t>
  </si>
  <si>
    <t>AEO2023 National Energy Modeling System run ref2023.d020623a. Projections: EIA, AEO2023 National Energy Modeling System run ref2023.d020623a.</t>
  </si>
  <si>
    <t>IFD000</t>
  </si>
  <si>
    <t>25. Food Industry Energy Consumption</t>
  </si>
  <si>
    <t xml:space="preserve"> Shipments &amp; Energy Consumption</t>
  </si>
  <si>
    <t>IFD000:ba_ValueofShipme</t>
  </si>
  <si>
    <t>Energy Consumption (trillion Btu) 1/</t>
  </si>
  <si>
    <t>IFD000:ca_ResidualOil</t>
  </si>
  <si>
    <t>IFD000:ca_DistillateOil</t>
  </si>
  <si>
    <t>IFD000:ca_LiquefiedPetr</t>
  </si>
  <si>
    <t xml:space="preserve"> Propane</t>
  </si>
  <si>
    <t>IFD000:ca_OtherPetroleu</t>
  </si>
  <si>
    <t xml:space="preserve"> Other Petroleum 2/</t>
  </si>
  <si>
    <t>IFD000:ca_PetroleumSubt</t>
  </si>
  <si>
    <t>IFD000:ca_NaturalGas</t>
  </si>
  <si>
    <t>IFD000:ca_SteamCoal</t>
  </si>
  <si>
    <t xml:space="preserve"> Steam Coal</t>
  </si>
  <si>
    <t>IFD000:ca_Renewables</t>
  </si>
  <si>
    <t xml:space="preserve"> Renewables</t>
  </si>
  <si>
    <t>IFD000:ca_PurchasedElec</t>
  </si>
  <si>
    <t>IFD000:ca_Total</t>
  </si>
  <si>
    <t>Energy Consumption per Unit of Output 1/</t>
  </si>
  <si>
    <t>(thousand Btu per 2012 dollar shipments)</t>
  </si>
  <si>
    <t>IFD000:da_ResidualOil</t>
  </si>
  <si>
    <t>IFD000:da_DistillateOil</t>
  </si>
  <si>
    <t>IFD000:da_LiquefiedPetr</t>
  </si>
  <si>
    <t>IFD000:da_OtherPetroleu</t>
  </si>
  <si>
    <t>IFD000:da_PetroleumSubt</t>
  </si>
  <si>
    <t>IFD000:da_NaturalGas</t>
  </si>
  <si>
    <t>IFD000:da_SteamCoal</t>
  </si>
  <si>
    <t>IFD000:da_Renewables</t>
  </si>
  <si>
    <t>IFD000:da_PurchasedElec</t>
  </si>
  <si>
    <t>IFD000:da_Total</t>
  </si>
  <si>
    <t>Carbon Dioxide Emissions 3/</t>
  </si>
  <si>
    <t>IFD000:ea_tonscarbon_dd</t>
  </si>
  <si>
    <t>Combined Heat and Power 4/</t>
  </si>
  <si>
    <t xml:space="preserve">  Generating Capacity (gigawatts) 5/</t>
  </si>
  <si>
    <t>IFD000:ga_Petroleum</t>
  </si>
  <si>
    <t>IFD000:ga_NaturalGas</t>
  </si>
  <si>
    <t>IFD000:ga_Coal</t>
  </si>
  <si>
    <t>IFD000:ga_Other</t>
  </si>
  <si>
    <t xml:space="preserve">    Other 6/</t>
  </si>
  <si>
    <t>IFD000:ga_Total</t>
  </si>
  <si>
    <t>IFD000:ha_Petroleum</t>
  </si>
  <si>
    <t>IFD000:ha_NaturalGas</t>
  </si>
  <si>
    <t>IFD000:ha_Coal</t>
  </si>
  <si>
    <t>IFD000:ha_Other</t>
  </si>
  <si>
    <t>IFD000:ha_Total</t>
  </si>
  <si>
    <t>IFD000:ha_SalestotheGri</t>
  </si>
  <si>
    <t>IFD000:ha_Generationfor</t>
  </si>
  <si>
    <t>1/ Includes energy for combined-heat-and-power plants that have a non-regulatory status and small on-site generating systems.</t>
  </si>
  <si>
    <t>2/ Includes lubricants and miscellaneous petroleum products.</t>
  </si>
  <si>
    <t>3/ Includes emissions attributable to the fuels consumed to generate the purchased electricity, but not non-combustion</t>
  </si>
  <si>
    <t>emissions from industrial processes.</t>
  </si>
  <si>
    <t>4/ Includes industrial-owned generators not classified as combined heat and power, such as standby generators.</t>
  </si>
  <si>
    <t>5/ All capacities are in gigawatts alternating current.</t>
  </si>
  <si>
    <t>6/ Includes wood and other biomass, waste heat, municipal waste, and renewable sources.</t>
  </si>
  <si>
    <t>2022:  U.S. Energy Information Administration (EIA), Short-Term Energy Outlook, November 2022 and EIA, AEO2023 National Energy</t>
  </si>
  <si>
    <t>Modeling System run ref2023.d020623a.  Projections: EIA, AEO2023 National Energy Modeling System run ref2023.d020623a.</t>
  </si>
  <si>
    <t>IPP000</t>
  </si>
  <si>
    <t>26. Paper Industry Energy Consumption</t>
  </si>
  <si>
    <t>IPP000:ba_ValueofShipme</t>
  </si>
  <si>
    <t>IPP000:ca_ResidualOil</t>
  </si>
  <si>
    <t>IPP000:ca_DistillateOil</t>
  </si>
  <si>
    <t>IPP000:ca_LiquefiedPetr</t>
  </si>
  <si>
    <t>IPP000:ca_PetroleumCoke</t>
  </si>
  <si>
    <t>IPP000:ca_OtherPetrol</t>
  </si>
  <si>
    <t>IPP000:ca_PetroleumSubt</t>
  </si>
  <si>
    <t>IPP000:ca_NaturalGas</t>
  </si>
  <si>
    <t>IPP000:ca_SteamCoal</t>
  </si>
  <si>
    <t>IPP000:ca_Renewables</t>
  </si>
  <si>
    <t>IPP000:ca_PurchasedElec</t>
  </si>
  <si>
    <t>IPP000:ca_Total</t>
  </si>
  <si>
    <t>IPP000:da_ResidualOil</t>
  </si>
  <si>
    <t>IPP000:da_DistillateOil</t>
  </si>
  <si>
    <t>IPP000:da_LiquefiedPetr</t>
  </si>
  <si>
    <t>IPP000:da_PetroleumCoke</t>
  </si>
  <si>
    <t>IPP000:da_OtherPetrol</t>
  </si>
  <si>
    <t>IPP000:da_PetroleumSubt</t>
  </si>
  <si>
    <t>IPP000:da_NaturalGas</t>
  </si>
  <si>
    <t>IPP000:da_SteamCoal</t>
  </si>
  <si>
    <t>IPP000:da_Renewables</t>
  </si>
  <si>
    <t>IPP000:da_PurchasedElec</t>
  </si>
  <si>
    <t>IPP000:da_Total</t>
  </si>
  <si>
    <t>IPP000:ea_tonscarbon_dd</t>
  </si>
  <si>
    <t>IPP000:ga_Petroleum</t>
  </si>
  <si>
    <t>IPP000:ga_NaturalGas</t>
  </si>
  <si>
    <t>IPP000:ga_Coal</t>
  </si>
  <si>
    <t>IPP000:ga_Other</t>
  </si>
  <si>
    <t>IPP000:ga_Total</t>
  </si>
  <si>
    <t>IPP000:ha_Petroleum</t>
  </si>
  <si>
    <t>IPP000:ha_NaturalGas</t>
  </si>
  <si>
    <t>IPP000:ha_Coal</t>
  </si>
  <si>
    <t>IPP000:ha_Other</t>
  </si>
  <si>
    <t>IPP000:ha_Total</t>
  </si>
  <si>
    <t>IPP000:ha_SalestotheGri</t>
  </si>
  <si>
    <t>IPP000:ha_Generationfor</t>
  </si>
  <si>
    <t>ICH000</t>
  </si>
  <si>
    <t>27. Bulk Chemical Industry Energy Consumption</t>
  </si>
  <si>
    <t>ICH000:ba_ValueofShipme</t>
  </si>
  <si>
    <t xml:space="preserve">  Heat and Power</t>
  </si>
  <si>
    <t>ICH000:ca_ResidualOil</t>
  </si>
  <si>
    <t>ICH000:ca_DistillateOil</t>
  </si>
  <si>
    <t>ICH000:ca_LiquefiedPetr</t>
  </si>
  <si>
    <t xml:space="preserve">    Propane</t>
  </si>
  <si>
    <t>ICH000:ca_PetroleumCoke</t>
  </si>
  <si>
    <t>ICH000:ca_OtherPetroleu</t>
  </si>
  <si>
    <t xml:space="preserve">    Other Petroleum 2/</t>
  </si>
  <si>
    <t>ICH000:ca_PetroleumSubt</t>
  </si>
  <si>
    <t>ICH000:ca_NaturalGas</t>
  </si>
  <si>
    <t>ICH000:ca_SteamCoal</t>
  </si>
  <si>
    <t xml:space="preserve">    Steam Coal</t>
  </si>
  <si>
    <t>ICH000:ca_Renewables</t>
  </si>
  <si>
    <t xml:space="preserve">    Renewables</t>
  </si>
  <si>
    <t>ICH000:ca_PurchasedElec</t>
  </si>
  <si>
    <t>ICH000:ca_TotalHeatandP</t>
  </si>
  <si>
    <t xml:space="preserve">      Total Heat and Power</t>
  </si>
  <si>
    <t xml:space="preserve">  Feedstock</t>
  </si>
  <si>
    <t>ICH000:da_LiquefiedPetr</t>
  </si>
  <si>
    <t xml:space="preserve">    Hydrocarbon Gas Liquid Feedstocks 3/</t>
  </si>
  <si>
    <t>ICH000:da_Propylene</t>
  </si>
  <si>
    <t xml:space="preserve">      Propylene</t>
  </si>
  <si>
    <t>ICH000:da_Petrochemical</t>
  </si>
  <si>
    <t xml:space="preserve">    Petrochemical Feedstocks</t>
  </si>
  <si>
    <t>ICH000:da_NaturalGas</t>
  </si>
  <si>
    <t>ICH000:da_TotalFeedstoc</t>
  </si>
  <si>
    <t xml:space="preserve">      Total Feedstocks</t>
  </si>
  <si>
    <t>ICH000:da_Total</t>
  </si>
  <si>
    <t xml:space="preserve">  Total</t>
  </si>
  <si>
    <t>ICH000:ea_ResidualOil</t>
  </si>
  <si>
    <t>ICH000:ea_DistillateOil</t>
  </si>
  <si>
    <t>ICH000:ea_LiquefiedPetr</t>
  </si>
  <si>
    <t>ICH000:ea_PetroleumCoke</t>
  </si>
  <si>
    <t>ICH000:ea_OtherPetroleu</t>
  </si>
  <si>
    <t>ICH000:ea_PetroleumSubt</t>
  </si>
  <si>
    <t>ICH000:ea_NaturalGas</t>
  </si>
  <si>
    <t>ICH000:ea_SteamCoal</t>
  </si>
  <si>
    <t>ICH000:ea_Renewables</t>
  </si>
  <si>
    <t>ICH000:ea_PurchasedElec</t>
  </si>
  <si>
    <t>ICH000:ea_TotalHeatandP</t>
  </si>
  <si>
    <t>ICH000:fa_LiquefiedPetr</t>
  </si>
  <si>
    <t>ICH000:fa_Petrochemical</t>
  </si>
  <si>
    <t>ICH000:fa_NaturalGas</t>
  </si>
  <si>
    <t>ICH000:fa_TotalFeedstoc</t>
  </si>
  <si>
    <t>ICH000:fa_Total</t>
  </si>
  <si>
    <t>Carbon Dioxide Emissions 4/</t>
  </si>
  <si>
    <t>ICH000:ga_tonscarbon_dd</t>
  </si>
  <si>
    <t>Combined Heat and Power 5/</t>
  </si>
  <si>
    <t>ICH000:ia_Petroleum</t>
  </si>
  <si>
    <t>ICH000:ia_NaturalGas</t>
  </si>
  <si>
    <t>ICH000:ia_Coal</t>
  </si>
  <si>
    <t>ICH000:ia_Other</t>
  </si>
  <si>
    <t>ICH000:ia_Total</t>
  </si>
  <si>
    <t>ICH000:ja_Petroleum</t>
  </si>
  <si>
    <t>ICH000:ja_NaturalGas</t>
  </si>
  <si>
    <t>ICH000:ja_Coal</t>
  </si>
  <si>
    <t>ICH000:ja_Other</t>
  </si>
  <si>
    <t>ICH000:ja_Total</t>
  </si>
  <si>
    <t>ICH000:ja_SalestotheGri</t>
  </si>
  <si>
    <t>ICH000:ja_Generationfor</t>
  </si>
  <si>
    <t>3/ Includes ethane, propane, butanes, natural gasoline, and refinery olefins.</t>
  </si>
  <si>
    <t>4/ Includes emissions attributable to the fuels consumed to generate the purchased electricity, but not non-combustion</t>
  </si>
  <si>
    <t>5/ Includes industrial-owned generators not classified as combined heat and power, such as standby generators.</t>
  </si>
  <si>
    <t>7/ Includes wood and other biomass, waste heat, municipal waste, and renewable sources.</t>
  </si>
  <si>
    <t>IGL000</t>
  </si>
  <si>
    <t>28. Glass Industry Energy Consumption</t>
  </si>
  <si>
    <t>IGL000:ba_ValueofShipme</t>
  </si>
  <si>
    <t>IGL000:ca_ResidualOil</t>
  </si>
  <si>
    <t>IGL000:ca_DistillateOil</t>
  </si>
  <si>
    <t>IGL000:ca_LiquefiedPetr</t>
  </si>
  <si>
    <t>IGL000:ca_PetroleumSubt</t>
  </si>
  <si>
    <t>IGL000:ca_NaturalGas</t>
  </si>
  <si>
    <t>IGL000:ca_SteamCoal</t>
  </si>
  <si>
    <t>IGL000:ca_PurchasedElec</t>
  </si>
  <si>
    <t>IGL000:ca_Total</t>
  </si>
  <si>
    <t>IGL000:da_ResidualOil</t>
  </si>
  <si>
    <t>IGL000:da_DistillateOil</t>
  </si>
  <si>
    <t>IGL000:da_LiquefiedPetr</t>
  </si>
  <si>
    <t>IGL000:da_PetroleumSubt</t>
  </si>
  <si>
    <t>IGL000:da_NaturalGas</t>
  </si>
  <si>
    <t>IGL000:da_SteamCoal</t>
  </si>
  <si>
    <t>IGL000:da_PurchasedElec</t>
  </si>
  <si>
    <t>IGL000:da_Total</t>
  </si>
  <si>
    <t>Carbon Dioxide Emissions 2/</t>
  </si>
  <si>
    <t>IGL000:ea_tonscarbon_dd</t>
  </si>
  <si>
    <t>Combined Heat and Power 3/</t>
  </si>
  <si>
    <t xml:space="preserve">  Generating Capacity (gigawatts) 4/</t>
  </si>
  <si>
    <t>IGL000:ga_Petroleum</t>
  </si>
  <si>
    <t>IGL000:ga_NaturalGas</t>
  </si>
  <si>
    <t>IGL000:ga_Coal</t>
  </si>
  <si>
    <t>IGL000:ga_Other</t>
  </si>
  <si>
    <t xml:space="preserve">    Other 5/</t>
  </si>
  <si>
    <t>IGL000:ga_Total</t>
  </si>
  <si>
    <t>IGL000:ha_Petroleum</t>
  </si>
  <si>
    <t>IGL000:ha_NaturalGas</t>
  </si>
  <si>
    <t>IGL000:ha_Coal</t>
  </si>
  <si>
    <t>IGL000:ha_Other</t>
  </si>
  <si>
    <t>IGL000:ha_Total</t>
  </si>
  <si>
    <t>IGL000:ha_SalestotheGri</t>
  </si>
  <si>
    <t>IGL000:ha_Generationfor</t>
  </si>
  <si>
    <t>2/ Includes emissions attributable to the fuels consumed to generate the purchased electricity, but not non-combustion</t>
  </si>
  <si>
    <t>3/ Includes industrial-owned generators not classified as combined heat and power, such as standby generators.</t>
  </si>
  <si>
    <t>4/ All capacities are in gigawatts alternating current.</t>
  </si>
  <si>
    <t>5/ Includes wood and other biomass, waste heat, municipal waste, and renewable sources.</t>
  </si>
  <si>
    <t>ICM000</t>
  </si>
  <si>
    <t>29. Cement and Lime Industry Energy Consumption</t>
  </si>
  <si>
    <t>ICM000:ba_ValueofShipme</t>
  </si>
  <si>
    <t>ICM000:ca_DistillateOil</t>
  </si>
  <si>
    <t>ICM000:ca_ResidualOil</t>
  </si>
  <si>
    <t>ICM000:ca_LiquefiedPetr</t>
  </si>
  <si>
    <t>ICM000:ca_PetroleumCoke</t>
  </si>
  <si>
    <t>ICM000:ca_OtherPetroleu</t>
  </si>
  <si>
    <t>ICM000:ca_PetroleumSubt</t>
  </si>
  <si>
    <t>ICM000:ca_NaturalGas</t>
  </si>
  <si>
    <t>ICM000:ca_SteamCoal</t>
  </si>
  <si>
    <t>ICM000:ca_Metallurgical</t>
  </si>
  <si>
    <t xml:space="preserve"> Metallurgical Coal</t>
  </si>
  <si>
    <t>ICM000:ca_CoalSubtotal</t>
  </si>
  <si>
    <t xml:space="preserve">   Coal Subtotal</t>
  </si>
  <si>
    <t>ICM000:ca_Renewables</t>
  </si>
  <si>
    <t>ICM000:ca_PurchasedElec</t>
  </si>
  <si>
    <t>ICM000:ca_Total</t>
  </si>
  <si>
    <t>ICM000:da_DistillateOil</t>
  </si>
  <si>
    <t>ICM000:da_ResidualOil</t>
  </si>
  <si>
    <t>ICM000:da_LiquefiedPetr</t>
  </si>
  <si>
    <t>ICM000:da_PetroleumCoke</t>
  </si>
  <si>
    <t>ICM000:da_OtherPetroleu</t>
  </si>
  <si>
    <t>ICM000:da_PetroleumSubt</t>
  </si>
  <si>
    <t>ICM000:da_NaturalGas</t>
  </si>
  <si>
    <t>ICM000:da_SteamCoal</t>
  </si>
  <si>
    <t>ICM000:da_Metallurgical</t>
  </si>
  <si>
    <t>ICM000:da_CoalSubtotal</t>
  </si>
  <si>
    <t>ICM000:da_Renewables</t>
  </si>
  <si>
    <t>ICM000:da_PurchasedElec</t>
  </si>
  <si>
    <t>ICM000:da_Total</t>
  </si>
  <si>
    <t>Carbon Dioxide Emissions</t>
  </si>
  <si>
    <t>ICM000:ea_tonscarbon_dd</t>
  </si>
  <si>
    <t xml:space="preserve">    Combustion (million metric tons) 3/</t>
  </si>
  <si>
    <t>ICM000:ea_proccarbon_dd</t>
  </si>
  <si>
    <t xml:space="preserve">    Process (million metric tons) 4/</t>
  </si>
  <si>
    <t>ICM000:ga_Petroleum</t>
  </si>
  <si>
    <t>ICM000:ga_NaturalGas</t>
  </si>
  <si>
    <t>ICM000:ga_Coal</t>
  </si>
  <si>
    <t>ICM000:ga_Other</t>
  </si>
  <si>
    <t>ICM000:ga_Total</t>
  </si>
  <si>
    <t>ICM000:ha_Petroleum</t>
  </si>
  <si>
    <t>ICM000:ha_NaturalGas</t>
  </si>
  <si>
    <t>ICM000:ha_Coal</t>
  </si>
  <si>
    <t>ICM000:ha_Other</t>
  </si>
  <si>
    <t>ICM000:ha_Total</t>
  </si>
  <si>
    <t>ICM000:ha_SalestotheGri</t>
  </si>
  <si>
    <t>ICM000:ha_Generationfor</t>
  </si>
  <si>
    <t>4/ CO2 emissions from non-combustion cement and lime processes.</t>
  </si>
  <si>
    <t>2022:  U.S. Energy Information Administration (EIA), Short-Term Energy Outlook, November 2022</t>
  </si>
  <si>
    <t>and EIA, AEO2023 National Energy Modeling System run ref2023.d020623a.</t>
  </si>
  <si>
    <t>Projections: EIA, AEO2023 National Energy Modeling System run ref2023.d020623a.</t>
  </si>
  <si>
    <t>IIR000</t>
  </si>
  <si>
    <t>30. Iron and Steel Industry Energy Consumption</t>
  </si>
  <si>
    <t>IIR000:ba_ValueofShipme</t>
  </si>
  <si>
    <t>IIR000:ca_DistillateOil</t>
  </si>
  <si>
    <t>IIR000:ca_ResidualOil</t>
  </si>
  <si>
    <t>IIR000:ca_LiquefiedPetr</t>
  </si>
  <si>
    <t>IIR000:ca_OtherPetroleu</t>
  </si>
  <si>
    <t>IIR000:ca_PetroleumSubt</t>
  </si>
  <si>
    <t>IIR000:ca_NaturalGas</t>
  </si>
  <si>
    <t>IIR000:ca_Metallurgical</t>
  </si>
  <si>
    <t>IIR000:ca_NetCokeImport</t>
  </si>
  <si>
    <t xml:space="preserve"> Net Coke Imports</t>
  </si>
  <si>
    <t>IIR000:ca_SteamCoal</t>
  </si>
  <si>
    <t>IIR000:ca_CoalSubtotal</t>
  </si>
  <si>
    <t>IIR000:ca_Renewables</t>
  </si>
  <si>
    <t>IIR000:ca_PurchasedElec</t>
  </si>
  <si>
    <t>IIR000:ca_Total</t>
  </si>
  <si>
    <t>IIR000:da_DistillateOil</t>
  </si>
  <si>
    <t>IIR000:da_ResidualOil</t>
  </si>
  <si>
    <t>IIR000:da_LiquefiedPetr</t>
  </si>
  <si>
    <t>IIR000:da_OtherPetroleu</t>
  </si>
  <si>
    <t>IIR000:da_PetroleumSubt</t>
  </si>
  <si>
    <t>IIR000:da_NaturalGas</t>
  </si>
  <si>
    <t>IIR000:da_Metallurgical</t>
  </si>
  <si>
    <t>IIR000:da_NetCokeImport</t>
  </si>
  <si>
    <t>IIR000:da_SteamCoal</t>
  </si>
  <si>
    <t>IIR000:da_CoalSubtotal</t>
  </si>
  <si>
    <t>IIR000:da_Renewables</t>
  </si>
  <si>
    <t>IIR000:da_PurchasedElec</t>
  </si>
  <si>
    <t>IIR000:da_Total</t>
  </si>
  <si>
    <t>IIR000:ea_tonscarbon_dd</t>
  </si>
  <si>
    <t>IIR000:ga_Petroleum</t>
  </si>
  <si>
    <t>IIR000:ga_NaturalGas</t>
  </si>
  <si>
    <t>IIR000:ga_Coal</t>
  </si>
  <si>
    <t>IIR000:ga_Other</t>
  </si>
  <si>
    <t>IIR000:ga_Total</t>
  </si>
  <si>
    <t>IIR000:ha_Petroleum</t>
  </si>
  <si>
    <t>IIR000:ha_NaturalGas</t>
  </si>
  <si>
    <t>IIR000:ha_Coal</t>
  </si>
  <si>
    <t>IIR000:ha_Other</t>
  </si>
  <si>
    <t>IIR000:ha_Total</t>
  </si>
  <si>
    <t>IIR000:ha_SalestotheGri</t>
  </si>
  <si>
    <t>IIR000:ha_Generationfor</t>
  </si>
  <si>
    <t>IAL000</t>
  </si>
  <si>
    <t>31. Aluminum Industry Energy Consumption</t>
  </si>
  <si>
    <t>IAL000:ba_ValueofShipme</t>
  </si>
  <si>
    <t>IAL000:ca_ResidualOil</t>
  </si>
  <si>
    <t>IAL000:ca_DistillateOil</t>
  </si>
  <si>
    <t>IAL000:ca_LiquefiedPetr</t>
  </si>
  <si>
    <t>IAL000:ca_PetroleumCoke</t>
  </si>
  <si>
    <t>IAL000:ca_OtherPetroleu</t>
  </si>
  <si>
    <t>IAL000:ca_PetroleumSubt</t>
  </si>
  <si>
    <t>IAL000:ca_NaturalGas</t>
  </si>
  <si>
    <t>IAL000:ca_SteamCoal</t>
  </si>
  <si>
    <t>IAL000:ca_Renewables</t>
  </si>
  <si>
    <t>IAL000:ca_PurchasedElec</t>
  </si>
  <si>
    <t>IAL000:ca_Total</t>
  </si>
  <si>
    <t>IAL000:da_ResidualOil</t>
  </si>
  <si>
    <t>IAL000:da_DistillateOil</t>
  </si>
  <si>
    <t>IAL000:da_LiquefiedPetr</t>
  </si>
  <si>
    <t>IAL000:da_PetroleumCoke</t>
  </si>
  <si>
    <t>IAL000:da_OtherPetroleu</t>
  </si>
  <si>
    <t>IAL000:da_PetroleumSubt</t>
  </si>
  <si>
    <t>IAL000:da_NaturalGas</t>
  </si>
  <si>
    <t>IAL000:da_SteamCoal</t>
  </si>
  <si>
    <t>IAL000:da_Renewables</t>
  </si>
  <si>
    <t>IAL000:da_PurchasedElec</t>
  </si>
  <si>
    <t>IAL000:da_Total</t>
  </si>
  <si>
    <t>IAL000:ea_tonscarbon_dd</t>
  </si>
  <si>
    <t>IAL000:ga_Petroleum</t>
  </si>
  <si>
    <t>IAL000:ga_NaturalGas</t>
  </si>
  <si>
    <t>IAL000:ga_Coal</t>
  </si>
  <si>
    <t>IAL000:ga_Other</t>
  </si>
  <si>
    <t>IAL000:ga_Total</t>
  </si>
  <si>
    <t>IAL000:ha_Petroleum</t>
  </si>
  <si>
    <t>IAL000:ha_NaturalGas</t>
  </si>
  <si>
    <t>IAL000:ha_Coal</t>
  </si>
  <si>
    <t>IAL000:ha_Other</t>
  </si>
  <si>
    <t>IAL000:ha_Total</t>
  </si>
  <si>
    <t>IAL000:ha_SalestotheGri</t>
  </si>
  <si>
    <t>IAL000:ha_Generationfor</t>
  </si>
  <si>
    <t>Note:  Includes estimated consumption for petroleum and other liquids.  Totals may not equal sum of components due to independent</t>
  </si>
  <si>
    <t>rounding.</t>
  </si>
  <si>
    <t>MBD000</t>
  </si>
  <si>
    <t>32. Metal-based Durables Industry Energy Consumption</t>
  </si>
  <si>
    <t>Energy Consumption (trillion Btu)</t>
  </si>
  <si>
    <t xml:space="preserve">   Fabricated Metal Products Consumption 1/</t>
  </si>
  <si>
    <t>MBD000:aa_LiquefiedPetr</t>
  </si>
  <si>
    <t xml:space="preserve">      Propane</t>
  </si>
  <si>
    <t>MBD000:aa_DistillateOil</t>
  </si>
  <si>
    <t xml:space="preserve">      Distillate Fuel Oil</t>
  </si>
  <si>
    <t>MBD000:aa_ResidualOil</t>
  </si>
  <si>
    <t xml:space="preserve">      Residual Fuel Oil</t>
  </si>
  <si>
    <t>MBD000:aa_PetrolCoke</t>
  </si>
  <si>
    <t xml:space="preserve">      Petroleum Coke</t>
  </si>
  <si>
    <t>MBD000:aa_PetroleumSubt</t>
  </si>
  <si>
    <t xml:space="preserve">         Petroleum and Other Liquids Subtotal</t>
  </si>
  <si>
    <t>MBD000:aa_NaturalGas</t>
  </si>
  <si>
    <t xml:space="preserve">      Natural Gas</t>
  </si>
  <si>
    <t>MBD000:aa_Metallurgical</t>
  </si>
  <si>
    <t xml:space="preserve">      Metallurgical Coal</t>
  </si>
  <si>
    <t>MBD000:aa_SteamCoal</t>
  </si>
  <si>
    <t xml:space="preserve">      Steam Coal</t>
  </si>
  <si>
    <t>MBD000:aa_Renewables</t>
  </si>
  <si>
    <t xml:space="preserve">      Renewables</t>
  </si>
  <si>
    <t>MBD000:aa_PurchasedElec</t>
  </si>
  <si>
    <t xml:space="preserve">      Purchased Electricity</t>
  </si>
  <si>
    <t>MBD000:aa_Total</t>
  </si>
  <si>
    <t xml:space="preserve">         Total</t>
  </si>
  <si>
    <t xml:space="preserve">   Machinery Consumption 1/</t>
  </si>
  <si>
    <t>MBD000:ba_LiquefiedPetr</t>
  </si>
  <si>
    <t>MBD000:ba_DistillateOil</t>
  </si>
  <si>
    <t>MBD000:ba_ResidualOil</t>
  </si>
  <si>
    <t>MBD000:ba_PetrolCoke</t>
  </si>
  <si>
    <t>MBD000:ba_PetroleumSubt</t>
  </si>
  <si>
    <t>MBD000:ba_NaturalGas</t>
  </si>
  <si>
    <t>MBD000:ba_SteamCoal</t>
  </si>
  <si>
    <t>MBD000:ba_Renewables</t>
  </si>
  <si>
    <t>MBD000:ba_PurchasedElec</t>
  </si>
  <si>
    <t>MBD000:ba_Total</t>
  </si>
  <si>
    <t xml:space="preserve">   Computers Consumption 1/</t>
  </si>
  <si>
    <t>MBD000:ca_LiquefiedPetr</t>
  </si>
  <si>
    <t>MBD000:ca_DistillateOil</t>
  </si>
  <si>
    <t>MBD000:ca_ResidualOil</t>
  </si>
  <si>
    <t>MBD000:ca_PetrolCoke</t>
  </si>
  <si>
    <t>MBD000:ca_PetroleumSubt</t>
  </si>
  <si>
    <t>MBD000:ca_NaturalGas</t>
  </si>
  <si>
    <t>MBD000:ca_SteamCoal</t>
  </si>
  <si>
    <t>MBD000:ca_Renewables</t>
  </si>
  <si>
    <t>MBD000:ca_PurchasedElec</t>
  </si>
  <si>
    <t>MBD000:ca_Total</t>
  </si>
  <si>
    <t xml:space="preserve">   Transportation Equipment Consumption 1/</t>
  </si>
  <si>
    <t>MBD000:da_LiquefiedPetr</t>
  </si>
  <si>
    <t>MBD000:da_DistillateOil</t>
  </si>
  <si>
    <t>MBD000:da_ResidualOil</t>
  </si>
  <si>
    <t>MBD000:da_PetrolCoke</t>
  </si>
  <si>
    <t>MBD000:da_PetroleumSubt</t>
  </si>
  <si>
    <t>MBD000:da_NaturalGas</t>
  </si>
  <si>
    <t>MBD000:da_SteamCoal</t>
  </si>
  <si>
    <t>MBD000:da_Renewables</t>
  </si>
  <si>
    <t>MBD000:da_PurchasedElec</t>
  </si>
  <si>
    <t>MBD000:da_Total</t>
  </si>
  <si>
    <t xml:space="preserve">   Electrical Equipment Consumption 1/</t>
  </si>
  <si>
    <t>MBD000:ea_LiquefiedPetr</t>
  </si>
  <si>
    <t>MBD000:ea_DistillateOil</t>
  </si>
  <si>
    <t>MBD000:ea_ResidualOil</t>
  </si>
  <si>
    <t>MBD000:ea_PetrolCoke</t>
  </si>
  <si>
    <t>MBD000:ea_PetroleumSubt</t>
  </si>
  <si>
    <t>MBD000:ea_NaturalGas</t>
  </si>
  <si>
    <t>MBD000:ea_SteamCoal</t>
  </si>
  <si>
    <t>MBD000:ea_Renewables</t>
  </si>
  <si>
    <t>MBD000:ea_PurchasedElec</t>
  </si>
  <si>
    <t>MBD000:ea_Total</t>
  </si>
  <si>
    <t>MBD000:aa_ValueofShipme</t>
  </si>
  <si>
    <t xml:space="preserve">   Fabricated Metal Products</t>
  </si>
  <si>
    <t>MBD000:ba_ValueofShipme</t>
  </si>
  <si>
    <t xml:space="preserve">   Machinery</t>
  </si>
  <si>
    <t>MBD000:ca_ValueofShipme</t>
  </si>
  <si>
    <t xml:space="preserve">   Computers</t>
  </si>
  <si>
    <t>MBD000:da_ValueofShipme</t>
  </si>
  <si>
    <t xml:space="preserve">   Transportation Equipment</t>
  </si>
  <si>
    <t>MBD000:ea_ValueofShipme</t>
  </si>
  <si>
    <t xml:space="preserve">   Electrical Equipment</t>
  </si>
  <si>
    <t>MBD000:aa_(thousandBtup</t>
  </si>
  <si>
    <t>MBD000:ba_(thousandBtup</t>
  </si>
  <si>
    <t>MBD000:ca_(thousandBtup</t>
  </si>
  <si>
    <t>MBD000:da_(thousandBtup</t>
  </si>
  <si>
    <t>MBD000:ea_(thousandBtup</t>
  </si>
  <si>
    <t>Carbon Dioxide Emissions 2/ (million metric</t>
  </si>
  <si>
    <t xml:space="preserve"> tons carbon dioxide)</t>
  </si>
  <si>
    <t>MBD000:aa_tonscarbon_dd</t>
  </si>
  <si>
    <t>MBD000:ba_tonscarbon_dd</t>
  </si>
  <si>
    <t>MBD000:ca_tonscarbon_dd</t>
  </si>
  <si>
    <t>MBD000:da_tonscarbon_dd</t>
  </si>
  <si>
    <t>MBD000:ea_tonscarbon_dd</t>
  </si>
  <si>
    <t>Fabricated Metal Products, Machinery,</t>
  </si>
  <si>
    <t>Computers, Transportation Equipment,</t>
  </si>
  <si>
    <t>and Electrical Equipment:</t>
  </si>
  <si>
    <t xml:space="preserve"> Combined Heat and Power 3/</t>
  </si>
  <si>
    <t>MBD000:ma_Petroleum</t>
  </si>
  <si>
    <t>MBD000:ma_NaturalGas</t>
  </si>
  <si>
    <t>MBD000:ma_Coal</t>
  </si>
  <si>
    <t>MBD000:ma_Other</t>
  </si>
  <si>
    <t>MBD000:ma_Total</t>
  </si>
  <si>
    <t>MBD000:na_Petroleum</t>
  </si>
  <si>
    <t>MBD000:na_NaturalGas</t>
  </si>
  <si>
    <t>MBD000:na_Coal</t>
  </si>
  <si>
    <t>MBD000:na_Other</t>
  </si>
  <si>
    <t>MBD000:na_Total</t>
  </si>
  <si>
    <t>MBD000:na_SalestotheGri</t>
  </si>
  <si>
    <t>MBD000:na_Generationfor</t>
  </si>
  <si>
    <t>BOM000</t>
  </si>
  <si>
    <t>33. Other Manufacturing Industry Energy Consumption</t>
  </si>
  <si>
    <t xml:space="preserve">   Wood Products Consumption 1/</t>
  </si>
  <si>
    <t>BOM000:aa_LiquefiedPetr</t>
  </si>
  <si>
    <t>BOM000:aa_DistillateOil</t>
  </si>
  <si>
    <t>BOM000:aa_ResidualOil</t>
  </si>
  <si>
    <t>BOM000:aa_PetroleumSubt</t>
  </si>
  <si>
    <t>BOM000:aa_NaturalGas</t>
  </si>
  <si>
    <t>BOM000:aa_SteamCoal</t>
  </si>
  <si>
    <t>BOM000:aa_MetCoal</t>
  </si>
  <si>
    <t>BOM000:aa_Renewables</t>
  </si>
  <si>
    <t>BOM000:aa_PurchasedElec</t>
  </si>
  <si>
    <t>BOM000:aa_Total</t>
  </si>
  <si>
    <t xml:space="preserve">   Plastics Consumption 1/</t>
  </si>
  <si>
    <t>BOM000:ba_LiquefiedPetr</t>
  </si>
  <si>
    <t>BOM000:ba_DistillateOil</t>
  </si>
  <si>
    <t>BOM000:ba_ResidualOil</t>
  </si>
  <si>
    <t>BOM000:ba_PetroleumSubt</t>
  </si>
  <si>
    <t>BOM000:ba_NaturalGas</t>
  </si>
  <si>
    <t>BOM000:ba_SteamCoal</t>
  </si>
  <si>
    <t>BOM000:ba_MetCoal</t>
  </si>
  <si>
    <t>BOM000:ba_Renewables</t>
  </si>
  <si>
    <t>BOM000:ba_PurchasedElec</t>
  </si>
  <si>
    <t>BOM000:ba_Total</t>
  </si>
  <si>
    <t xml:space="preserve">   Balance of Manufacturing Consumption 1/</t>
  </si>
  <si>
    <t>BOM000:ca_LiquefiedPetr</t>
  </si>
  <si>
    <t>BOM000:ca_DistillateOil</t>
  </si>
  <si>
    <t>BOM000:ca_ResidualOil</t>
  </si>
  <si>
    <t>BOM000:ca_PetroleumCoke</t>
  </si>
  <si>
    <t>BOM000:ca_OtherPetrol</t>
  </si>
  <si>
    <t xml:space="preserve">      Other Petroleum 2/</t>
  </si>
  <si>
    <t>BOM000:ca_PetroleumSubt</t>
  </si>
  <si>
    <t>BOM000:ca_NaturalGas</t>
  </si>
  <si>
    <t>BOM000:ca_SteamCoal</t>
  </si>
  <si>
    <t>BOM000:ca_MetCoal</t>
  </si>
  <si>
    <t>BOM000:ca_Renewables</t>
  </si>
  <si>
    <t>BOM000:ca_PurchasedElec</t>
  </si>
  <si>
    <t>BOM000:ca_Total</t>
  </si>
  <si>
    <t>BOM000:ca_ValueofShipme</t>
  </si>
  <si>
    <t xml:space="preserve">   Wood Products</t>
  </si>
  <si>
    <t>BOM000:ea_ValueofShipme</t>
  </si>
  <si>
    <t xml:space="preserve">   Plastics</t>
  </si>
  <si>
    <t>BOM000:fa_ValueofShipme</t>
  </si>
  <si>
    <t xml:space="preserve">   Balance of Manufacturing</t>
  </si>
  <si>
    <t>BOM000:ca_(thousandBtup</t>
  </si>
  <si>
    <t>BOM000:ea_(thousandBtup</t>
  </si>
  <si>
    <t>BOM000:fa_(thousandBtup</t>
  </si>
  <si>
    <t>Carbon Dioxide Emissions 3/ (million metric</t>
  </si>
  <si>
    <t>BOM000:ca_tonscarbon_dd</t>
  </si>
  <si>
    <t>BOM000:ea_tonscarbon_dd</t>
  </si>
  <si>
    <t>BOM000:fa_tonscarbon_dd</t>
  </si>
  <si>
    <t>Wood, Plastics, and Balance of Manufacturing:</t>
  </si>
  <si>
    <t xml:space="preserve"> Combined Heat and Power 4/</t>
  </si>
  <si>
    <t>BOM000:ma_Petroleum</t>
  </si>
  <si>
    <t>BOM000:ma_NaturalGas</t>
  </si>
  <si>
    <t>BOM000:ma_Coal</t>
  </si>
  <si>
    <t>BOM000:ma_Other</t>
  </si>
  <si>
    <t>BOM000:ma_Total</t>
  </si>
  <si>
    <t>BOM000:na_Petroleum</t>
  </si>
  <si>
    <t>BOM000:na_NaturalGas</t>
  </si>
  <si>
    <t>BOM000:na_Coal</t>
  </si>
  <si>
    <t>BOM000:na_Other</t>
  </si>
  <si>
    <t>BOM000:na_Total</t>
  </si>
  <si>
    <t>BOM000:na_SalestotheGri</t>
  </si>
  <si>
    <t>BOM000:na_Generationfor</t>
  </si>
  <si>
    <t>- - - Not applicable.</t>
  </si>
  <si>
    <t>PRC000</t>
  </si>
  <si>
    <t>3. Energy Prices by Sector and Source</t>
  </si>
  <si>
    <t>(2022 dollars per million Btu, unless otherwise noted)</t>
  </si>
  <si>
    <t xml:space="preserve"> Sector and Source</t>
  </si>
  <si>
    <t xml:space="preserve"> Residential</t>
  </si>
  <si>
    <t>PRC000:ba_LiquefiedPetr</t>
  </si>
  <si>
    <t xml:space="preserve">   Propane</t>
  </si>
  <si>
    <t>PRC000:ba_DistillateFue</t>
  </si>
  <si>
    <t xml:space="preserve">   Distillate Fuel Oil</t>
  </si>
  <si>
    <t>PRC000:ba_NaturalGas</t>
  </si>
  <si>
    <t xml:space="preserve">   Natural Gas</t>
  </si>
  <si>
    <t>PRC000:ba_Electricity</t>
  </si>
  <si>
    <t xml:space="preserve"> Commercial</t>
  </si>
  <si>
    <t>PRC000:ca_LiquefiedGas</t>
  </si>
  <si>
    <t>PRC000:ca_DistillateFue</t>
  </si>
  <si>
    <t>PRC000:ca_ResidualFuel</t>
  </si>
  <si>
    <t xml:space="preserve">   Residual Fuel Oil</t>
  </si>
  <si>
    <t>PRC000:ca_NaturalGas</t>
  </si>
  <si>
    <t>PRC000:ca_Electricity</t>
  </si>
  <si>
    <t xml:space="preserve"> Industrial 1/</t>
  </si>
  <si>
    <t>PRC000:da_LiquefiedPetr</t>
  </si>
  <si>
    <t>PRC000:da_DistillateFue</t>
  </si>
  <si>
    <t>PRC000:da_ResidualFuel</t>
  </si>
  <si>
    <t>PRC000:da_NaturalGas</t>
  </si>
  <si>
    <t xml:space="preserve">   Natural Gas 2/</t>
  </si>
  <si>
    <t>PRC000:da_Metallurgical</t>
  </si>
  <si>
    <t xml:space="preserve">   Metallurgical Coal</t>
  </si>
  <si>
    <t>PRC000:da_SteamCoal</t>
  </si>
  <si>
    <t xml:space="preserve">   Other Industrial Coal</t>
  </si>
  <si>
    <t>PRC000:da_CoaltoLiquids</t>
  </si>
  <si>
    <t xml:space="preserve">   Coal to Liquids</t>
  </si>
  <si>
    <t>PRC000:da_Electricity</t>
  </si>
  <si>
    <t xml:space="preserve"> Transportation</t>
  </si>
  <si>
    <t>PRC000:ea_LiquefiedPetr</t>
  </si>
  <si>
    <t>PRC000:ea_Ethanol(E85)</t>
  </si>
  <si>
    <t xml:space="preserve">   E85 3/</t>
  </si>
  <si>
    <t>PRC000:ea_MotorGasoline</t>
  </si>
  <si>
    <t xml:space="preserve">   Motor Gasoline 4/</t>
  </si>
  <si>
    <t>PRC000:ea_JetFuel</t>
  </si>
  <si>
    <t xml:space="preserve">   Jet Fuel 5/</t>
  </si>
  <si>
    <t>PRC000:ea_DistillateFue</t>
  </si>
  <si>
    <t xml:space="preserve">   Diesel Fuel (distillate fuel oil) 6/</t>
  </si>
  <si>
    <t>PRC000:ea_ResidualFuel</t>
  </si>
  <si>
    <t>PRC000:ea_NaturalGas</t>
  </si>
  <si>
    <t xml:space="preserve">   Natural Gas 7/</t>
  </si>
  <si>
    <t>PRC000:ea_Electricity</t>
  </si>
  <si>
    <t xml:space="preserve"> Electric Power 8/</t>
  </si>
  <si>
    <t>PRC000:ga_DistillateFue</t>
  </si>
  <si>
    <t>PRC000:ga_ResidualFuel</t>
  </si>
  <si>
    <t>PRC000:ga_NaturalGas</t>
  </si>
  <si>
    <t>PRC000:ga_SteamCoal</t>
  </si>
  <si>
    <t xml:space="preserve">   Steam Coal</t>
  </si>
  <si>
    <t>PRC000:ga_uranium</t>
  </si>
  <si>
    <t xml:space="preserve">   Uranium</t>
  </si>
  <si>
    <t xml:space="preserve"> Average Price to All Users 9/</t>
  </si>
  <si>
    <t>PRC000:ha_LiquefiedPetr</t>
  </si>
  <si>
    <t>PRC000:ha_Ethanol(E85)</t>
  </si>
  <si>
    <t>PRC000:ha_MotorGasoline</t>
  </si>
  <si>
    <t>PRC000:ha_JetFuel</t>
  </si>
  <si>
    <t>PRC000:ha_DistillateFue</t>
  </si>
  <si>
    <t>PRC000:ha_ResidualFuel</t>
  </si>
  <si>
    <t>PRC000:ha_NaturalGas</t>
  </si>
  <si>
    <t>PRC000:ha_Metallugical</t>
  </si>
  <si>
    <t>PRC000:ha_Coal</t>
  </si>
  <si>
    <t xml:space="preserve">   Other Coal</t>
  </si>
  <si>
    <t>PRC000:ha_CoaltoLiquids</t>
  </si>
  <si>
    <t>PRC000:ha_Electricity</t>
  </si>
  <si>
    <t>Non-Renewable Energy Expenditures by Sector</t>
  </si>
  <si>
    <t>(billion 2022 dollars)</t>
  </si>
  <si>
    <t>PRC000:ia_Residential</t>
  </si>
  <si>
    <t>PRC000:ia_Commercial</t>
  </si>
  <si>
    <t>PRC000:ia_Industrial</t>
  </si>
  <si>
    <t>PRC000:ia_Transportatio</t>
  </si>
  <si>
    <t>PRC000:ia_TotalNon-Rene</t>
  </si>
  <si>
    <t xml:space="preserve">   Total Non-Renewable Expenditures</t>
  </si>
  <si>
    <t>PRC000:ja_Transportatio</t>
  </si>
  <si>
    <t xml:space="preserve"> Transportation Renewable Expenditures</t>
  </si>
  <si>
    <t>PRC000:ja_TotalExpendit</t>
  </si>
  <si>
    <t xml:space="preserve">   Total Expenditures</t>
  </si>
  <si>
    <t>Prices in Nominal Dollars</t>
  </si>
  <si>
    <t>PRC000:nom_R_LiquefiedP</t>
  </si>
  <si>
    <t>PRC000:nom_R_Distillate</t>
  </si>
  <si>
    <t>PRC000:nom_R_NaturalGas</t>
  </si>
  <si>
    <t>PRC000:nom_R_Electricit</t>
  </si>
  <si>
    <t>PRC000:nom_C_LiquefiedG</t>
  </si>
  <si>
    <t>PRC000:nom_C_Distillate</t>
  </si>
  <si>
    <t>PRC000:nom_C_ResidualFu</t>
  </si>
  <si>
    <t>PRC000:nom_C_NaturalGas</t>
  </si>
  <si>
    <t>PRC000:nom_C_Electricit</t>
  </si>
  <si>
    <t>PRC000:nom_I_LiquefiedP</t>
  </si>
  <si>
    <t>PRC000:nom_I_Distillate</t>
  </si>
  <si>
    <t>PRC000:nom_I_ResidualFu</t>
  </si>
  <si>
    <t>PRC000:nom_I_NaturalGas</t>
  </si>
  <si>
    <t>PRC000:nom_I_Metallurgi</t>
  </si>
  <si>
    <t>PRC000:nom_I_SteamCoal</t>
  </si>
  <si>
    <t>PRC000:nom_I_CoaltoLiqu</t>
  </si>
  <si>
    <t>PRC000:nom_I_Electricit</t>
  </si>
  <si>
    <t>PRC000:nom_T_LiquefiedP</t>
  </si>
  <si>
    <t>PRC000:nom_T_Ethan(E85)</t>
  </si>
  <si>
    <t>PRC000:nom_T_MotorGasol</t>
  </si>
  <si>
    <t>PRC000:nom_T_JetFuel</t>
  </si>
  <si>
    <t>PRC000:nom_T_Distillate</t>
  </si>
  <si>
    <t>PRC000:nom_T_ResidualFu</t>
  </si>
  <si>
    <t>PRC000:nom_T_NaturalGas</t>
  </si>
  <si>
    <t>PRC000:nom_T_Electricit</t>
  </si>
  <si>
    <t>PRC000:nom_E_Distillate</t>
  </si>
  <si>
    <t>PRC000:nom_E_ResidualFu</t>
  </si>
  <si>
    <t>PRC000:nom_E_NaturalGas</t>
  </si>
  <si>
    <t>PRC000:nom_E_SteamCoal</t>
  </si>
  <si>
    <t>PRC000:nom_E_uranium</t>
  </si>
  <si>
    <t>PRC000:nom_Avg_Liquefie</t>
  </si>
  <si>
    <t>PRC000:nom_Avg_E85_E85</t>
  </si>
  <si>
    <t>PRC000:nom_Avg_MotorGas</t>
  </si>
  <si>
    <t>PRC000:nom_Avg_JetFuel</t>
  </si>
  <si>
    <t>PRC000:nom_Avg_Distilla</t>
  </si>
  <si>
    <t>PRC000:nom_Avg_Residual</t>
  </si>
  <si>
    <t>PRC000:nom_Avg_NaturalG</t>
  </si>
  <si>
    <t>PRC000:nom_Avg_Metallug</t>
  </si>
  <si>
    <t>PRC000:nom_Avg_Coal</t>
  </si>
  <si>
    <t>PRC000:nom_Avg_CoaltoLi</t>
  </si>
  <si>
    <t>PRC000:nom_Avg_Electric</t>
  </si>
  <si>
    <t>(billion nominal dollars)</t>
  </si>
  <si>
    <t>PRC000:nom_Residential</t>
  </si>
  <si>
    <t>PRC000:nom_Commercial</t>
  </si>
  <si>
    <t>PRC000:nom_Industrial</t>
  </si>
  <si>
    <t>PRC000:nom_TransNonRenw</t>
  </si>
  <si>
    <t>PRC000:nom_TotalNon-Ren</t>
  </si>
  <si>
    <t>PRC000:nom_TransRenewEx</t>
  </si>
  <si>
    <t>PRC000:nom_TotalExpendi</t>
  </si>
  <si>
    <t>2/ Excludes use for lease and plant fuel and fuel used for liquefaction in export facilities.</t>
  </si>
  <si>
    <t>3/ E85 refers to a high-level ethanol-gasoline blend containing 51% to 83% ethanol, depending on geography and season. To address cold</t>
  </si>
  <si>
    <t>starting issues, the percentage of ethanol varies seasonally. The annual average ethanol content of 74% is used for these projections</t>
  </si>
  <si>
    <t>4/ Sales weighted-average price for all grades.  Includes Federal, State, and local taxes.</t>
  </si>
  <si>
    <t>5/ Kerosene-type jet fuel.  Includes federal and state taxes while excluding county and local taxes.</t>
  </si>
  <si>
    <t>6/ Diesel fuel for on-road use.  Includes federal and state taxes while excluding county and local taxes.</t>
  </si>
  <si>
    <t>7/ Natural gas used as fuel in motor vehicles, trains, and ships.  Price includes estimated motor vehicle fuel taxes</t>
  </si>
  <si>
    <t>and estimated dispensing costs or charges.</t>
  </si>
  <si>
    <t>8/ Includes electricity-only and combined-heat-and-power plants that have a regulatory status.</t>
  </si>
  <si>
    <t>9/ Weighted averages of end-use fuel prices are derived from the prices shown in each sector and the corresponding sectoral consumption.</t>
  </si>
  <si>
    <t>Data source: 2022:  U.S. Energy Information Administration (EIA), Short-Term Energy Outlook, November 2022 and EIA, AEO2023</t>
  </si>
  <si>
    <t>National Energy Modeling System run ref2023.d020623a.  Projections:  EIA, AEO2023 National Energy Modeling System run ref2023.d020623a.</t>
  </si>
  <si>
    <t>ESD000</t>
  </si>
  <si>
    <t>8. Electricity Supply, Disposition, Prices, and Emissions</t>
  </si>
  <si>
    <t>(billion kilowatthours, unless otherwise noted)</t>
  </si>
  <si>
    <t xml:space="preserve"> Supply, Disposition, Prices, and Emissions</t>
  </si>
  <si>
    <t>Net Generation by Fuel Type</t>
  </si>
  <si>
    <t>Electric Power Sector 1/</t>
  </si>
  <si>
    <t xml:space="preserve">  Power Only 2/</t>
  </si>
  <si>
    <t>ESD000:ca_Coal</t>
  </si>
  <si>
    <t>ESD000:ca_Petroleum</t>
  </si>
  <si>
    <t>ESD000:ca_NaturalGas</t>
  </si>
  <si>
    <t xml:space="preserve">    Natural Gas 3/</t>
  </si>
  <si>
    <t>ESD000:ca_NuclearPower</t>
  </si>
  <si>
    <t xml:space="preserve">    Nuclear Power</t>
  </si>
  <si>
    <t>ESD000:ca_PumpedStorage</t>
  </si>
  <si>
    <t xml:space="preserve">    Pumped Storage/Other 4/</t>
  </si>
  <si>
    <t>ESD000:ca_RenewableSour</t>
  </si>
  <si>
    <t xml:space="preserve">    Renewable Sources 5/</t>
  </si>
  <si>
    <t>ESD000:ca_DistributedGe</t>
  </si>
  <si>
    <t xml:space="preserve">    Distributed Generation (Natural Gas)</t>
  </si>
  <si>
    <t>ESD000:ca_Total</t>
  </si>
  <si>
    <t xml:space="preserve">  Combined Heat and Power 6/</t>
  </si>
  <si>
    <t>ESD000:da_Coal</t>
  </si>
  <si>
    <t>ESD000:da_Petroleum</t>
  </si>
  <si>
    <t>ESD000:da_NaturalGas</t>
  </si>
  <si>
    <t>ESD000:da_RenewableSour</t>
  </si>
  <si>
    <t xml:space="preserve">    Renewable Sources</t>
  </si>
  <si>
    <t>ESD000:da_OtherCHaP</t>
  </si>
  <si>
    <t xml:space="preserve">    Other</t>
  </si>
  <si>
    <t>ESD000:da_Total</t>
  </si>
  <si>
    <t>ESD000:da_TotalNetGener</t>
  </si>
  <si>
    <t xml:space="preserve">  Total Net Electric Power Sector Generation</t>
  </si>
  <si>
    <t>ESD000:da_LessDirectUse</t>
  </si>
  <si>
    <t xml:space="preserve">  Less Direct Use</t>
  </si>
  <si>
    <t>ESD000:ea_NetAvailablet</t>
  </si>
  <si>
    <t xml:space="preserve">  Net Available to the Grid</t>
  </si>
  <si>
    <t xml:space="preserve">  End-Use Sector 7/</t>
  </si>
  <si>
    <t>ESD000:fa_Coal</t>
  </si>
  <si>
    <t>ESD000:fa_Petroleum</t>
  </si>
  <si>
    <t>ESD000:fa_NaturalGas</t>
  </si>
  <si>
    <t>ESD000:fa_OtherGaseousF</t>
  </si>
  <si>
    <t xml:space="preserve">    Other Gaseous Fuels 8/</t>
  </si>
  <si>
    <t>ESD000:fa_RenewableSour</t>
  </si>
  <si>
    <t xml:space="preserve">    Renewable Sources 9/</t>
  </si>
  <si>
    <t>ESD000:fa_Other</t>
  </si>
  <si>
    <t xml:space="preserve">    Other 10/</t>
  </si>
  <si>
    <t>ESD000:fa_Total</t>
  </si>
  <si>
    <t xml:space="preserve">      Total End-Use Sector Net Generation</t>
  </si>
  <si>
    <t>ESD000:fa_LessDirectUse</t>
  </si>
  <si>
    <t xml:space="preserve">    Less Direct Use</t>
  </si>
  <si>
    <t>ESD000:fa_TotalSalestot</t>
  </si>
  <si>
    <t xml:space="preserve">      Total Sales to the Grid</t>
  </si>
  <si>
    <t xml:space="preserve">  Total Net Electricity Generation by Fuel</t>
  </si>
  <si>
    <t>ESD000:xx_CoalInSocks</t>
  </si>
  <si>
    <t>ESD000:xx_Petroleum</t>
  </si>
  <si>
    <t>ESD000:xx_NaturalGas</t>
  </si>
  <si>
    <t>ESD000:xx_NuclearPower</t>
  </si>
  <si>
    <t>ESD000:xx_RenewableSour</t>
  </si>
  <si>
    <t xml:space="preserve">    Renewable Sources 5,9/</t>
  </si>
  <si>
    <t>ESD000:xx_OtherWithPump</t>
  </si>
  <si>
    <t xml:space="preserve">    Other 11/</t>
  </si>
  <si>
    <t>ESD000:ga_TotalElectric</t>
  </si>
  <si>
    <t>Total Net Electricity Generation</t>
  </si>
  <si>
    <t>ESD000:ga_TotalNetGener</t>
  </si>
  <si>
    <t>Net Generation to the Grid</t>
  </si>
  <si>
    <t>ESD000:ha_NetImports</t>
  </si>
  <si>
    <t>Net Imports</t>
  </si>
  <si>
    <t>Electricity Sales by Sector</t>
  </si>
  <si>
    <t>ESD000:ia_Residential</t>
  </si>
  <si>
    <t xml:space="preserve">  Residential</t>
  </si>
  <si>
    <t>ESD000:ia_Commercial</t>
  </si>
  <si>
    <t xml:space="preserve">  Commercial</t>
  </si>
  <si>
    <t>ESD000:ia_Industrial</t>
  </si>
  <si>
    <t xml:space="preserve">  Industrial</t>
  </si>
  <si>
    <t>ESD000:ia_Transportatio</t>
  </si>
  <si>
    <t xml:space="preserve">  Transportation</t>
  </si>
  <si>
    <t>ESD000:ia_Total</t>
  </si>
  <si>
    <t>ESD000:ia_DirectUse</t>
  </si>
  <si>
    <t>Direct Use</t>
  </si>
  <si>
    <t>ESD000:ia_TotalConsumpt</t>
  </si>
  <si>
    <t>Total Electricity Use</t>
  </si>
  <si>
    <t>End-Use Prices</t>
  </si>
  <si>
    <t>(2022 cents per kilowatthour)</t>
  </si>
  <si>
    <t>ESD000:ja_Residential</t>
  </si>
  <si>
    <t>ESD000:ja_Commercial</t>
  </si>
  <si>
    <t>ESD000:ja_Industrial</t>
  </si>
  <si>
    <t>ESD000:ja_Transportatio</t>
  </si>
  <si>
    <t>ESD000:ja_AllSectorsAve</t>
  </si>
  <si>
    <t xml:space="preserve">    All Sectors Average</t>
  </si>
  <si>
    <t>(nominal cents per kilowatthour)</t>
  </si>
  <si>
    <t>ESD000:nom_Residential</t>
  </si>
  <si>
    <t>ESD000:nom_Commercial</t>
  </si>
  <si>
    <t>ESD000:nom_Industrial</t>
  </si>
  <si>
    <t>ESD000:nom_Transportati</t>
  </si>
  <si>
    <t>ESD000:nom_AllSectorsAv</t>
  </si>
  <si>
    <t>Prices by Service Category</t>
  </si>
  <si>
    <t>ESD000:ka_Generation</t>
  </si>
  <si>
    <t xml:space="preserve">  Generation</t>
  </si>
  <si>
    <t>ESD000:ka_Transmission</t>
  </si>
  <si>
    <t xml:space="preserve">  Transmission</t>
  </si>
  <si>
    <t>ESD000:ka_Distribution</t>
  </si>
  <si>
    <t xml:space="preserve">  Distribution</t>
  </si>
  <si>
    <t>ESD000:nom_Generation</t>
  </si>
  <si>
    <t>ESD000:nom_Transmission</t>
  </si>
  <si>
    <t>ESD000:nom_Distribution</t>
  </si>
  <si>
    <t>Electric Power Sector Emissions 1/</t>
  </si>
  <si>
    <t>ESD000:la_SulfurDioxide</t>
  </si>
  <si>
    <t xml:space="preserve">  Sulfur Dioxide (million short tons)</t>
  </si>
  <si>
    <t>ESD000:la_NitrogenOxide</t>
  </si>
  <si>
    <t xml:space="preserve">  Nitrogen Oxide (million short tons)</t>
  </si>
  <si>
    <t>ESD000:la_Mercury(tons)</t>
  </si>
  <si>
    <t xml:space="preserve">  Mercury (short tons)</t>
  </si>
  <si>
    <t>1/ Includes electricity-only and combined-heat-and-power plants that have a regulatory status.</t>
  </si>
  <si>
    <t>2/ Includes plants that only produce electricity and that have a regulatory status.</t>
  </si>
  <si>
    <t>3/ Includes electricity generation from fuel cells.</t>
  </si>
  <si>
    <t>4/ Includes non-biogenic municipal waste and battery storage.</t>
  </si>
  <si>
    <t>5/ Includes conventional hydroelectric, geothermal, wood, wood waste, biogenic municipal waste, landfill gas,</t>
  </si>
  <si>
    <t>other biomass, solar, and wind power in the electric power sector.</t>
  </si>
  <si>
    <t>6/ Includes combined-heat-and-power plants whose primary business is to sell electricity and heat to the public</t>
  </si>
  <si>
    <t>(that is, those that report North American Industry Classification System code 22 or that have a regulatory status).</t>
  </si>
  <si>
    <t>7/ Includes combined-heat-and-power plants and electricity-only plants in the commercial and industrial sectors that have a non-regulatory</t>
  </si>
  <si>
    <t>status. Also includes smalll on-site generating systems in the residential, commercial, and industrial sectors used primarily for own-use generation,</t>
  </si>
  <si>
    <t>but which may also sell some power to the grid.</t>
  </si>
  <si>
    <t>8/ Includes refinery gas and still gas.</t>
  </si>
  <si>
    <t>9/ Includes conventional hydroelectric, geothermal, wood, wood waste, all municipal waste, landfill gas,</t>
  </si>
  <si>
    <t>other biomass, solar, and wind power in the end-use sectors.</t>
  </si>
  <si>
    <t>10/ Includes batteries, chemicals, hydrogen, pitch, purchased steam, sulfur, and miscellaneous technologies.</t>
  </si>
  <si>
    <t>11/ Includes pumped storage, non-biogenic municipal waste in the electric power sector, refinery gas, still gas, batteries,</t>
  </si>
  <si>
    <t>chemicals, hydrogen, pitch, purchased steam, sulfur, and miscellaneous technologies.</t>
  </si>
  <si>
    <t>Note:  Totals may not equal sum of components due to independent rounding.</t>
  </si>
  <si>
    <t>Data source: 2022:  U.S. Energy Information Administration (EIA), Short-Term Energy Outlook, November 2022 and EIA,</t>
  </si>
  <si>
    <t>Projections:  EIA, AEO2023 National Energy Modeling System run ref2023.d020623a.</t>
  </si>
  <si>
    <t>Source: 10</t>
  </si>
  <si>
    <t>Textiles are not broken out in EIA Annual Energy Outlook data, which is used for all other U.S. subindustries in this model.</t>
  </si>
  <si>
    <t>Excerpt from from EIA MECS released 2021, with data from 2018</t>
  </si>
  <si>
    <t>These are the latest data available. We assume energy consumption for textiles and apparel did not change much between 2018 and 2022 in the U.S.</t>
  </si>
  <si>
    <t>Textiles and Apparel total</t>
  </si>
  <si>
    <t>Net Demand</t>
  </si>
  <si>
    <t xml:space="preserve">for </t>
  </si>
  <si>
    <t xml:space="preserve">  Facility HVAC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</si>
</sst>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4" formatCode="_(&quot;$&quot;* #,##0.00_);_(&quot;$&quot;* \(#,##0.00\);_(&quot;$&quot;* &quot;-&quot;??_);_(@_)"/>
    <numFmt numFmtId="43" formatCode="_(* #,##0.00_);_(* \(#,##0.00\);_(* &quot;-&quot;??_);_(@_)"/>
    <numFmt numFmtId="164" formatCode="0.000"/>
    <numFmt numFmtId="165" formatCode="0.0%"/>
    <numFmt numFmtId="166" formatCode="0.0000"/>
    <numFmt numFmtId="167" formatCode="_(* #,##0.0_);_(* \(#,##0.0\);_(* &quot;-&quot;??_);_(@_)"/>
    <numFmt numFmtId="168" formatCode="_(* #,##0_);_(* \(#,##0\);_(@_)"/>
    <numFmt numFmtId="169" formatCode="_(* #,##0_);_(* \(#,##0\);_(* &quot;-&quot;??_);_(@_)"/>
    <numFmt numFmtId="170" formatCode="_(* #,##0.000_);_(* \(#,##0.000\);_(* &quot;-&quot;??_);_(@_)"/>
    <numFmt numFmtId="171" formatCode="_(* #,##0.0000_);_(* \(#,##0.0000\);_(* &quot;-&quot;??_);_(@_)"/>
    <numFmt numFmtId="172" formatCode="General_)"/>
    <numFmt numFmtId="173" formatCode="_(* #,##0.00000_);_(* \(#,##0.00000\);_(* &quot;-&quot;??_);_(@_)"/>
    <numFmt numFmtId="174" formatCode="_(* #,##0.000000_);_(* \(#,##0.000000\);_(* &quot;-&quot;??_);_(@_)"/>
    <numFmt numFmtId="175" formatCode="0.0E+00"/>
    <numFmt numFmtId="176" formatCode="_ [$¥-804]* #,##0_ ;_ [$¥-804]* \-#,##0_ ;_ [$¥-804]* &quot;-&quot;??_ ;_ @_ "/>
    <numFmt numFmtId="177" formatCode="_(&quot;$&quot;* #,##0.000_);_(&quot;$&quot;* \(#,##0.000\);_(&quot;$&quot;* &quot;-&quot;??_);_(@_)"/>
    <numFmt numFmtId="178" formatCode="_(&quot;$&quot;* #,##0_);_(&quot;$&quot;* \(#,##0\);_(&quot;$&quot;* &quot;-&quot;??_);_(@_)"/>
    <numFmt numFmtId="179" formatCode="0.0"/>
    <numFmt numFmtId="180" formatCode="#,##0.0"/>
    <numFmt numFmtId="181" formatCode="&quot;$&quot;#,##0.00"/>
    <numFmt numFmtId="182" formatCode="_(&quot;$&quot;* #,##0.0_);_(&quot;$&quot;* \(#,##0.0\);_(&quot;$&quot;* &quot;-&quot;??_);_(@_)"/>
    <numFmt numFmtId="183" formatCode="0.000000"/>
    <numFmt numFmtId="184" formatCode="&quot;$&quot;#,##0"/>
    <numFmt numFmtId="185" formatCode="_([$€-2]\ * #,##0.00_);_([$€-2]\ * \(#,##0.00\);_([$€-2]\ * &quot;-&quot;??_);_(@_)"/>
  </numFmts>
  <fonts count="99">
    <font>
      <sz val="11"/>
      <color theme="1"/>
      <name val="Aptos Narrow"/>
      <family val="2"/>
      <scheme val="minor"/>
    </font>
    <font>
      <sz val="11"/>
      <color theme="1"/>
      <name val="Arial"/>
      <family val="2"/>
    </font>
    <font>
      <sz val="11"/>
      <color theme="1"/>
      <name val="Aptos Narrow"/>
      <family val="2"/>
      <scheme val="minor"/>
    </font>
    <font>
      <b/>
      <sz val="11"/>
      <color theme="1"/>
      <name val="Aptos Narrow"/>
      <family val="2"/>
      <scheme val="minor"/>
    </font>
    <font>
      <sz val="10"/>
      <name val="宋体"/>
      <charset val="134"/>
    </font>
    <font>
      <vertAlign val="superscript"/>
      <sz val="10"/>
      <name val="宋体"/>
      <charset val="134"/>
    </font>
    <font>
      <b/>
      <sz val="10"/>
      <name val="宋体"/>
      <charset val="134"/>
    </font>
    <font>
      <b/>
      <sz val="11"/>
      <name val="Aptos Narrow"/>
      <family val="2"/>
      <scheme val="minor"/>
    </font>
    <font>
      <u/>
      <sz val="11"/>
      <color theme="10"/>
      <name val="Aptos Narrow"/>
      <family val="2"/>
      <scheme val="minor"/>
    </font>
    <font>
      <sz val="11"/>
      <name val="Aptos Narrow"/>
      <family val="2"/>
      <scheme val="minor"/>
    </font>
    <font>
      <b/>
      <i/>
      <sz val="11"/>
      <color theme="1"/>
      <name val="Aptos Narrow"/>
      <family val="2"/>
      <scheme val="minor"/>
    </font>
    <font>
      <i/>
      <sz val="11"/>
      <color theme="1"/>
      <name val="Aptos Narrow"/>
      <family val="2"/>
      <scheme val="minor"/>
    </font>
    <font>
      <sz val="9"/>
      <color theme="1"/>
      <name val="Aptos Narrow"/>
      <family val="2"/>
      <scheme val="minor"/>
    </font>
    <font>
      <b/>
      <sz val="12"/>
      <color theme="4"/>
      <name val="Aptos Narrow"/>
      <family val="2"/>
      <scheme val="minor"/>
    </font>
    <font>
      <b/>
      <sz val="9"/>
      <color theme="1"/>
      <name val="Aptos Narrow"/>
      <family val="2"/>
      <scheme val="minor"/>
    </font>
    <font>
      <sz val="10"/>
      <name val="Verdana"/>
      <family val="2"/>
    </font>
    <font>
      <sz val="10"/>
      <name val="Arial"/>
      <family val="2"/>
    </font>
    <font>
      <sz val="9"/>
      <name val="Arial"/>
      <family val="2"/>
    </font>
    <font>
      <b/>
      <sz val="9"/>
      <name val="Arial"/>
      <family val="2"/>
    </font>
    <font>
      <sz val="10"/>
      <color rgb="FF0070C0"/>
      <name val="Arial"/>
      <family val="2"/>
    </font>
    <font>
      <sz val="10"/>
      <color theme="1"/>
      <name val="Arial"/>
      <family val="2"/>
    </font>
    <font>
      <sz val="10"/>
      <color rgb="FFFF0000"/>
      <name val="Arial"/>
      <family val="2"/>
    </font>
    <font>
      <b/>
      <sz val="10"/>
      <name val="Arial"/>
      <family val="2"/>
    </font>
    <font>
      <b/>
      <sz val="12"/>
      <name val="Arial"/>
      <family val="2"/>
    </font>
    <font>
      <vertAlign val="subscript"/>
      <sz val="10"/>
      <name val="Arial"/>
      <family val="2"/>
    </font>
    <font>
      <sz val="8"/>
      <name val="Arial"/>
      <family val="2"/>
    </font>
    <font>
      <vertAlign val="superscript"/>
      <sz val="9"/>
      <name val="Arial"/>
      <family val="2"/>
    </font>
    <font>
      <vertAlign val="subscript"/>
      <sz val="9"/>
      <name val="Arial"/>
      <family val="2"/>
    </font>
    <font>
      <sz val="10"/>
      <color rgb="FF00B0F0"/>
      <name val="Arial"/>
      <family val="2"/>
    </font>
    <font>
      <vertAlign val="superscript"/>
      <sz val="10"/>
      <name val="Arial"/>
      <family val="2"/>
    </font>
    <font>
      <sz val="10"/>
      <color rgb="FF00B050"/>
      <name val="Arial"/>
      <family val="2"/>
    </font>
    <font>
      <sz val="10"/>
      <color rgb="FF000000"/>
      <name val="Arial"/>
      <family val="2"/>
    </font>
    <font>
      <vertAlign val="superscript"/>
      <sz val="10"/>
      <color rgb="FF000000"/>
      <name val="Arial"/>
      <family val="2"/>
    </font>
    <font>
      <b/>
      <vertAlign val="subscript"/>
      <sz val="10"/>
      <name val="Arial"/>
      <family val="2"/>
    </font>
    <font>
      <sz val="9"/>
      <color rgb="FFFF0000"/>
      <name val="Arial"/>
      <family val="2"/>
    </font>
    <font>
      <u/>
      <sz val="10"/>
      <color indexed="12"/>
      <name val="Verdana"/>
      <family val="2"/>
    </font>
    <font>
      <u/>
      <sz val="9"/>
      <color indexed="12"/>
      <name val="Arial"/>
      <family val="2"/>
    </font>
    <font>
      <b/>
      <vertAlign val="superscript"/>
      <sz val="10"/>
      <name val="Arial"/>
      <family val="2"/>
    </font>
    <font>
      <b/>
      <sz val="10"/>
      <color rgb="FFFF0000"/>
      <name val="Arial"/>
      <family val="2"/>
    </font>
    <font>
      <sz val="9"/>
      <color theme="1"/>
      <name val="Arial"/>
      <family val="2"/>
    </font>
    <font>
      <b/>
      <sz val="9"/>
      <color theme="1"/>
      <name val="Arial"/>
      <family val="2"/>
    </font>
    <font>
      <i/>
      <sz val="8"/>
      <name val="Arial"/>
      <family val="2"/>
    </font>
    <font>
      <sz val="4"/>
      <name val="Arial"/>
      <family val="2"/>
    </font>
    <font>
      <sz val="10"/>
      <color rgb="FFFF0000"/>
      <name val="Verdana"/>
      <family val="2"/>
    </font>
    <font>
      <b/>
      <vertAlign val="subscript"/>
      <sz val="12"/>
      <name val="Arial"/>
      <family val="2"/>
    </font>
    <font>
      <u/>
      <sz val="10"/>
      <name val="Arial"/>
      <family val="2"/>
    </font>
    <font>
      <b/>
      <vertAlign val="subscript"/>
      <sz val="9"/>
      <name val="Arial"/>
      <family val="2"/>
    </font>
    <font>
      <sz val="9"/>
      <color indexed="10"/>
      <name val="Arial"/>
      <family val="2"/>
    </font>
    <font>
      <b/>
      <sz val="10"/>
      <color theme="5"/>
      <name val="Arial"/>
      <family val="2"/>
    </font>
    <font>
      <b/>
      <sz val="14"/>
      <color rgb="FF00B0F0"/>
      <name val="Arial"/>
      <family val="2"/>
    </font>
    <font>
      <b/>
      <sz val="14"/>
      <color rgb="FF0070C0"/>
      <name val="Arial"/>
      <family val="2"/>
    </font>
    <font>
      <b/>
      <sz val="16"/>
      <name val="Arial"/>
      <family val="2"/>
    </font>
    <font>
      <sz val="8"/>
      <name val="Aptos Narrow"/>
      <family val="2"/>
      <scheme val="minor"/>
    </font>
    <font>
      <sz val="11"/>
      <color theme="1"/>
      <name val="Arial"/>
      <family val="2"/>
    </font>
    <font>
      <u/>
      <sz val="11"/>
      <color theme="10"/>
      <name val="Arial"/>
      <family val="2"/>
    </font>
    <font>
      <b/>
      <sz val="9"/>
      <color indexed="81"/>
      <name val="Tahoma"/>
      <family val="2"/>
    </font>
    <font>
      <sz val="9"/>
      <color indexed="81"/>
      <name val="Tahoma"/>
      <family val="2"/>
    </font>
    <font>
      <b/>
      <sz val="12"/>
      <color theme="1"/>
      <name val="Aptos Narrow"/>
      <family val="2"/>
      <scheme val="minor"/>
    </font>
    <font>
      <vertAlign val="subscript"/>
      <sz val="11"/>
      <color theme="1"/>
      <name val="Aptos Narrow"/>
      <family val="2"/>
      <scheme val="minor"/>
    </font>
    <font>
      <sz val="11"/>
      <color theme="2" tint="-0.249977111117893"/>
      <name val="Aptos Narrow"/>
      <family val="2"/>
      <scheme val="minor"/>
    </font>
    <font>
      <b/>
      <i/>
      <sz val="11"/>
      <color theme="0" tint="-0.249977111117893"/>
      <name val="Aptos Narrow"/>
      <family val="2"/>
      <scheme val="minor"/>
    </font>
    <font>
      <sz val="11"/>
      <color theme="0" tint="-0.249977111117893"/>
      <name val="Aptos Narrow"/>
      <family val="2"/>
      <scheme val="minor"/>
    </font>
    <font>
      <b/>
      <sz val="11"/>
      <color theme="0" tint="-0.249977111117893"/>
      <name val="Aptos Narrow"/>
      <family val="2"/>
      <scheme val="minor"/>
    </font>
    <font>
      <b/>
      <sz val="11"/>
      <color theme="5"/>
      <name val="Aptos Narrow"/>
      <family val="2"/>
      <scheme val="minor"/>
    </font>
    <font>
      <sz val="11"/>
      <color rgb="FFFF0000"/>
      <name val="Aptos Narrow"/>
      <family val="2"/>
      <scheme val="minor"/>
    </font>
    <font>
      <sz val="11"/>
      <color theme="2" tint="-9.9978637043366805E-2"/>
      <name val="Aptos Narrow"/>
      <family val="2"/>
      <scheme val="minor"/>
    </font>
    <font>
      <sz val="11"/>
      <color theme="2"/>
      <name val="Aptos Narrow"/>
      <family val="2"/>
      <scheme val="minor"/>
    </font>
    <font>
      <sz val="8.6"/>
      <color theme="1"/>
      <name val="Aptos Narrow"/>
      <family val="2"/>
      <scheme val="minor"/>
    </font>
    <font>
      <b/>
      <i/>
      <sz val="11"/>
      <color rgb="FFC00000"/>
      <name val="Aptos Narrow"/>
      <family val="2"/>
      <scheme val="minor"/>
    </font>
    <font>
      <b/>
      <sz val="11"/>
      <color theme="2" tint="-0.249977111117893"/>
      <name val="Aptos Narrow"/>
      <family val="2"/>
      <scheme val="minor"/>
    </font>
    <font>
      <sz val="9"/>
      <color indexed="8"/>
      <name val="Calibri"/>
      <family val="2"/>
    </font>
    <font>
      <b/>
      <sz val="9"/>
      <color indexed="8"/>
      <name val="Calibri"/>
      <family val="2"/>
    </font>
    <font>
      <sz val="10"/>
      <name val="Calibri"/>
      <family val="2"/>
    </font>
    <font>
      <sz val="10"/>
      <color indexed="8"/>
      <name val="Arial"/>
      <family val="2"/>
    </font>
    <font>
      <b/>
      <sz val="12"/>
      <color indexed="30"/>
      <name val="Calibri"/>
      <family val="2"/>
    </font>
    <font>
      <b/>
      <sz val="12"/>
      <name val="Calibri"/>
      <family val="2"/>
    </font>
    <font>
      <sz val="9"/>
      <name val="Calibri"/>
      <family val="2"/>
    </font>
    <font>
      <b/>
      <sz val="9"/>
      <name val="Calibri"/>
      <family val="2"/>
    </font>
    <font>
      <b/>
      <i/>
      <u/>
      <sz val="11"/>
      <color theme="1"/>
      <name val="Aptos Narrow"/>
      <family val="2"/>
      <scheme val="minor"/>
    </font>
    <font>
      <b/>
      <sz val="12"/>
      <color rgb="FFFF0000"/>
      <name val="Aptos Narrow"/>
      <family val="2"/>
      <scheme val="minor"/>
    </font>
    <font>
      <b/>
      <sz val="11"/>
      <color rgb="FFFF0000"/>
      <name val="Aptos Narrow"/>
      <family val="2"/>
      <scheme val="minor"/>
    </font>
    <font>
      <u/>
      <sz val="11"/>
      <color rgb="FFFF0000"/>
      <name val="Aptos Narrow"/>
      <family val="2"/>
      <scheme val="minor"/>
    </font>
    <font>
      <vertAlign val="subscript"/>
      <sz val="11"/>
      <name val="Aptos Narrow"/>
      <family val="2"/>
      <scheme val="minor"/>
    </font>
    <font>
      <sz val="11"/>
      <name val="Arial"/>
      <family val="2"/>
    </font>
    <font>
      <u/>
      <sz val="11"/>
      <name val="Aptos Narrow"/>
      <family val="2"/>
      <scheme val="minor"/>
    </font>
    <font>
      <b/>
      <sz val="12"/>
      <name val="Aptos Narrow"/>
      <family val="2"/>
      <scheme val="minor"/>
    </font>
    <font>
      <sz val="11"/>
      <color theme="1" tint="0.499984740745262"/>
      <name val="Aptos Narrow"/>
      <family val="2"/>
      <scheme val="minor"/>
    </font>
    <font>
      <i/>
      <sz val="11"/>
      <name val="Aptos Narrow"/>
      <family val="2"/>
      <scheme val="minor"/>
    </font>
    <font>
      <b/>
      <i/>
      <sz val="11"/>
      <name val="Aptos Narrow"/>
      <family val="2"/>
      <scheme val="minor"/>
    </font>
    <font>
      <vertAlign val="superscript"/>
      <sz val="11"/>
      <color theme="1"/>
      <name val="Aptos Narrow"/>
      <family val="2"/>
      <scheme val="minor"/>
    </font>
    <font>
      <b/>
      <i/>
      <sz val="11"/>
      <color theme="5"/>
      <name val="Aptos Narrow"/>
      <family val="2"/>
      <scheme val="minor"/>
    </font>
    <font>
      <b/>
      <sz val="11"/>
      <color theme="2" tint="-9.9978637043366805E-2"/>
      <name val="Aptos Narrow"/>
      <family val="2"/>
      <scheme val="minor"/>
    </font>
    <font>
      <b/>
      <sz val="22"/>
      <color theme="1"/>
      <name val="Aptos Narrow"/>
      <family val="2"/>
      <scheme val="minor"/>
    </font>
    <font>
      <sz val="11"/>
      <color theme="1"/>
      <name val="Aptos"/>
      <family val="2"/>
    </font>
    <font>
      <u/>
      <sz val="10"/>
      <color theme="4"/>
      <name val="Aptos Narrow"/>
      <family val="2"/>
      <scheme val="minor"/>
    </font>
    <font>
      <u/>
      <sz val="11"/>
      <color theme="6"/>
      <name val="Calibri"/>
      <family val="2"/>
    </font>
    <font>
      <sz val="12"/>
      <name val="Helv"/>
    </font>
    <font>
      <b/>
      <sz val="11"/>
      <color theme="1"/>
      <name val="Arial"/>
      <family val="2"/>
    </font>
    <font>
      <i/>
      <sz val="11"/>
      <color theme="1"/>
      <name val="Arial"/>
      <family val="2"/>
    </font>
  </fonts>
  <fills count="33">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theme="3"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indexed="44"/>
        <bgColor indexed="64"/>
      </patternFill>
    </fill>
    <fill>
      <patternFill patternType="solid">
        <fgColor indexed="41"/>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3" tint="0.749992370372631"/>
        <bgColor indexed="64"/>
      </patternFill>
    </fill>
    <fill>
      <patternFill patternType="solid">
        <fgColor theme="6" tint="0.59999389629810485"/>
        <bgColor indexed="64"/>
      </patternFill>
    </fill>
    <fill>
      <patternFill patternType="solid">
        <fgColor theme="6" tint="0.79998168889431442"/>
        <bgColor indexed="64"/>
      </patternFill>
    </fill>
  </fills>
  <borders count="81">
    <border>
      <left/>
      <right/>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rgb="FF0096D7"/>
      </top>
      <bottom/>
      <diagonal/>
    </border>
    <border>
      <left/>
      <right/>
      <top/>
      <bottom style="thin">
        <color theme="0" tint="-0.249977111117893"/>
      </bottom>
      <diagonal/>
    </border>
    <border>
      <left/>
      <right/>
      <top/>
      <bottom style="dashed">
        <color theme="0" tint="-0.24994659260841701"/>
      </bottom>
      <diagonal/>
    </border>
    <border>
      <left/>
      <right/>
      <top style="medium">
        <color theme="4"/>
      </top>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thin">
        <color auto="1"/>
      </bottom>
      <diagonal/>
    </border>
    <border>
      <left style="medium">
        <color indexed="64"/>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indexed="64"/>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medium">
        <color auto="1"/>
      </left>
      <right style="thin">
        <color auto="1"/>
      </right>
      <top/>
      <bottom/>
      <diagonal/>
    </border>
    <border>
      <left style="medium">
        <color indexed="64"/>
      </left>
      <right/>
      <top style="thin">
        <color auto="1"/>
      </top>
      <bottom/>
      <diagonal/>
    </border>
    <border>
      <left style="thin">
        <color auto="1"/>
      </left>
      <right style="thin">
        <color auto="1"/>
      </right>
      <top style="medium">
        <color auto="1"/>
      </top>
      <bottom/>
      <diagonal/>
    </border>
    <border>
      <left style="medium">
        <color indexed="64"/>
      </left>
      <right style="medium">
        <color indexed="64"/>
      </right>
      <top style="medium">
        <color indexed="64"/>
      </top>
      <bottom style="medium">
        <color indexed="64"/>
      </bottom>
      <diagonal/>
    </border>
    <border>
      <left/>
      <right style="thick">
        <color indexed="64"/>
      </right>
      <top/>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right/>
      <top/>
      <bottom style="thick">
        <color theme="4"/>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style="thin">
        <color theme="0" tint="-0.24994659260841701"/>
      </bottom>
      <diagonal/>
    </border>
    <border>
      <left/>
      <right style="medium">
        <color indexed="64"/>
      </right>
      <top style="medium">
        <color indexed="64"/>
      </top>
      <bottom/>
      <diagonal/>
    </border>
  </borders>
  <cellStyleXfs count="37">
    <xf numFmtId="0" fontId="0" fillId="0" borderId="0"/>
    <xf numFmtId="9" fontId="2" fillId="0" borderId="0" applyFont="0" applyFill="0" applyBorder="0" applyAlignment="0" applyProtection="0"/>
    <xf numFmtId="0" fontId="8" fillId="0" borderId="0" applyNumberFormat="0" applyFill="0" applyBorder="0" applyAlignment="0" applyProtection="0"/>
    <xf numFmtId="0" fontId="12" fillId="0" borderId="0" applyNumberFormat="0" applyFill="0" applyBorder="0" applyAlignment="0" applyProtection="0"/>
    <xf numFmtId="0" fontId="13" fillId="0" borderId="0" applyNumberFormat="0" applyProtection="0">
      <alignment horizontal="left"/>
    </xf>
    <xf numFmtId="0" fontId="14" fillId="0" borderId="21" applyNumberFormat="0" applyProtection="0">
      <alignment wrapText="1"/>
    </xf>
    <xf numFmtId="0" fontId="12" fillId="0" borderId="22" applyNumberFormat="0" applyFont="0" applyProtection="0">
      <alignment wrapText="1"/>
    </xf>
    <xf numFmtId="0" fontId="12" fillId="0" borderId="23" applyNumberFormat="0" applyProtection="0">
      <alignment vertical="top" wrapText="1"/>
    </xf>
    <xf numFmtId="0" fontId="15" fillId="0" borderId="0"/>
    <xf numFmtId="43" fontId="15" fillId="0" borderId="0" applyFont="0" applyFill="0" applyBorder="0" applyAlignment="0" applyProtection="0"/>
    <xf numFmtId="0" fontId="35" fillId="0" borderId="0" applyNumberFormat="0" applyFill="0" applyBorder="0" applyAlignment="0" applyProtection="0">
      <alignment vertical="top"/>
      <protection locked="0"/>
    </xf>
    <xf numFmtId="0" fontId="15" fillId="0" borderId="0"/>
    <xf numFmtId="9" fontId="15" fillId="0" borderId="0" applyFont="0" applyFill="0" applyBorder="0" applyAlignment="0" applyProtection="0"/>
    <xf numFmtId="44" fontId="2" fillId="0" borderId="0" applyFont="0" applyFill="0" applyBorder="0" applyAlignment="0" applyProtection="0"/>
    <xf numFmtId="0" fontId="53" fillId="0" borderId="0"/>
    <xf numFmtId="44" fontId="53" fillId="0" borderId="0" applyFont="0" applyFill="0" applyBorder="0" applyAlignment="0" applyProtection="0"/>
    <xf numFmtId="0" fontId="54" fillId="0" borderId="0" applyNumberForma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0" fontId="70" fillId="0" borderId="0"/>
    <xf numFmtId="0" fontId="70" fillId="0" borderId="0"/>
    <xf numFmtId="0" fontId="71" fillId="0" borderId="72">
      <alignment wrapText="1"/>
    </xf>
    <xf numFmtId="0" fontId="74" fillId="0" borderId="0">
      <alignment horizontal="left"/>
    </xf>
    <xf numFmtId="0" fontId="71" fillId="0" borderId="73">
      <alignment wrapText="1"/>
    </xf>
    <xf numFmtId="0" fontId="70" fillId="0" borderId="74">
      <alignment wrapText="1"/>
    </xf>
    <xf numFmtId="0" fontId="70" fillId="0" borderId="75">
      <alignment wrapText="1"/>
    </xf>
    <xf numFmtId="0" fontId="14" fillId="0" borderId="76" applyNumberFormat="0" applyProtection="0">
      <alignment wrapText="1"/>
    </xf>
    <xf numFmtId="0" fontId="14" fillId="0" borderId="79" applyNumberFormat="0" applyProtection="0">
      <alignment horizontal="left" wrapText="1"/>
    </xf>
    <xf numFmtId="0" fontId="14" fillId="0" borderId="78" applyNumberFormat="0" applyFill="0" applyProtection="0">
      <alignment wrapText="1"/>
    </xf>
    <xf numFmtId="0" fontId="12" fillId="0" borderId="77" applyNumberFormat="0" applyFont="0" applyFill="0" applyProtection="0">
      <alignment wrapText="1"/>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12" fillId="0" borderId="0" applyNumberFormat="0" applyProtection="0">
      <alignment vertical="top" wrapText="1"/>
    </xf>
    <xf numFmtId="0" fontId="96" fillId="0" borderId="0"/>
    <xf numFmtId="9" fontId="16" fillId="0" borderId="0" applyFont="0" applyFill="0" applyBorder="0" applyAlignment="0" applyProtection="0"/>
    <xf numFmtId="0" fontId="96" fillId="0" borderId="0"/>
    <xf numFmtId="0" fontId="96" fillId="0" borderId="0"/>
  </cellStyleXfs>
  <cellXfs count="1262">
    <xf numFmtId="0" fontId="0" fillId="0" borderId="0" xfId="0"/>
    <xf numFmtId="49" fontId="4" fillId="0" borderId="0" xfId="0" applyNumberFormat="1" applyFont="1"/>
    <xf numFmtId="0" fontId="4" fillId="0" borderId="0" xfId="0" applyFont="1" applyAlignment="1">
      <alignment vertical="center"/>
    </xf>
    <xf numFmtId="0" fontId="0" fillId="0" borderId="0" xfId="0" applyAlignment="1">
      <alignment vertical="center"/>
    </xf>
    <xf numFmtId="49" fontId="4" fillId="0" borderId="1" xfId="0" applyNumberFormat="1" applyFont="1" applyBorder="1"/>
    <xf numFmtId="0" fontId="4" fillId="0" borderId="1" xfId="0" applyFont="1" applyBorder="1" applyAlignment="1">
      <alignment vertical="center"/>
    </xf>
    <xf numFmtId="49" fontId="4" fillId="0" borderId="2" xfId="0" applyNumberFormat="1" applyFont="1" applyBorder="1" applyAlignment="1">
      <alignment horizontal="center" vertical="center" wrapText="1"/>
    </xf>
    <xf numFmtId="0" fontId="4" fillId="0" borderId="7" xfId="0" applyFont="1" applyBorder="1" applyAlignment="1">
      <alignment horizontal="center" vertical="center"/>
    </xf>
    <xf numFmtId="49" fontId="4" fillId="0" borderId="8" xfId="0" applyNumberFormat="1" applyFont="1" applyBorder="1" applyAlignment="1">
      <alignment horizontal="center" vertical="center" wrapText="1"/>
    </xf>
    <xf numFmtId="49" fontId="4" fillId="4" borderId="8" xfId="0" applyNumberFormat="1"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6" fillId="0" borderId="0" xfId="0" applyNumberFormat="1" applyFont="1" applyAlignment="1">
      <alignment horizontal="left" vertical="center" wrapText="1"/>
    </xf>
    <xf numFmtId="49" fontId="6" fillId="0" borderId="3" xfId="0" applyNumberFormat="1" applyFont="1" applyBorder="1" applyAlignment="1">
      <alignment horizontal="left" vertical="center" wrapText="1"/>
    </xf>
    <xf numFmtId="0" fontId="4" fillId="0" borderId="0" xfId="0" applyFont="1" applyAlignment="1">
      <alignment horizontal="right" vertical="center" wrapText="1"/>
    </xf>
    <xf numFmtId="0" fontId="4" fillId="0" borderId="0" xfId="0" applyFont="1" applyAlignment="1">
      <alignment horizontal="right" vertical="center"/>
    </xf>
    <xf numFmtId="49" fontId="6" fillId="0" borderId="11" xfId="0" applyNumberFormat="1" applyFont="1" applyBorder="1" applyAlignment="1">
      <alignment horizontal="left" vertical="center" wrapText="1"/>
    </xf>
    <xf numFmtId="49" fontId="4" fillId="0" borderId="0" xfId="0" applyNumberFormat="1" applyFont="1" applyAlignment="1">
      <alignment horizontal="left" vertical="center" wrapText="1"/>
    </xf>
    <xf numFmtId="49" fontId="4" fillId="0" borderId="1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7" xfId="0" applyNumberFormat="1" applyFont="1" applyBorder="1" applyAlignment="1">
      <alignment horizontal="left" vertical="center" wrapText="1"/>
    </xf>
    <xf numFmtId="0" fontId="0" fillId="0" borderId="12" xfId="0" applyBorder="1"/>
    <xf numFmtId="0" fontId="3" fillId="0" borderId="0" xfId="0" applyFont="1"/>
    <xf numFmtId="0" fontId="3" fillId="5" borderId="0" xfId="0" applyFont="1" applyFill="1"/>
    <xf numFmtId="0" fontId="0" fillId="5" borderId="0" xfId="0" applyFill="1"/>
    <xf numFmtId="0" fontId="3" fillId="6" borderId="0" xfId="0" applyFont="1" applyFill="1"/>
    <xf numFmtId="1" fontId="0" fillId="0" borderId="0" xfId="0" applyNumberFormat="1"/>
    <xf numFmtId="0" fontId="8" fillId="0" borderId="0" xfId="2"/>
    <xf numFmtId="164" fontId="3" fillId="6" borderId="0" xfId="0" applyNumberFormat="1" applyFont="1" applyFill="1"/>
    <xf numFmtId="0" fontId="3" fillId="0" borderId="0" xfId="0" applyFont="1" applyAlignment="1">
      <alignment horizontal="right"/>
    </xf>
    <xf numFmtId="0" fontId="0" fillId="0" borderId="10" xfId="0" applyBorder="1"/>
    <xf numFmtId="0" fontId="0" fillId="0" borderId="1" xfId="0" applyBorder="1" applyAlignment="1">
      <alignment vertical="center"/>
    </xf>
    <xf numFmtId="0" fontId="0" fillId="0" borderId="0" xfId="0" applyAlignment="1">
      <alignment wrapText="1"/>
    </xf>
    <xf numFmtId="49" fontId="4" fillId="0" borderId="0" xfId="0" applyNumberFormat="1" applyFont="1" applyAlignment="1">
      <alignment wrapText="1"/>
    </xf>
    <xf numFmtId="0" fontId="4" fillId="0" borderId="0" xfId="0" applyFont="1" applyAlignment="1">
      <alignment vertical="center" wrapText="1"/>
    </xf>
    <xf numFmtId="0" fontId="3" fillId="5" borderId="0" xfId="0" applyFont="1" applyFill="1" applyAlignment="1">
      <alignment wrapText="1"/>
    </xf>
    <xf numFmtId="0" fontId="3" fillId="5" borderId="0" xfId="0" applyFont="1" applyFill="1" applyAlignment="1">
      <alignment horizontal="right" wrapText="1"/>
    </xf>
    <xf numFmtId="0" fontId="0" fillId="7" borderId="0" xfId="0" applyFill="1" applyAlignment="1">
      <alignment wrapText="1"/>
    </xf>
    <xf numFmtId="0" fontId="7" fillId="7" borderId="0" xfId="0" applyFont="1" applyFill="1" applyAlignment="1">
      <alignment vertical="center"/>
    </xf>
    <xf numFmtId="0" fontId="4" fillId="7" borderId="0" xfId="0" applyFont="1" applyFill="1" applyAlignment="1">
      <alignment vertical="center"/>
    </xf>
    <xf numFmtId="49" fontId="7" fillId="0" borderId="0" xfId="0" applyNumberFormat="1" applyFont="1" applyAlignment="1">
      <alignment horizontal="left" vertical="center" wrapText="1"/>
    </xf>
    <xf numFmtId="49" fontId="4" fillId="0" borderId="12" xfId="0" applyNumberFormat="1" applyFont="1" applyBorder="1" applyAlignment="1">
      <alignment horizontal="left" vertical="center" wrapText="1"/>
    </xf>
    <xf numFmtId="49" fontId="4" fillId="0" borderId="10" xfId="0" applyNumberFormat="1" applyFont="1" applyBorder="1" applyAlignment="1">
      <alignment horizontal="left" vertical="center" wrapText="1"/>
    </xf>
    <xf numFmtId="49" fontId="9" fillId="7" borderId="0" xfId="0" applyNumberFormat="1" applyFont="1" applyFill="1" applyAlignment="1">
      <alignment horizontal="left" vertical="center" wrapText="1"/>
    </xf>
    <xf numFmtId="0" fontId="3" fillId="7" borderId="0" xfId="0" applyFont="1" applyFill="1"/>
    <xf numFmtId="9" fontId="0" fillId="0" borderId="0" xfId="0" applyNumberFormat="1"/>
    <xf numFmtId="0" fontId="3" fillId="5" borderId="0" xfId="0" applyFont="1" applyFill="1" applyAlignment="1">
      <alignment horizontal="center" wrapText="1"/>
    </xf>
    <xf numFmtId="0" fontId="3" fillId="5" borderId="0" xfId="0" applyFont="1" applyFill="1" applyAlignment="1">
      <alignment horizontal="center"/>
    </xf>
    <xf numFmtId="0" fontId="0" fillId="0" borderId="0" xfId="0" applyAlignment="1">
      <alignment horizontal="center"/>
    </xf>
    <xf numFmtId="9" fontId="0" fillId="0" borderId="0" xfId="1" applyFont="1"/>
    <xf numFmtId="0" fontId="0" fillId="7" borderId="0" xfId="0" applyFill="1"/>
    <xf numFmtId="0" fontId="10" fillId="0" borderId="0" xfId="0" applyFont="1"/>
    <xf numFmtId="1" fontId="10" fillId="0" borderId="0" xfId="0" applyNumberFormat="1" applyFont="1"/>
    <xf numFmtId="0" fontId="10" fillId="0" borderId="0" xfId="0" applyFont="1" applyAlignment="1">
      <alignment horizontal="right" wrapText="1"/>
    </xf>
    <xf numFmtId="0" fontId="3" fillId="0" borderId="0" xfId="0" applyFont="1" applyAlignment="1">
      <alignment horizontal="center" wrapText="1"/>
    </xf>
    <xf numFmtId="9" fontId="0" fillId="0" borderId="0" xfId="1" applyFont="1" applyFill="1"/>
    <xf numFmtId="0" fontId="3" fillId="5" borderId="0" xfId="0" applyFont="1" applyFill="1" applyAlignment="1">
      <alignment horizontal="right"/>
    </xf>
    <xf numFmtId="0" fontId="11" fillId="0" borderId="0" xfId="0" applyFont="1"/>
    <xf numFmtId="0" fontId="3" fillId="8" borderId="0" xfId="0" applyFont="1" applyFill="1"/>
    <xf numFmtId="0" fontId="0" fillId="8" borderId="0" xfId="0" applyFill="1"/>
    <xf numFmtId="165" fontId="0" fillId="0" borderId="0" xfId="0" applyNumberFormat="1"/>
    <xf numFmtId="0" fontId="12" fillId="0" borderId="0" xfId="3"/>
    <xf numFmtId="0" fontId="13" fillId="0" borderId="0" xfId="4" applyProtection="1">
      <alignment horizontal="left"/>
    </xf>
    <xf numFmtId="0" fontId="13" fillId="0" borderId="0" xfId="4">
      <alignment horizontal="left"/>
    </xf>
    <xf numFmtId="0" fontId="14" fillId="0" borderId="0" xfId="3" applyFont="1" applyAlignment="1" applyProtection="1">
      <alignment horizontal="left" indent="2"/>
    </xf>
    <xf numFmtId="0" fontId="14" fillId="0" borderId="0" xfId="3" applyFont="1" applyAlignment="1">
      <alignment horizontal="left" indent="2"/>
    </xf>
    <xf numFmtId="0" fontId="12" fillId="0" borderId="0" xfId="3" applyAlignment="1" applyProtection="1">
      <alignment horizontal="left"/>
    </xf>
    <xf numFmtId="0" fontId="14" fillId="0" borderId="0" xfId="3" applyFont="1" applyAlignment="1" applyProtection="1">
      <alignment horizontal="left"/>
    </xf>
    <xf numFmtId="0" fontId="14" fillId="0" borderId="0" xfId="3" applyFont="1" applyAlignment="1" applyProtection="1">
      <alignment horizontal="right"/>
    </xf>
    <xf numFmtId="0" fontId="14" fillId="0" borderId="0" xfId="3" applyFont="1" applyAlignment="1">
      <alignment horizontal="right"/>
    </xf>
    <xf numFmtId="0" fontId="14" fillId="0" borderId="0" xfId="3" applyFont="1"/>
    <xf numFmtId="49" fontId="12" fillId="0" borderId="20" xfId="3" applyNumberFormat="1" applyBorder="1"/>
    <xf numFmtId="0" fontId="12" fillId="0" borderId="20" xfId="3" applyBorder="1" applyProtection="1">
      <protection locked="0"/>
    </xf>
    <xf numFmtId="0" fontId="12" fillId="0" borderId="20" xfId="3" applyBorder="1"/>
    <xf numFmtId="49" fontId="14" fillId="0" borderId="21" xfId="5" applyNumberFormat="1" applyAlignment="1" applyProtection="1"/>
    <xf numFmtId="0" fontId="14" fillId="0" borderId="21" xfId="5" applyAlignment="1" applyProtection="1"/>
    <xf numFmtId="0" fontId="14" fillId="0" borderId="21" xfId="5" applyAlignment="1"/>
    <xf numFmtId="49" fontId="12" fillId="0" borderId="22" xfId="6" applyNumberFormat="1" applyProtection="1">
      <alignment wrapText="1"/>
    </xf>
    <xf numFmtId="0" fontId="12" fillId="0" borderId="22" xfId="6" applyProtection="1">
      <alignment wrapText="1"/>
    </xf>
    <xf numFmtId="0" fontId="12" fillId="0" borderId="22" xfId="6">
      <alignment wrapText="1"/>
    </xf>
    <xf numFmtId="49" fontId="14" fillId="0" borderId="22" xfId="6" applyNumberFormat="1" applyFont="1" applyAlignment="1" applyProtection="1">
      <alignment horizontal="left" wrapText="1"/>
    </xf>
    <xf numFmtId="0" fontId="14" fillId="0" borderId="22" xfId="6" applyFont="1" applyAlignment="1">
      <alignment horizontal="right" wrapText="1"/>
    </xf>
    <xf numFmtId="49" fontId="12" fillId="0" borderId="22" xfId="6" applyNumberFormat="1" applyAlignment="1" applyProtection="1">
      <alignment horizontal="left" wrapText="1"/>
    </xf>
    <xf numFmtId="3" fontId="12" fillId="0" borderId="22" xfId="6" applyNumberFormat="1" applyAlignment="1">
      <alignment horizontal="right" wrapText="1"/>
    </xf>
    <xf numFmtId="0" fontId="12" fillId="0" borderId="22" xfId="6" applyAlignment="1">
      <alignment horizontal="right" wrapText="1"/>
    </xf>
    <xf numFmtId="3" fontId="14" fillId="0" borderId="22" xfId="6" applyNumberFormat="1" applyFont="1" applyAlignment="1">
      <alignment horizontal="right" wrapText="1"/>
    </xf>
    <xf numFmtId="49" fontId="12" fillId="0" borderId="22" xfId="6" applyNumberFormat="1" applyFont="1" applyAlignment="1" applyProtection="1">
      <alignment horizontal="left" wrapText="1"/>
    </xf>
    <xf numFmtId="49" fontId="14" fillId="0" borderId="22" xfId="6" applyNumberFormat="1" applyFont="1" applyAlignment="1">
      <alignment horizontal="left" wrapText="1"/>
    </xf>
    <xf numFmtId="0" fontId="12" fillId="0" borderId="22" xfId="6" applyAlignment="1">
      <alignment horizontal="left" wrapText="1"/>
    </xf>
    <xf numFmtId="49" fontId="12" fillId="0" borderId="22" xfId="6" applyNumberFormat="1" applyAlignment="1">
      <alignment horizontal="left" wrapText="1"/>
    </xf>
    <xf numFmtId="49" fontId="12" fillId="0" borderId="0" xfId="3" applyNumberFormat="1" applyBorder="1" applyAlignment="1"/>
    <xf numFmtId="0" fontId="12" fillId="0" borderId="0" xfId="3" applyBorder="1" applyAlignment="1"/>
    <xf numFmtId="0" fontId="12" fillId="0" borderId="0" xfId="3" applyBorder="1"/>
    <xf numFmtId="49" fontId="12" fillId="0" borderId="0" xfId="3" applyNumberFormat="1" applyAlignment="1"/>
    <xf numFmtId="0" fontId="12" fillId="0" borderId="0" xfId="3" applyAlignment="1"/>
    <xf numFmtId="49" fontId="12" fillId="0" borderId="0" xfId="3" applyNumberFormat="1" applyAlignment="1" applyProtection="1"/>
    <xf numFmtId="49" fontId="12" fillId="0" borderId="0" xfId="3" applyNumberFormat="1" applyAlignment="1" applyProtection="1">
      <alignment horizontal="left"/>
    </xf>
    <xf numFmtId="0" fontId="3" fillId="0" borderId="0" xfId="0" applyFont="1" applyAlignment="1">
      <alignment horizontal="center"/>
    </xf>
    <xf numFmtId="0" fontId="3" fillId="0" borderId="0" xfId="0" applyFont="1" applyAlignment="1">
      <alignment horizontal="left"/>
    </xf>
    <xf numFmtId="0" fontId="3" fillId="0" borderId="0" xfId="0" applyFont="1" applyAlignment="1">
      <alignment wrapText="1"/>
    </xf>
    <xf numFmtId="0" fontId="3" fillId="0" borderId="0" xfId="0" applyFont="1" applyAlignment="1">
      <alignment horizontal="right" wrapText="1"/>
    </xf>
    <xf numFmtId="9" fontId="0" fillId="0" borderId="0" xfId="0" applyNumberFormat="1" applyAlignment="1">
      <alignment horizontal="right"/>
    </xf>
    <xf numFmtId="0" fontId="0" fillId="0" borderId="0" xfId="0" applyAlignment="1">
      <alignment horizontal="right"/>
    </xf>
    <xf numFmtId="0" fontId="0" fillId="5" borderId="0" xfId="0" applyFill="1" applyAlignment="1">
      <alignment wrapText="1"/>
    </xf>
    <xf numFmtId="165" fontId="0" fillId="0" borderId="0" xfId="1" applyNumberFormat="1" applyFont="1"/>
    <xf numFmtId="0" fontId="3" fillId="9" borderId="0" xfId="0" applyFont="1" applyFill="1"/>
    <xf numFmtId="0" fontId="0" fillId="9" borderId="0" xfId="0" applyFill="1"/>
    <xf numFmtId="9" fontId="0" fillId="7" borderId="0" xfId="0" applyNumberFormat="1" applyFill="1"/>
    <xf numFmtId="0" fontId="11" fillId="7" borderId="0" xfId="0" applyFont="1" applyFill="1"/>
    <xf numFmtId="0" fontId="10" fillId="0" borderId="0" xfId="0" applyFont="1" applyAlignment="1">
      <alignment horizontal="right"/>
    </xf>
    <xf numFmtId="0" fontId="16" fillId="0" borderId="0" xfId="8" applyFont="1"/>
    <xf numFmtId="0" fontId="16" fillId="0" borderId="0" xfId="8" applyFont="1" applyAlignment="1">
      <alignment horizontal="center"/>
    </xf>
    <xf numFmtId="0" fontId="16" fillId="0" borderId="0" xfId="8" applyFont="1" applyAlignment="1">
      <alignment vertical="center"/>
    </xf>
    <xf numFmtId="0" fontId="16" fillId="10" borderId="0" xfId="8" applyFont="1" applyFill="1" applyAlignment="1">
      <alignment vertical="center"/>
    </xf>
    <xf numFmtId="43" fontId="16" fillId="10" borderId="0" xfId="8" applyNumberFormat="1" applyFont="1" applyFill="1"/>
    <xf numFmtId="0" fontId="17" fillId="0" borderId="0" xfId="8" applyFont="1" applyAlignment="1">
      <alignment horizontal="left" vertical="top" wrapText="1"/>
    </xf>
    <xf numFmtId="0" fontId="16" fillId="10" borderId="0" xfId="8" applyFont="1" applyFill="1" applyAlignment="1">
      <alignment horizontal="center" vertical="center"/>
    </xf>
    <xf numFmtId="0" fontId="16" fillId="10" borderId="0" xfId="8" applyFont="1" applyFill="1"/>
    <xf numFmtId="167" fontId="16" fillId="10" borderId="0" xfId="8" applyNumberFormat="1" applyFont="1" applyFill="1"/>
    <xf numFmtId="0" fontId="16" fillId="10" borderId="24" xfId="8" applyFont="1" applyFill="1" applyBorder="1" applyAlignment="1">
      <alignment horizontal="left"/>
    </xf>
    <xf numFmtId="0" fontId="16" fillId="10" borderId="25" xfId="8" applyFont="1" applyFill="1" applyBorder="1" applyAlignment="1">
      <alignment horizontal="left"/>
    </xf>
    <xf numFmtId="0" fontId="16" fillId="10" borderId="26" xfId="8" applyFont="1" applyFill="1" applyBorder="1" applyAlignment="1">
      <alignment horizontal="left"/>
    </xf>
    <xf numFmtId="168" fontId="19" fillId="0" borderId="27" xfId="9" applyNumberFormat="1" applyFont="1" applyFill="1" applyBorder="1" applyAlignment="1"/>
    <xf numFmtId="0" fontId="16" fillId="10" borderId="28" xfId="8" applyFont="1" applyFill="1" applyBorder="1"/>
    <xf numFmtId="0" fontId="16" fillId="10" borderId="29" xfId="8" applyFont="1" applyFill="1" applyBorder="1" applyAlignment="1">
      <alignment horizontal="left"/>
    </xf>
    <xf numFmtId="0" fontId="16" fillId="10" borderId="30" xfId="8" applyFont="1" applyFill="1" applyBorder="1" applyAlignment="1">
      <alignment horizontal="left"/>
    </xf>
    <xf numFmtId="0" fontId="16" fillId="10" borderId="4" xfId="8" applyFont="1" applyFill="1" applyBorder="1" applyAlignment="1">
      <alignment horizontal="left"/>
    </xf>
    <xf numFmtId="168" fontId="19" fillId="0" borderId="5" xfId="9" applyNumberFormat="1" applyFont="1" applyFill="1" applyBorder="1" applyAlignment="1"/>
    <xf numFmtId="0" fontId="16" fillId="10" borderId="31" xfId="8" applyFont="1" applyFill="1" applyBorder="1"/>
    <xf numFmtId="168" fontId="16" fillId="0" borderId="5" xfId="9" applyNumberFormat="1" applyFont="1" applyFill="1" applyBorder="1" applyAlignment="1"/>
    <xf numFmtId="0" fontId="19" fillId="10" borderId="31" xfId="8" applyFont="1" applyFill="1" applyBorder="1" applyAlignment="1">
      <alignment horizontal="left"/>
    </xf>
    <xf numFmtId="0" fontId="16" fillId="11" borderId="29" xfId="8" applyFont="1" applyFill="1" applyBorder="1" applyAlignment="1">
      <alignment horizontal="left"/>
    </xf>
    <xf numFmtId="0" fontId="16" fillId="11" borderId="30" xfId="8" applyFont="1" applyFill="1" applyBorder="1" applyAlignment="1">
      <alignment horizontal="left"/>
    </xf>
    <xf numFmtId="0" fontId="16" fillId="11" borderId="4" xfId="8" applyFont="1" applyFill="1" applyBorder="1" applyAlignment="1">
      <alignment horizontal="left"/>
    </xf>
    <xf numFmtId="0" fontId="19" fillId="10" borderId="4" xfId="8" applyFont="1" applyFill="1" applyBorder="1" applyAlignment="1">
      <alignment horizontal="left"/>
    </xf>
    <xf numFmtId="0" fontId="19" fillId="11" borderId="4" xfId="8" applyFont="1" applyFill="1" applyBorder="1" applyAlignment="1">
      <alignment horizontal="left"/>
    </xf>
    <xf numFmtId="168" fontId="20" fillId="0" borderId="5" xfId="9" applyNumberFormat="1" applyFont="1" applyFill="1" applyBorder="1" applyAlignment="1"/>
    <xf numFmtId="167" fontId="21" fillId="10" borderId="0" xfId="8" applyNumberFormat="1" applyFont="1" applyFill="1"/>
    <xf numFmtId="0" fontId="16" fillId="10" borderId="32" xfId="8" applyFont="1" applyFill="1" applyBorder="1" applyAlignment="1">
      <alignment horizontal="left"/>
    </xf>
    <xf numFmtId="0" fontId="16" fillId="10" borderId="33" xfId="8" applyFont="1" applyFill="1" applyBorder="1" applyAlignment="1">
      <alignment horizontal="left"/>
    </xf>
    <xf numFmtId="0" fontId="16" fillId="10" borderId="34" xfId="8" applyFont="1" applyFill="1" applyBorder="1" applyAlignment="1">
      <alignment horizontal="left"/>
    </xf>
    <xf numFmtId="168" fontId="19" fillId="0" borderId="35" xfId="9" applyNumberFormat="1" applyFont="1" applyFill="1" applyBorder="1" applyAlignment="1"/>
    <xf numFmtId="0" fontId="16" fillId="10" borderId="36" xfId="8" applyFont="1" applyFill="1" applyBorder="1"/>
    <xf numFmtId="0" fontId="21" fillId="10" borderId="0" xfId="8" applyFont="1" applyFill="1"/>
    <xf numFmtId="0" fontId="22" fillId="12" borderId="37" xfId="8" applyFont="1" applyFill="1" applyBorder="1" applyAlignment="1">
      <alignment horizontal="center" vertical="top" wrapText="1"/>
    </xf>
    <xf numFmtId="0" fontId="22" fillId="12" borderId="38" xfId="8" applyFont="1" applyFill="1" applyBorder="1" applyAlignment="1">
      <alignment horizontal="center" vertical="top" wrapText="1"/>
    </xf>
    <xf numFmtId="0" fontId="22" fillId="12" borderId="39" xfId="8" applyFont="1" applyFill="1" applyBorder="1" applyAlignment="1">
      <alignment horizontal="center" vertical="top" wrapText="1"/>
    </xf>
    <xf numFmtId="0" fontId="22" fillId="12" borderId="40" xfId="8" applyFont="1" applyFill="1" applyBorder="1" applyAlignment="1">
      <alignment horizontal="center" vertical="top" wrapText="1"/>
    </xf>
    <xf numFmtId="0" fontId="22" fillId="12" borderId="41" xfId="8" applyFont="1" applyFill="1" applyBorder="1" applyAlignment="1">
      <alignment horizontal="center" vertical="top" wrapText="1"/>
    </xf>
    <xf numFmtId="0" fontId="22" fillId="10" borderId="0" xfId="8" applyFont="1" applyFill="1" applyAlignment="1">
      <alignment horizontal="left"/>
    </xf>
    <xf numFmtId="0" fontId="23" fillId="10" borderId="0" xfId="8" applyFont="1" applyFill="1" applyAlignment="1">
      <alignment horizontal="center"/>
    </xf>
    <xf numFmtId="0" fontId="16" fillId="13" borderId="5" xfId="8" applyFont="1" applyFill="1" applyBorder="1"/>
    <xf numFmtId="0" fontId="16" fillId="13" borderId="30" xfId="8" applyFont="1" applyFill="1" applyBorder="1"/>
    <xf numFmtId="0" fontId="23" fillId="13" borderId="4" xfId="8" applyFont="1" applyFill="1" applyBorder="1"/>
    <xf numFmtId="0" fontId="23" fillId="14" borderId="8" xfId="8" applyFont="1" applyFill="1" applyBorder="1" applyAlignment="1">
      <alignment horizontal="center"/>
    </xf>
    <xf numFmtId="0" fontId="17" fillId="11" borderId="0" xfId="8" applyFont="1" applyFill="1" applyAlignment="1">
      <alignment horizontal="left" vertical="top" wrapText="1"/>
    </xf>
    <xf numFmtId="0" fontId="17" fillId="10" borderId="0" xfId="8" applyFont="1" applyFill="1"/>
    <xf numFmtId="169" fontId="19" fillId="0" borderId="42" xfId="9" applyNumberFormat="1" applyFont="1" applyFill="1" applyBorder="1" applyAlignment="1">
      <alignment horizontal="right" vertical="center"/>
    </xf>
    <xf numFmtId="0" fontId="16" fillId="10" borderId="43" xfId="8" applyFont="1" applyFill="1" applyBorder="1" applyAlignment="1">
      <alignment vertical="center"/>
    </xf>
    <xf numFmtId="0" fontId="16" fillId="10" borderId="28" xfId="8" applyFont="1" applyFill="1" applyBorder="1" applyAlignment="1">
      <alignment vertical="center"/>
    </xf>
    <xf numFmtId="169" fontId="19" fillId="0" borderId="44" xfId="9" applyNumberFormat="1" applyFont="1" applyFill="1" applyBorder="1" applyAlignment="1">
      <alignment vertical="center"/>
    </xf>
    <xf numFmtId="0" fontId="16" fillId="10" borderId="8" xfId="8" applyFont="1" applyFill="1" applyBorder="1" applyAlignment="1">
      <alignment vertical="center"/>
    </xf>
    <xf numFmtId="0" fontId="16" fillId="10" borderId="31" xfId="8" applyFont="1" applyFill="1" applyBorder="1" applyAlignment="1">
      <alignment vertical="center"/>
    </xf>
    <xf numFmtId="169" fontId="16" fillId="0" borderId="45" xfId="9" applyNumberFormat="1" applyFont="1" applyFill="1" applyBorder="1" applyAlignment="1">
      <alignment vertical="center"/>
    </xf>
    <xf numFmtId="0" fontId="16" fillId="10" borderId="46" xfId="8" applyFont="1" applyFill="1" applyBorder="1" applyAlignment="1">
      <alignment vertical="center"/>
    </xf>
    <xf numFmtId="0" fontId="16" fillId="10" borderId="36" xfId="8" applyFont="1" applyFill="1" applyBorder="1" applyAlignment="1">
      <alignment vertical="center"/>
    </xf>
    <xf numFmtId="0" fontId="22" fillId="12" borderId="47" xfId="8" applyFont="1" applyFill="1" applyBorder="1" applyAlignment="1">
      <alignment horizontal="center" vertical="center" wrapText="1"/>
    </xf>
    <xf numFmtId="0" fontId="22" fillId="12" borderId="48" xfId="8" applyFont="1" applyFill="1" applyBorder="1" applyAlignment="1">
      <alignment horizontal="center" vertical="center" wrapText="1"/>
    </xf>
    <xf numFmtId="0" fontId="22" fillId="12" borderId="13" xfId="8" applyFont="1" applyFill="1" applyBorder="1" applyAlignment="1">
      <alignment horizontal="center" vertical="center" wrapText="1"/>
    </xf>
    <xf numFmtId="0" fontId="16" fillId="10" borderId="0" xfId="8" applyFont="1" applyFill="1" applyAlignment="1">
      <alignment horizontal="center"/>
    </xf>
    <xf numFmtId="0" fontId="16" fillId="11" borderId="0" xfId="8" applyFont="1" applyFill="1"/>
    <xf numFmtId="0" fontId="17" fillId="10" borderId="0" xfId="8" applyFont="1" applyFill="1" applyAlignment="1">
      <alignment horizontal="left"/>
    </xf>
    <xf numFmtId="0" fontId="17" fillId="10" borderId="0" xfId="8" applyFont="1" applyFill="1" applyAlignment="1">
      <alignment horizontal="center"/>
    </xf>
    <xf numFmtId="170" fontId="16" fillId="10" borderId="0" xfId="8" applyNumberFormat="1" applyFont="1" applyFill="1"/>
    <xf numFmtId="0" fontId="16" fillId="0" borderId="42" xfId="8" applyFont="1" applyBorder="1" applyAlignment="1">
      <alignment vertical="center"/>
    </xf>
    <xf numFmtId="171" fontId="16" fillId="0" borderId="43" xfId="9" applyNumberFormat="1" applyFont="1" applyFill="1" applyBorder="1" applyAlignment="1">
      <alignment vertical="center"/>
    </xf>
    <xf numFmtId="171" fontId="16" fillId="0" borderId="49" xfId="9" applyNumberFormat="1" applyFont="1" applyFill="1" applyBorder="1" applyAlignment="1">
      <alignment vertical="center"/>
    </xf>
    <xf numFmtId="170" fontId="16" fillId="0" borderId="43" xfId="9" applyNumberFormat="1" applyFont="1" applyFill="1" applyBorder="1" applyAlignment="1">
      <alignment vertical="center"/>
    </xf>
    <xf numFmtId="0" fontId="16" fillId="0" borderId="28" xfId="8" applyFont="1" applyBorder="1" applyAlignment="1">
      <alignment vertical="center" wrapText="1"/>
    </xf>
    <xf numFmtId="0" fontId="16" fillId="0" borderId="44" xfId="8" applyFont="1" applyBorder="1" applyAlignment="1">
      <alignment vertical="center"/>
    </xf>
    <xf numFmtId="171" fontId="16" fillId="0" borderId="8" xfId="9" applyNumberFormat="1" applyFont="1" applyFill="1" applyBorder="1" applyAlignment="1">
      <alignment vertical="center"/>
    </xf>
    <xf numFmtId="170" fontId="16" fillId="0" borderId="8" xfId="9" applyNumberFormat="1" applyFont="1" applyFill="1" applyBorder="1" applyAlignment="1">
      <alignment vertical="center"/>
    </xf>
    <xf numFmtId="0" fontId="16" fillId="0" borderId="31" xfId="8" applyFont="1" applyBorder="1" applyAlignment="1">
      <alignment vertical="center" wrapText="1"/>
    </xf>
    <xf numFmtId="171" fontId="16" fillId="0" borderId="9" xfId="9" applyNumberFormat="1" applyFont="1" applyFill="1" applyBorder="1" applyAlignment="1">
      <alignment vertical="center"/>
    </xf>
    <xf numFmtId="170" fontId="16" fillId="0" borderId="9" xfId="9" applyNumberFormat="1" applyFont="1" applyFill="1" applyBorder="1" applyAlignment="1">
      <alignment vertical="center"/>
    </xf>
    <xf numFmtId="0" fontId="16" fillId="0" borderId="31" xfId="8" applyFont="1" applyBorder="1" applyAlignment="1">
      <alignment vertical="center"/>
    </xf>
    <xf numFmtId="0" fontId="16" fillId="0" borderId="50" xfId="8" applyFont="1" applyBorder="1" applyAlignment="1">
      <alignment vertical="center"/>
    </xf>
    <xf numFmtId="171" fontId="19" fillId="0" borderId="9" xfId="9" applyNumberFormat="1" applyFont="1" applyFill="1" applyBorder="1" applyAlignment="1">
      <alignment vertical="center"/>
    </xf>
    <xf numFmtId="170" fontId="28" fillId="0" borderId="9" xfId="9" applyNumberFormat="1" applyFont="1" applyFill="1" applyBorder="1" applyAlignment="1">
      <alignment vertical="center"/>
    </xf>
    <xf numFmtId="170" fontId="19" fillId="0" borderId="9" xfId="9" applyNumberFormat="1" applyFont="1" applyFill="1" applyBorder="1" applyAlignment="1">
      <alignment vertical="center"/>
    </xf>
    <xf numFmtId="0" fontId="16" fillId="0" borderId="51" xfId="8" applyFont="1" applyBorder="1" applyAlignment="1">
      <alignment vertical="center"/>
    </xf>
    <xf numFmtId="166" fontId="16" fillId="10" borderId="0" xfId="8" applyNumberFormat="1" applyFont="1" applyFill="1"/>
    <xf numFmtId="171" fontId="16" fillId="10" borderId="0" xfId="8" applyNumberFormat="1" applyFont="1" applyFill="1"/>
    <xf numFmtId="171" fontId="19" fillId="0" borderId="43" xfId="9" applyNumberFormat="1" applyFont="1" applyFill="1" applyBorder="1" applyAlignment="1">
      <alignment vertical="center"/>
    </xf>
    <xf numFmtId="170" fontId="19" fillId="0" borderId="43" xfId="9" applyNumberFormat="1" applyFont="1" applyFill="1" applyBorder="1" applyAlignment="1">
      <alignment vertical="center"/>
    </xf>
    <xf numFmtId="0" fontId="16" fillId="0" borderId="52" xfId="8" applyFont="1" applyBorder="1" applyAlignment="1">
      <alignment vertical="center"/>
    </xf>
    <xf numFmtId="170" fontId="30" fillId="10" borderId="0" xfId="8" applyNumberFormat="1" applyFont="1" applyFill="1"/>
    <xf numFmtId="171" fontId="19" fillId="0" borderId="6" xfId="9" applyNumberFormat="1" applyFont="1" applyFill="1" applyBorder="1" applyAlignment="1">
      <alignment vertical="center"/>
    </xf>
    <xf numFmtId="170" fontId="19" fillId="0" borderId="6" xfId="9" applyNumberFormat="1" applyFont="1" applyFill="1" applyBorder="1" applyAlignment="1">
      <alignment vertical="center"/>
    </xf>
    <xf numFmtId="0" fontId="31" fillId="0" borderId="53" xfId="8" applyFont="1" applyBorder="1" applyAlignment="1">
      <alignment vertical="center"/>
    </xf>
    <xf numFmtId="171" fontId="16" fillId="11" borderId="8" xfId="9" applyNumberFormat="1" applyFont="1" applyFill="1" applyBorder="1" applyAlignment="1">
      <alignment vertical="center"/>
    </xf>
    <xf numFmtId="170" fontId="16" fillId="11" borderId="8" xfId="9" applyNumberFormat="1" applyFont="1" applyFill="1" applyBorder="1" applyAlignment="1">
      <alignment vertical="center"/>
    </xf>
    <xf numFmtId="0" fontId="31" fillId="0" borderId="51" xfId="8" applyFont="1" applyBorder="1" applyAlignment="1">
      <alignment vertical="center"/>
    </xf>
    <xf numFmtId="171" fontId="16" fillId="11" borderId="54" xfId="9" applyNumberFormat="1" applyFont="1" applyFill="1" applyBorder="1" applyAlignment="1">
      <alignment vertical="center"/>
    </xf>
    <xf numFmtId="170" fontId="16" fillId="11" borderId="54" xfId="9" applyNumberFormat="1" applyFont="1" applyFill="1" applyBorder="1" applyAlignment="1">
      <alignment vertical="center"/>
    </xf>
    <xf numFmtId="0" fontId="31" fillId="0" borderId="55" xfId="8" applyFont="1" applyBorder="1" applyAlignment="1">
      <alignment vertical="center"/>
    </xf>
    <xf numFmtId="170" fontId="28" fillId="0" borderId="43" xfId="9" applyNumberFormat="1" applyFont="1" applyFill="1" applyBorder="1" applyAlignment="1">
      <alignment vertical="center"/>
    </xf>
    <xf numFmtId="0" fontId="16" fillId="0" borderId="28" xfId="8" applyFont="1" applyBorder="1" applyAlignment="1">
      <alignment vertical="center"/>
    </xf>
    <xf numFmtId="170" fontId="28" fillId="0" borderId="8" xfId="9" applyNumberFormat="1" applyFont="1" applyFill="1" applyBorder="1" applyAlignment="1">
      <alignment vertical="center"/>
    </xf>
    <xf numFmtId="171" fontId="21" fillId="10" borderId="0" xfId="8" applyNumberFormat="1" applyFont="1" applyFill="1"/>
    <xf numFmtId="0" fontId="16" fillId="0" borderId="45" xfId="8" applyFont="1" applyBorder="1" applyAlignment="1">
      <alignment vertical="center"/>
    </xf>
    <xf numFmtId="170" fontId="28" fillId="0" borderId="46" xfId="9" applyNumberFormat="1" applyFont="1" applyFill="1" applyBorder="1" applyAlignment="1">
      <alignment vertical="center"/>
    </xf>
    <xf numFmtId="0" fontId="16" fillId="0" borderId="36" xfId="8" applyFont="1" applyBorder="1" applyAlignment="1">
      <alignment vertical="center"/>
    </xf>
    <xf numFmtId="170" fontId="21" fillId="0" borderId="0" xfId="8" applyNumberFormat="1" applyFont="1"/>
    <xf numFmtId="0" fontId="22" fillId="12" borderId="56" xfId="8" applyFont="1" applyFill="1" applyBorder="1" applyAlignment="1">
      <alignment horizontal="center" vertical="center" wrapText="1"/>
    </xf>
    <xf numFmtId="0" fontId="22" fillId="12" borderId="57" xfId="8" applyFont="1" applyFill="1" applyBorder="1" applyAlignment="1">
      <alignment horizontal="center" vertical="center" wrapText="1"/>
    </xf>
    <xf numFmtId="0" fontId="23" fillId="10" borderId="0" xfId="8" applyFont="1" applyFill="1" applyAlignment="1">
      <alignment horizontal="center" vertical="center"/>
    </xf>
    <xf numFmtId="0" fontId="23" fillId="16" borderId="30" xfId="8" applyFont="1" applyFill="1" applyBorder="1" applyAlignment="1">
      <alignment horizontal="left" wrapText="1"/>
    </xf>
    <xf numFmtId="0" fontId="23" fillId="16" borderId="4" xfId="8" applyFont="1" applyFill="1" applyBorder="1" applyAlignment="1">
      <alignment horizontal="left"/>
    </xf>
    <xf numFmtId="0" fontId="17" fillId="10" borderId="0" xfId="8" applyFont="1" applyFill="1" applyAlignment="1">
      <alignment horizontal="left" vertical="top" wrapText="1"/>
    </xf>
    <xf numFmtId="0" fontId="16" fillId="0" borderId="0" xfId="8" applyFont="1" applyAlignment="1">
      <alignment horizontal="center" vertical="center" wrapText="1"/>
    </xf>
    <xf numFmtId="43" fontId="16" fillId="0" borderId="0" xfId="8" applyNumberFormat="1" applyFont="1"/>
    <xf numFmtId="0" fontId="16" fillId="0" borderId="42" xfId="8" applyFont="1" applyBorder="1" applyAlignment="1">
      <alignment horizontal="right"/>
    </xf>
    <xf numFmtId="0" fontId="16" fillId="0" borderId="43" xfId="8" applyFont="1" applyBorder="1" applyAlignment="1">
      <alignment horizontal="right"/>
    </xf>
    <xf numFmtId="43" fontId="20" fillId="0" borderId="43" xfId="9" applyFont="1" applyBorder="1" applyAlignment="1">
      <alignment horizontal="right"/>
    </xf>
    <xf numFmtId="43" fontId="20" fillId="0" borderId="43" xfId="9" applyFont="1" applyFill="1" applyBorder="1" applyAlignment="1">
      <alignment horizontal="right"/>
    </xf>
    <xf numFmtId="43" fontId="16" fillId="0" borderId="43" xfId="9" applyFont="1" applyBorder="1" applyAlignment="1">
      <alignment horizontal="right"/>
    </xf>
    <xf numFmtId="172" fontId="16" fillId="0" borderId="28" xfId="8" applyNumberFormat="1" applyFont="1" applyBorder="1"/>
    <xf numFmtId="0" fontId="16" fillId="0" borderId="44" xfId="8" applyFont="1" applyBorder="1" applyAlignment="1">
      <alignment horizontal="right"/>
    </xf>
    <xf numFmtId="0" fontId="16" fillId="0" borderId="8" xfId="8" applyFont="1" applyBorder="1" applyAlignment="1">
      <alignment horizontal="right"/>
    </xf>
    <xf numFmtId="43" fontId="20" fillId="0" borderId="8" xfId="9" applyFont="1" applyBorder="1" applyAlignment="1">
      <alignment horizontal="right"/>
    </xf>
    <xf numFmtId="43" fontId="20" fillId="0" borderId="8" xfId="9" applyFont="1" applyFill="1" applyBorder="1" applyAlignment="1">
      <alignment horizontal="right"/>
    </xf>
    <xf numFmtId="43" fontId="16" fillId="0" borderId="8" xfId="9" applyFont="1" applyBorder="1" applyAlignment="1">
      <alignment horizontal="right"/>
    </xf>
    <xf numFmtId="172" fontId="16" fillId="0" borderId="31" xfId="8" applyNumberFormat="1" applyFont="1" applyBorder="1"/>
    <xf numFmtId="0" fontId="19" fillId="0" borderId="44" xfId="8" applyFont="1" applyBorder="1" applyAlignment="1">
      <alignment horizontal="right"/>
    </xf>
    <xf numFmtId="0" fontId="19" fillId="0" borderId="8" xfId="8" applyFont="1" applyBorder="1" applyAlignment="1">
      <alignment horizontal="right"/>
    </xf>
    <xf numFmtId="43" fontId="19" fillId="0" borderId="8" xfId="9" applyFont="1" applyBorder="1" applyAlignment="1">
      <alignment horizontal="right"/>
    </xf>
    <xf numFmtId="43" fontId="19" fillId="0" borderId="8" xfId="9" applyFont="1" applyFill="1" applyBorder="1" applyAlignment="1">
      <alignment horizontal="right"/>
    </xf>
    <xf numFmtId="170" fontId="19" fillId="0" borderId="8" xfId="9" quotePrefix="1" applyNumberFormat="1" applyFont="1" applyBorder="1" applyAlignment="1">
      <alignment horizontal="right"/>
    </xf>
    <xf numFmtId="2" fontId="16" fillId="0" borderId="44" xfId="8" applyNumberFormat="1" applyFont="1" applyBorder="1" applyAlignment="1">
      <alignment horizontal="right"/>
    </xf>
    <xf numFmtId="2" fontId="16" fillId="0" borderId="8" xfId="8" applyNumberFormat="1" applyFont="1" applyBorder="1" applyAlignment="1">
      <alignment horizontal="right"/>
    </xf>
    <xf numFmtId="2" fontId="19" fillId="0" borderId="8" xfId="8" applyNumberFormat="1" applyFont="1" applyBorder="1" applyAlignment="1">
      <alignment horizontal="right"/>
    </xf>
    <xf numFmtId="0" fontId="16" fillId="0" borderId="45" xfId="8" applyFont="1" applyBorder="1" applyAlignment="1">
      <alignment horizontal="right"/>
    </xf>
    <xf numFmtId="0" fontId="16" fillId="0" borderId="46" xfId="8" applyFont="1" applyBorder="1" applyAlignment="1">
      <alignment horizontal="right"/>
    </xf>
    <xf numFmtId="43" fontId="16" fillId="0" borderId="46" xfId="9" applyFont="1" applyBorder="1" applyAlignment="1">
      <alignment horizontal="right"/>
    </xf>
    <xf numFmtId="172" fontId="16" fillId="0" borderId="36" xfId="8" applyNumberFormat="1" applyFont="1" applyBorder="1"/>
    <xf numFmtId="2" fontId="22" fillId="17" borderId="56" xfId="11" applyNumberFormat="1" applyFont="1" applyFill="1" applyBorder="1" applyAlignment="1">
      <alignment horizontal="center" vertical="center" wrapText="1"/>
    </xf>
    <xf numFmtId="2" fontId="22" fillId="17" borderId="48" xfId="11" applyNumberFormat="1" applyFont="1" applyFill="1" applyBorder="1" applyAlignment="1">
      <alignment horizontal="center" vertical="center" wrapText="1"/>
    </xf>
    <xf numFmtId="2" fontId="22" fillId="17" borderId="57" xfId="11" applyNumberFormat="1" applyFont="1" applyFill="1" applyBorder="1" applyAlignment="1">
      <alignment horizontal="center" vertical="center" wrapText="1"/>
    </xf>
    <xf numFmtId="2" fontId="16" fillId="10" borderId="0" xfId="11" applyNumberFormat="1" applyFont="1" applyFill="1" applyAlignment="1">
      <alignment vertical="center"/>
    </xf>
    <xf numFmtId="0" fontId="38" fillId="10" borderId="0" xfId="8" applyFont="1" applyFill="1" applyAlignment="1">
      <alignment vertical="center"/>
    </xf>
    <xf numFmtId="0" fontId="16" fillId="10" borderId="42" xfId="8" applyFont="1" applyFill="1" applyBorder="1" applyAlignment="1">
      <alignment vertical="center"/>
    </xf>
    <xf numFmtId="166" fontId="19" fillId="0" borderId="43" xfId="8" applyNumberFormat="1" applyFont="1" applyBorder="1" applyAlignment="1">
      <alignment vertical="center"/>
    </xf>
    <xf numFmtId="0" fontId="16" fillId="0" borderId="43" xfId="9" quotePrefix="1" applyNumberFormat="1" applyFont="1" applyBorder="1" applyAlignment="1">
      <alignment horizontal="right" vertical="center"/>
    </xf>
    <xf numFmtId="164" fontId="19" fillId="0" borderId="43" xfId="8" applyNumberFormat="1" applyFont="1" applyBorder="1" applyAlignment="1">
      <alignment vertical="center"/>
    </xf>
    <xf numFmtId="0" fontId="16" fillId="10" borderId="44" xfId="8" applyFont="1" applyFill="1" applyBorder="1" applyAlignment="1">
      <alignment vertical="center"/>
    </xf>
    <xf numFmtId="166" fontId="19" fillId="0" borderId="8" xfId="8" applyNumberFormat="1" applyFont="1" applyBorder="1" applyAlignment="1">
      <alignment vertical="center"/>
    </xf>
    <xf numFmtId="164" fontId="19" fillId="0" borderId="8" xfId="8" applyNumberFormat="1" applyFont="1" applyBorder="1" applyAlignment="1">
      <alignment vertical="center"/>
    </xf>
    <xf numFmtId="166" fontId="16" fillId="0" borderId="8" xfId="8" applyNumberFormat="1" applyFont="1" applyBorder="1" applyAlignment="1">
      <alignment vertical="center"/>
    </xf>
    <xf numFmtId="0" fontId="16" fillId="10" borderId="45" xfId="8" applyFont="1" applyFill="1" applyBorder="1" applyAlignment="1">
      <alignment vertical="center"/>
    </xf>
    <xf numFmtId="166" fontId="16" fillId="0" borderId="46" xfId="8" applyNumberFormat="1" applyFont="1" applyBorder="1" applyAlignment="1">
      <alignment vertical="center"/>
    </xf>
    <xf numFmtId="166" fontId="19" fillId="0" borderId="46" xfId="8" applyNumberFormat="1" applyFont="1" applyBorder="1" applyAlignment="1">
      <alignment vertical="center"/>
    </xf>
    <xf numFmtId="164" fontId="19" fillId="0" borderId="46" xfId="8" applyNumberFormat="1" applyFont="1" applyBorder="1" applyAlignment="1">
      <alignment vertical="center"/>
    </xf>
    <xf numFmtId="164" fontId="28" fillId="0" borderId="43" xfId="8" applyNumberFormat="1" applyFont="1" applyBorder="1" applyAlignment="1">
      <alignment vertical="center"/>
    </xf>
    <xf numFmtId="0" fontId="16" fillId="10" borderId="50" xfId="8" applyFont="1" applyFill="1" applyBorder="1" applyAlignment="1">
      <alignment vertical="center"/>
    </xf>
    <xf numFmtId="164" fontId="28" fillId="0" borderId="8" xfId="8" applyNumberFormat="1" applyFont="1" applyBorder="1" applyAlignment="1">
      <alignment vertical="center"/>
    </xf>
    <xf numFmtId="0" fontId="16" fillId="10" borderId="55" xfId="8" applyFont="1" applyFill="1" applyBorder="1"/>
    <xf numFmtId="164" fontId="28" fillId="0" borderId="46" xfId="8" applyNumberFormat="1" applyFont="1" applyBorder="1" applyAlignment="1">
      <alignment vertical="center"/>
    </xf>
    <xf numFmtId="0" fontId="23" fillId="13" borderId="30" xfId="8" applyFont="1" applyFill="1" applyBorder="1"/>
    <xf numFmtId="0" fontId="23" fillId="16" borderId="4" xfId="8" applyFont="1" applyFill="1" applyBorder="1"/>
    <xf numFmtId="0" fontId="17" fillId="0" borderId="0" xfId="8" applyFont="1" applyAlignment="1">
      <alignment horizontal="left" wrapText="1"/>
    </xf>
    <xf numFmtId="43" fontId="16" fillId="10" borderId="0" xfId="8" applyNumberFormat="1" applyFont="1" applyFill="1" applyAlignment="1">
      <alignment vertical="center"/>
    </xf>
    <xf numFmtId="0" fontId="17" fillId="10" borderId="0" xfId="8" applyFont="1" applyFill="1" applyAlignment="1">
      <alignment vertical="center"/>
    </xf>
    <xf numFmtId="0" fontId="18" fillId="10" borderId="0" xfId="8" applyFont="1" applyFill="1" applyAlignment="1">
      <alignment vertical="center"/>
    </xf>
    <xf numFmtId="0" fontId="16" fillId="10" borderId="0" xfId="8" applyFont="1" applyFill="1" applyAlignment="1">
      <alignment horizontal="center" vertical="center" wrapText="1"/>
    </xf>
    <xf numFmtId="170" fontId="16" fillId="0" borderId="42" xfId="9" applyNumberFormat="1" applyFont="1" applyFill="1" applyBorder="1" applyAlignment="1">
      <alignment vertical="center"/>
    </xf>
    <xf numFmtId="43" fontId="16" fillId="0" borderId="43" xfId="9" applyFont="1" applyFill="1" applyBorder="1" applyAlignment="1">
      <alignment vertical="center"/>
    </xf>
    <xf numFmtId="0" fontId="16" fillId="0" borderId="59" xfId="8" applyFont="1" applyBorder="1"/>
    <xf numFmtId="0" fontId="22" fillId="12" borderId="60" xfId="8" applyFont="1" applyFill="1" applyBorder="1" applyAlignment="1">
      <alignment horizontal="center" vertical="center" wrapText="1"/>
    </xf>
    <xf numFmtId="0" fontId="23" fillId="16" borderId="30" xfId="8" applyFont="1" applyFill="1" applyBorder="1"/>
    <xf numFmtId="0" fontId="41" fillId="10" borderId="0" xfId="8" applyFont="1" applyFill="1"/>
    <xf numFmtId="0" fontId="15" fillId="0" borderId="0" xfId="8"/>
    <xf numFmtId="0" fontId="42" fillId="0" borderId="0" xfId="8" applyFont="1"/>
    <xf numFmtId="0" fontId="36" fillId="0" borderId="0" xfId="10" applyFont="1" applyFill="1" applyBorder="1" applyAlignment="1" applyProtection="1">
      <alignment horizontal="left" vertical="top"/>
    </xf>
    <xf numFmtId="0" fontId="17" fillId="0" borderId="0" xfId="8" applyFont="1"/>
    <xf numFmtId="173" fontId="17" fillId="10" borderId="0" xfId="8" applyNumberFormat="1" applyFont="1" applyFill="1"/>
    <xf numFmtId="173" fontId="34" fillId="10" borderId="0" xfId="8" applyNumberFormat="1" applyFont="1" applyFill="1"/>
    <xf numFmtId="173" fontId="16" fillId="10" borderId="0" xfId="8" applyNumberFormat="1" applyFont="1" applyFill="1"/>
    <xf numFmtId="0" fontId="17" fillId="0" borderId="14" xfId="8" applyFont="1" applyBorder="1" applyAlignment="1">
      <alignment horizontal="left" vertical="top" wrapText="1"/>
    </xf>
    <xf numFmtId="0" fontId="34" fillId="0" borderId="14" xfId="8" applyFont="1" applyBorder="1" applyAlignment="1">
      <alignment horizontal="left" vertical="top" wrapText="1"/>
    </xf>
    <xf numFmtId="0" fontId="17" fillId="0" borderId="14" xfId="8" applyFont="1" applyBorder="1" applyAlignment="1">
      <alignment horizontal="left" vertical="top"/>
    </xf>
    <xf numFmtId="170" fontId="19" fillId="0" borderId="42" xfId="9" applyNumberFormat="1" applyFont="1" applyFill="1" applyBorder="1"/>
    <xf numFmtId="170" fontId="19" fillId="0" borderId="43" xfId="9" applyNumberFormat="1" applyFont="1" applyFill="1" applyBorder="1"/>
    <xf numFmtId="167" fontId="19" fillId="0" borderId="28" xfId="9" applyNumberFormat="1" applyFont="1" applyFill="1" applyBorder="1"/>
    <xf numFmtId="170" fontId="19" fillId="0" borderId="25" xfId="9" applyNumberFormat="1" applyFont="1" applyFill="1" applyBorder="1"/>
    <xf numFmtId="0" fontId="16" fillId="10" borderId="42" xfId="8" applyFont="1" applyFill="1" applyBorder="1"/>
    <xf numFmtId="0" fontId="16" fillId="10" borderId="52" xfId="8" applyFont="1" applyFill="1" applyBorder="1"/>
    <xf numFmtId="170" fontId="19" fillId="0" borderId="44" xfId="9" applyNumberFormat="1" applyFont="1" applyFill="1" applyBorder="1"/>
    <xf numFmtId="170" fontId="19" fillId="0" borderId="8" xfId="9" applyNumberFormat="1" applyFont="1" applyFill="1" applyBorder="1"/>
    <xf numFmtId="167" fontId="19" fillId="0" borderId="31" xfId="9" applyNumberFormat="1" applyFont="1" applyFill="1" applyBorder="1"/>
    <xf numFmtId="170" fontId="19" fillId="0" borderId="30" xfId="9" applyNumberFormat="1" applyFont="1" applyFill="1" applyBorder="1"/>
    <xf numFmtId="0" fontId="16" fillId="10" borderId="44" xfId="8" applyFont="1" applyFill="1" applyBorder="1"/>
    <xf numFmtId="0" fontId="16" fillId="10" borderId="53" xfId="8" applyFont="1" applyFill="1" applyBorder="1"/>
    <xf numFmtId="170" fontId="19" fillId="0" borderId="45" xfId="9" applyNumberFormat="1" applyFont="1" applyFill="1" applyBorder="1"/>
    <xf numFmtId="170" fontId="19" fillId="0" borderId="46" xfId="9" applyNumberFormat="1" applyFont="1" applyFill="1" applyBorder="1"/>
    <xf numFmtId="167" fontId="19" fillId="0" borderId="36" xfId="9" applyNumberFormat="1" applyFont="1" applyFill="1" applyBorder="1"/>
    <xf numFmtId="170" fontId="19" fillId="0" borderId="33" xfId="9" applyNumberFormat="1" applyFont="1" applyFill="1" applyBorder="1"/>
    <xf numFmtId="0" fontId="16" fillId="10" borderId="45" xfId="8" applyFont="1" applyFill="1" applyBorder="1"/>
    <xf numFmtId="0" fontId="16" fillId="10" borderId="61" xfId="8" applyFont="1" applyFill="1" applyBorder="1"/>
    <xf numFmtId="0" fontId="22" fillId="12" borderId="62" xfId="8" applyFont="1" applyFill="1" applyBorder="1" applyAlignment="1">
      <alignment horizontal="center" vertical="center" wrapText="1"/>
    </xf>
    <xf numFmtId="0" fontId="22" fillId="12" borderId="49" xfId="8" applyFont="1" applyFill="1" applyBorder="1" applyAlignment="1">
      <alignment horizontal="center" vertical="center" wrapText="1"/>
    </xf>
    <xf numFmtId="0" fontId="22" fillId="12" borderId="59" xfId="8" applyFont="1" applyFill="1" applyBorder="1" applyAlignment="1">
      <alignment horizontal="center" vertical="center" wrapText="1"/>
    </xf>
    <xf numFmtId="0" fontId="22" fillId="12" borderId="62" xfId="8" applyFont="1" applyFill="1" applyBorder="1" applyAlignment="1">
      <alignment horizontal="center" wrapText="1"/>
    </xf>
    <xf numFmtId="0" fontId="22" fillId="12" borderId="17" xfId="8" applyFont="1" applyFill="1" applyBorder="1" applyAlignment="1">
      <alignment horizontal="center" wrapText="1"/>
    </xf>
    <xf numFmtId="0" fontId="22" fillId="12" borderId="63" xfId="8" applyFont="1" applyFill="1" applyBorder="1" applyAlignment="1">
      <alignment horizontal="center" vertical="center" wrapText="1"/>
    </xf>
    <xf numFmtId="0" fontId="22" fillId="12" borderId="64" xfId="8" applyFont="1" applyFill="1" applyBorder="1" applyAlignment="1">
      <alignment horizontal="center" vertical="center" wrapText="1"/>
    </xf>
    <xf numFmtId="0" fontId="22" fillId="12" borderId="65" xfId="8" applyFont="1" applyFill="1" applyBorder="1" applyAlignment="1">
      <alignment horizontal="center" vertical="center" wrapText="1"/>
    </xf>
    <xf numFmtId="0" fontId="22" fillId="12" borderId="66" xfId="8" applyFont="1" applyFill="1" applyBorder="1" applyAlignment="1">
      <alignment horizontal="center"/>
    </xf>
    <xf numFmtId="0" fontId="22" fillId="12" borderId="15" xfId="8" applyFont="1" applyFill="1" applyBorder="1" applyAlignment="1">
      <alignment horizontal="center"/>
    </xf>
    <xf numFmtId="0" fontId="22" fillId="5" borderId="32" xfId="8" applyFont="1" applyFill="1" applyBorder="1" applyAlignment="1">
      <alignment horizontal="centerContinuous" vertical="distributed"/>
    </xf>
    <xf numFmtId="0" fontId="22" fillId="5" borderId="33" xfId="8" applyFont="1" applyFill="1" applyBorder="1" applyAlignment="1">
      <alignment horizontal="centerContinuous" vertical="distributed"/>
    </xf>
    <xf numFmtId="0" fontId="22" fillId="5" borderId="61" xfId="8" applyFont="1" applyFill="1" applyBorder="1" applyAlignment="1">
      <alignment horizontal="centerContinuous" vertical="distributed"/>
    </xf>
    <xf numFmtId="0" fontId="22" fillId="5" borderId="47" xfId="8" applyFont="1" applyFill="1" applyBorder="1"/>
    <xf numFmtId="0" fontId="22" fillId="5" borderId="13" xfId="8" applyFont="1" applyFill="1" applyBorder="1"/>
    <xf numFmtId="0" fontId="22" fillId="10" borderId="0" xfId="8" applyFont="1" applyFill="1"/>
    <xf numFmtId="0" fontId="16" fillId="13" borderId="30" xfId="8" applyFont="1" applyFill="1" applyBorder="1" applyAlignment="1">
      <alignment vertical="center"/>
    </xf>
    <xf numFmtId="0" fontId="23" fillId="13" borderId="30" xfId="8" applyFont="1" applyFill="1" applyBorder="1" applyAlignment="1">
      <alignment vertical="center"/>
    </xf>
    <xf numFmtId="0" fontId="23" fillId="13" borderId="4" xfId="8" applyFont="1" applyFill="1" applyBorder="1" applyAlignment="1">
      <alignment vertical="center"/>
    </xf>
    <xf numFmtId="0" fontId="23" fillId="14" borderId="8" xfId="8" applyFont="1" applyFill="1" applyBorder="1" applyAlignment="1">
      <alignment horizontal="center" vertical="center"/>
    </xf>
    <xf numFmtId="0" fontId="43" fillId="0" borderId="0" xfId="8" applyFont="1" applyAlignment="1">
      <alignment wrapText="1"/>
    </xf>
    <xf numFmtId="0" fontId="36" fillId="0" borderId="0" xfId="10" applyFont="1" applyFill="1" applyAlignment="1" applyProtection="1">
      <alignment vertical="center"/>
    </xf>
    <xf numFmtId="0" fontId="17" fillId="0" borderId="0" xfId="8" applyFont="1" applyAlignment="1">
      <alignment vertical="center"/>
    </xf>
    <xf numFmtId="43" fontId="19" fillId="0" borderId="42" xfId="8" applyNumberFormat="1" applyFont="1" applyBorder="1"/>
    <xf numFmtId="43" fontId="16" fillId="0" borderId="43" xfId="8" applyNumberFormat="1" applyFont="1" applyBorder="1"/>
    <xf numFmtId="0" fontId="16" fillId="10" borderId="27" xfId="8" applyFont="1" applyFill="1" applyBorder="1"/>
    <xf numFmtId="43" fontId="16" fillId="0" borderId="44" xfId="8" applyNumberFormat="1" applyFont="1" applyBorder="1"/>
    <xf numFmtId="43" fontId="16" fillId="0" borderId="8" xfId="8" applyNumberFormat="1" applyFont="1" applyBorder="1"/>
    <xf numFmtId="0" fontId="16" fillId="10" borderId="5" xfId="8" applyFont="1" applyFill="1" applyBorder="1"/>
    <xf numFmtId="43" fontId="19" fillId="0" borderId="44" xfId="8" applyNumberFormat="1" applyFont="1" applyBorder="1"/>
    <xf numFmtId="43" fontId="19" fillId="0" borderId="8" xfId="8" applyNumberFormat="1" applyFont="1" applyBorder="1"/>
    <xf numFmtId="43" fontId="19" fillId="0" borderId="50" xfId="8" applyNumberFormat="1" applyFont="1" applyBorder="1"/>
    <xf numFmtId="0" fontId="16" fillId="0" borderId="44" xfId="9" quotePrefix="1" applyNumberFormat="1" applyFont="1" applyBorder="1" applyAlignment="1">
      <alignment horizontal="right" vertical="center"/>
    </xf>
    <xf numFmtId="0" fontId="16" fillId="10" borderId="11" xfId="8" applyFont="1" applyFill="1" applyBorder="1"/>
    <xf numFmtId="0" fontId="16" fillId="10" borderId="3" xfId="8" applyFont="1" applyFill="1" applyBorder="1"/>
    <xf numFmtId="43" fontId="16" fillId="0" borderId="29" xfId="8" applyNumberFormat="1" applyFont="1" applyBorder="1"/>
    <xf numFmtId="0" fontId="16" fillId="0" borderId="8" xfId="9" quotePrefix="1" applyNumberFormat="1" applyFont="1" applyBorder="1" applyAlignment="1">
      <alignment horizontal="right" vertical="center"/>
    </xf>
    <xf numFmtId="43" fontId="19" fillId="0" borderId="45" xfId="8" applyNumberFormat="1" applyFont="1" applyBorder="1"/>
    <xf numFmtId="43" fontId="19" fillId="0" borderId="46" xfId="8" applyNumberFormat="1" applyFont="1" applyBorder="1"/>
    <xf numFmtId="0" fontId="16" fillId="10" borderId="35" xfId="8" applyFont="1" applyFill="1" applyBorder="1"/>
    <xf numFmtId="0" fontId="22" fillId="13" borderId="30" xfId="8" applyFont="1" applyFill="1" applyBorder="1"/>
    <xf numFmtId="0" fontId="34" fillId="11" borderId="0" xfId="8" applyFont="1" applyFill="1" applyAlignment="1">
      <alignment horizontal="left" vertical="top"/>
    </xf>
    <xf numFmtId="0" fontId="35" fillId="10" borderId="0" xfId="10" applyFill="1" applyAlignment="1" applyProtection="1">
      <alignment vertical="center"/>
    </xf>
    <xf numFmtId="0" fontId="34" fillId="0" borderId="0" xfId="8" applyFont="1" applyAlignment="1">
      <alignment horizontal="left" vertical="top"/>
    </xf>
    <xf numFmtId="0" fontId="21" fillId="0" borderId="0" xfId="8" applyFont="1"/>
    <xf numFmtId="171" fontId="19" fillId="0" borderId="42" xfId="9" applyNumberFormat="1" applyFont="1" applyFill="1" applyBorder="1"/>
    <xf numFmtId="171" fontId="19" fillId="0" borderId="43" xfId="9" applyNumberFormat="1" applyFont="1" applyFill="1" applyBorder="1"/>
    <xf numFmtId="0" fontId="16" fillId="12" borderId="49" xfId="8" applyFont="1" applyFill="1" applyBorder="1"/>
    <xf numFmtId="0" fontId="16" fillId="10" borderId="49" xfId="8" applyFont="1" applyFill="1" applyBorder="1"/>
    <xf numFmtId="171" fontId="19" fillId="0" borderId="44" xfId="9" applyNumberFormat="1" applyFont="1" applyFill="1" applyBorder="1"/>
    <xf numFmtId="171" fontId="19" fillId="0" borderId="8" xfId="9" applyNumberFormat="1" applyFont="1" applyFill="1" applyBorder="1"/>
    <xf numFmtId="0" fontId="16" fillId="12" borderId="8" xfId="8" applyFont="1" applyFill="1" applyBorder="1"/>
    <xf numFmtId="0" fontId="16" fillId="10" borderId="8" xfId="8" applyFont="1" applyFill="1" applyBorder="1"/>
    <xf numFmtId="171" fontId="16" fillId="0" borderId="8" xfId="9" applyNumberFormat="1" applyFont="1" applyFill="1" applyBorder="1"/>
    <xf numFmtId="0" fontId="30" fillId="10" borderId="0" xfId="8" applyFont="1" applyFill="1"/>
    <xf numFmtId="171" fontId="16" fillId="0" borderId="44" xfId="9" applyNumberFormat="1" applyFont="1" applyFill="1" applyBorder="1"/>
    <xf numFmtId="0" fontId="16" fillId="10" borderId="0" xfId="8" applyFont="1" applyFill="1" applyAlignment="1">
      <alignment horizontal="left"/>
    </xf>
    <xf numFmtId="0" fontId="16" fillId="10" borderId="8" xfId="8" applyFont="1" applyFill="1" applyBorder="1" applyAlignment="1">
      <alignment horizontal="left"/>
    </xf>
    <xf numFmtId="171" fontId="16" fillId="0" borderId="44" xfId="9" applyNumberFormat="1" applyFont="1" applyFill="1" applyBorder="1" applyAlignment="1">
      <alignment horizontal="right"/>
    </xf>
    <xf numFmtId="171" fontId="16" fillId="0" borderId="8" xfId="9" applyNumberFormat="1" applyFont="1" applyFill="1" applyBorder="1" applyAlignment="1">
      <alignment horizontal="right"/>
    </xf>
    <xf numFmtId="0" fontId="16" fillId="10" borderId="16" xfId="8" applyFont="1" applyFill="1" applyBorder="1"/>
    <xf numFmtId="0" fontId="16" fillId="10" borderId="46" xfId="8" applyFont="1" applyFill="1" applyBorder="1" applyAlignment="1">
      <alignment horizontal="left"/>
    </xf>
    <xf numFmtId="0" fontId="22" fillId="12" borderId="58" xfId="8" applyFont="1" applyFill="1" applyBorder="1" applyAlignment="1">
      <alignment horizontal="center" vertical="center" wrapText="1"/>
    </xf>
    <xf numFmtId="0" fontId="18" fillId="0" borderId="0" xfId="8" applyFont="1" applyAlignment="1">
      <alignment vertical="center"/>
    </xf>
    <xf numFmtId="171" fontId="16" fillId="0" borderId="42" xfId="9" applyNumberFormat="1" applyFont="1" applyFill="1" applyBorder="1" applyAlignment="1">
      <alignment horizontal="right"/>
    </xf>
    <xf numFmtId="171" fontId="16" fillId="0" borderId="43" xfId="9" applyNumberFormat="1" applyFont="1" applyFill="1" applyBorder="1" applyAlignment="1">
      <alignment horizontal="right"/>
    </xf>
    <xf numFmtId="0" fontId="16" fillId="0" borderId="43" xfId="8" applyFont="1" applyBorder="1" applyAlignment="1">
      <alignment horizontal="left"/>
    </xf>
    <xf numFmtId="0" fontId="16" fillId="0" borderId="9" xfId="8" applyFont="1" applyBorder="1" applyAlignment="1">
      <alignment horizontal="left"/>
    </xf>
    <xf numFmtId="171" fontId="16" fillId="0" borderId="45" xfId="9" applyNumberFormat="1" applyFont="1" applyFill="1" applyBorder="1" applyAlignment="1">
      <alignment horizontal="right"/>
    </xf>
    <xf numFmtId="171" fontId="16" fillId="0" borderId="46" xfId="9" applyNumberFormat="1" applyFont="1" applyFill="1" applyBorder="1" applyAlignment="1">
      <alignment horizontal="right"/>
    </xf>
    <xf numFmtId="0" fontId="16" fillId="0" borderId="46" xfId="8" applyFont="1" applyBorder="1" applyAlignment="1">
      <alignment horizontal="left"/>
    </xf>
    <xf numFmtId="171" fontId="16" fillId="0" borderId="42" xfId="9" applyNumberFormat="1" applyFont="1" applyFill="1" applyBorder="1"/>
    <xf numFmtId="171" fontId="16" fillId="0" borderId="43" xfId="9" applyNumberFormat="1" applyFont="1" applyFill="1" applyBorder="1"/>
    <xf numFmtId="0" fontId="16" fillId="0" borderId="8" xfId="8" quotePrefix="1" applyFont="1" applyBorder="1" applyAlignment="1">
      <alignment horizontal="left"/>
    </xf>
    <xf numFmtId="0" fontId="16" fillId="10" borderId="17" xfId="8" applyFont="1" applyFill="1" applyBorder="1"/>
    <xf numFmtId="171" fontId="19" fillId="0" borderId="63" xfId="9" applyNumberFormat="1" applyFont="1" applyFill="1" applyBorder="1"/>
    <xf numFmtId="171" fontId="19" fillId="0" borderId="6" xfId="9" applyNumberFormat="1" applyFont="1" applyFill="1" applyBorder="1"/>
    <xf numFmtId="0" fontId="16" fillId="10" borderId="15" xfId="8" applyFont="1" applyFill="1" applyBorder="1"/>
    <xf numFmtId="171" fontId="16" fillId="0" borderId="63" xfId="9" applyNumberFormat="1" applyFont="1" applyFill="1" applyBorder="1"/>
    <xf numFmtId="171" fontId="16" fillId="0" borderId="6" xfId="9" applyNumberFormat="1" applyFont="1" applyFill="1" applyBorder="1"/>
    <xf numFmtId="0" fontId="16" fillId="0" borderId="8" xfId="8" applyFont="1" applyBorder="1" applyAlignment="1">
      <alignment horizontal="left"/>
    </xf>
    <xf numFmtId="171" fontId="16" fillId="0" borderId="45" xfId="9" applyNumberFormat="1" applyFont="1" applyFill="1" applyBorder="1"/>
    <xf numFmtId="171" fontId="16" fillId="0" borderId="46" xfId="9" applyNumberFormat="1" applyFont="1" applyFill="1" applyBorder="1"/>
    <xf numFmtId="0" fontId="16" fillId="10" borderId="13" xfId="8" applyFont="1" applyFill="1" applyBorder="1"/>
    <xf numFmtId="171" fontId="16" fillId="0" borderId="50" xfId="9" applyNumberFormat="1" applyFont="1" applyFill="1" applyBorder="1"/>
    <xf numFmtId="171" fontId="16" fillId="0" borderId="9" xfId="9" applyNumberFormat="1" applyFont="1" applyFill="1" applyBorder="1"/>
    <xf numFmtId="0" fontId="22" fillId="12" borderId="48" xfId="8" applyFont="1" applyFill="1" applyBorder="1" applyAlignment="1">
      <alignment horizontal="center" vertical="center"/>
    </xf>
    <xf numFmtId="0" fontId="22" fillId="12" borderId="57" xfId="8" applyFont="1" applyFill="1" applyBorder="1" applyAlignment="1">
      <alignment horizontal="center" vertical="center"/>
    </xf>
    <xf numFmtId="0" fontId="16" fillId="16" borderId="30" xfId="8" applyFont="1" applyFill="1" applyBorder="1"/>
    <xf numFmtId="0" fontId="17" fillId="0" borderId="0" xfId="8" applyFont="1" applyAlignment="1">
      <alignment horizontal="left" vertical="top"/>
    </xf>
    <xf numFmtId="0" fontId="36" fillId="0" borderId="0" xfId="10" applyFont="1" applyFill="1" applyAlignment="1" applyProtection="1"/>
    <xf numFmtId="0" fontId="16" fillId="0" borderId="0" xfId="8" applyFont="1" applyAlignment="1">
      <alignment horizontal="center" vertical="center"/>
    </xf>
    <xf numFmtId="11" fontId="16" fillId="11" borderId="0" xfId="8" applyNumberFormat="1" applyFont="1" applyFill="1"/>
    <xf numFmtId="43" fontId="16" fillId="11" borderId="0" xfId="9" applyFont="1" applyFill="1"/>
    <xf numFmtId="0" fontId="16" fillId="10" borderId="42" xfId="8" applyFont="1" applyFill="1" applyBorder="1" applyAlignment="1">
      <alignment horizontal="center" vertical="center"/>
    </xf>
    <xf numFmtId="0" fontId="16" fillId="10" borderId="44" xfId="8" applyFont="1" applyFill="1" applyBorder="1" applyAlignment="1">
      <alignment horizontal="center" vertical="center"/>
    </xf>
    <xf numFmtId="43" fontId="16" fillId="0" borderId="8" xfId="9" applyFont="1" applyFill="1" applyBorder="1" applyAlignment="1">
      <alignment vertical="center"/>
    </xf>
    <xf numFmtId="43" fontId="45" fillId="11" borderId="0" xfId="10" applyNumberFormat="1" applyFont="1" applyFill="1" applyAlignment="1" applyProtection="1"/>
    <xf numFmtId="173" fontId="16" fillId="10" borderId="0" xfId="9" applyNumberFormat="1" applyFont="1" applyFill="1"/>
    <xf numFmtId="0" fontId="16" fillId="0" borderId="44" xfId="8" applyFont="1" applyBorder="1" applyAlignment="1">
      <alignment horizontal="center" vertical="center"/>
    </xf>
    <xf numFmtId="173" fontId="16" fillId="0" borderId="8" xfId="9" applyNumberFormat="1" applyFont="1" applyFill="1" applyBorder="1" applyAlignment="1">
      <alignment vertical="center"/>
    </xf>
    <xf numFmtId="0" fontId="38" fillId="10" borderId="0" xfId="8" applyFont="1" applyFill="1"/>
    <xf numFmtId="0" fontId="16" fillId="10" borderId="50" xfId="8" applyFont="1" applyFill="1" applyBorder="1" applyAlignment="1">
      <alignment horizontal="center" vertical="center"/>
    </xf>
    <xf numFmtId="43" fontId="16" fillId="0" borderId="9" xfId="9" applyFont="1" applyFill="1" applyBorder="1" applyAlignment="1">
      <alignment vertical="center"/>
    </xf>
    <xf numFmtId="0" fontId="16" fillId="10" borderId="55" xfId="8" applyFont="1" applyFill="1" applyBorder="1" applyAlignment="1">
      <alignment vertical="center"/>
    </xf>
    <xf numFmtId="0" fontId="22" fillId="5" borderId="56" xfId="8" applyFont="1" applyFill="1" applyBorder="1" applyAlignment="1">
      <alignment horizontal="center" vertical="center" wrapText="1"/>
    </xf>
    <xf numFmtId="0" fontId="22" fillId="5" borderId="48" xfId="8" applyFont="1" applyFill="1" applyBorder="1" applyAlignment="1">
      <alignment horizontal="center" vertical="center" wrapText="1"/>
    </xf>
    <xf numFmtId="0" fontId="22" fillId="5" borderId="57" xfId="8" applyFont="1" applyFill="1" applyBorder="1" applyAlignment="1">
      <alignment horizontal="center" vertical="center"/>
    </xf>
    <xf numFmtId="0" fontId="16" fillId="13" borderId="5" xfId="8" applyFont="1" applyFill="1" applyBorder="1" applyAlignment="1">
      <alignment vertical="center"/>
    </xf>
    <xf numFmtId="10" fontId="17" fillId="0" borderId="0" xfId="12" applyNumberFormat="1" applyFont="1" applyFill="1"/>
    <xf numFmtId="171" fontId="17" fillId="0" borderId="0" xfId="8" applyNumberFormat="1" applyFont="1"/>
    <xf numFmtId="173" fontId="17" fillId="0" borderId="0" xfId="8" applyNumberFormat="1" applyFont="1"/>
    <xf numFmtId="0" fontId="17" fillId="0" borderId="0" xfId="8" applyFont="1" applyAlignment="1">
      <alignment horizontal="left"/>
    </xf>
    <xf numFmtId="43" fontId="17" fillId="12" borderId="19" xfId="9" applyFont="1" applyFill="1" applyBorder="1" applyAlignment="1">
      <alignment vertical="center"/>
    </xf>
    <xf numFmtId="43" fontId="17" fillId="12" borderId="18" xfId="9" applyFont="1" applyFill="1" applyBorder="1" applyAlignment="1">
      <alignment vertical="center"/>
    </xf>
    <xf numFmtId="43" fontId="16" fillId="0" borderId="43" xfId="9" applyFont="1" applyFill="1" applyBorder="1"/>
    <xf numFmtId="167" fontId="16" fillId="0" borderId="43" xfId="9" applyNumberFormat="1" applyFont="1" applyFill="1" applyBorder="1"/>
    <xf numFmtId="0" fontId="16" fillId="0" borderId="28" xfId="8" applyFont="1" applyBorder="1"/>
    <xf numFmtId="43" fontId="17" fillId="12" borderId="16" xfId="9" applyFont="1" applyFill="1" applyBorder="1" applyAlignment="1">
      <alignment vertical="center"/>
    </xf>
    <xf numFmtId="43" fontId="17" fillId="12" borderId="0" xfId="9" applyFont="1" applyFill="1" applyBorder="1" applyAlignment="1">
      <alignment vertical="center"/>
    </xf>
    <xf numFmtId="43" fontId="16" fillId="0" borderId="8" xfId="9" applyFont="1" applyFill="1" applyBorder="1"/>
    <xf numFmtId="167" fontId="16" fillId="0" borderId="8" xfId="9" applyNumberFormat="1" applyFont="1" applyFill="1" applyBorder="1"/>
    <xf numFmtId="0" fontId="16" fillId="0" borderId="31" xfId="8" applyFont="1" applyBorder="1"/>
    <xf numFmtId="0" fontId="16" fillId="12" borderId="0" xfId="8" applyFont="1" applyFill="1" applyAlignment="1">
      <alignment vertical="center"/>
    </xf>
    <xf numFmtId="43" fontId="16" fillId="12" borderId="0" xfId="8" applyNumberFormat="1" applyFont="1" applyFill="1" applyAlignment="1">
      <alignment vertical="center"/>
    </xf>
    <xf numFmtId="43" fontId="22" fillId="18" borderId="65" xfId="8" applyNumberFormat="1" applyFont="1" applyFill="1" applyBorder="1" applyAlignment="1">
      <alignment horizontal="center" vertical="center" wrapText="1"/>
    </xf>
    <xf numFmtId="43" fontId="16" fillId="0" borderId="44" xfId="9" applyFont="1" applyFill="1" applyBorder="1"/>
    <xf numFmtId="170" fontId="16" fillId="0" borderId="8" xfId="9" applyNumberFormat="1" applyFont="1" applyFill="1" applyBorder="1"/>
    <xf numFmtId="43" fontId="22" fillId="18" borderId="65" xfId="8" applyNumberFormat="1" applyFont="1" applyFill="1" applyBorder="1" applyAlignment="1">
      <alignment horizontal="center" vertical="center"/>
    </xf>
    <xf numFmtId="0" fontId="45" fillId="10" borderId="0" xfId="10" applyFont="1" applyFill="1" applyAlignment="1" applyProtection="1"/>
    <xf numFmtId="0" fontId="16" fillId="12" borderId="16" xfId="8" applyFont="1" applyFill="1" applyBorder="1" applyAlignment="1">
      <alignment vertical="center"/>
    </xf>
    <xf numFmtId="0" fontId="18" fillId="19" borderId="44" xfId="8" applyFont="1" applyFill="1" applyBorder="1" applyAlignment="1">
      <alignment horizontal="center" vertical="center" wrapText="1"/>
    </xf>
    <xf numFmtId="0" fontId="18" fillId="19" borderId="8" xfId="8" applyFont="1" applyFill="1" applyBorder="1" applyAlignment="1">
      <alignment horizontal="center" vertical="center" wrapText="1"/>
    </xf>
    <xf numFmtId="0" fontId="22" fillId="12" borderId="15" xfId="8" applyFont="1" applyFill="1" applyBorder="1" applyAlignment="1">
      <alignment horizontal="center" vertical="center" wrapText="1"/>
    </xf>
    <xf numFmtId="174" fontId="16" fillId="0" borderId="44" xfId="9" applyNumberFormat="1" applyFont="1" applyFill="1" applyBorder="1"/>
    <xf numFmtId="174" fontId="16" fillId="0" borderId="8" xfId="9" applyNumberFormat="1" applyFont="1" applyFill="1" applyBorder="1"/>
    <xf numFmtId="167" fontId="16" fillId="0" borderId="8" xfId="9" applyNumberFormat="1" applyFont="1" applyFill="1" applyBorder="1" applyAlignment="1">
      <alignment vertical="center"/>
    </xf>
    <xf numFmtId="174" fontId="16" fillId="0" borderId="8" xfId="9" applyNumberFormat="1" applyFont="1" applyFill="1" applyBorder="1" applyAlignment="1">
      <alignment vertical="center"/>
    </xf>
    <xf numFmtId="43" fontId="17" fillId="10" borderId="0" xfId="8" applyNumberFormat="1" applyFont="1" applyFill="1" applyAlignment="1">
      <alignment horizontal="center" vertical="center"/>
    </xf>
    <xf numFmtId="174" fontId="22" fillId="12" borderId="16" xfId="9" applyNumberFormat="1" applyFont="1" applyFill="1" applyBorder="1"/>
    <xf numFmtId="174" fontId="22" fillId="12" borderId="0" xfId="9" applyNumberFormat="1" applyFont="1" applyFill="1" applyBorder="1"/>
    <xf numFmtId="170" fontId="16" fillId="12" borderId="0" xfId="9" applyNumberFormat="1" applyFont="1" applyFill="1" applyBorder="1"/>
    <xf numFmtId="174" fontId="16" fillId="12" borderId="0" xfId="9" applyNumberFormat="1" applyFont="1" applyFill="1" applyBorder="1"/>
    <xf numFmtId="0" fontId="22" fillId="18" borderId="67" xfId="8" applyFont="1" applyFill="1" applyBorder="1" applyAlignment="1">
      <alignment horizontal="center"/>
    </xf>
    <xf numFmtId="173" fontId="16" fillId="0" borderId="8" xfId="9" applyNumberFormat="1" applyFont="1" applyFill="1" applyBorder="1"/>
    <xf numFmtId="43" fontId="16" fillId="0" borderId="8" xfId="9" applyFont="1" applyFill="1" applyBorder="1" applyAlignment="1">
      <alignment horizontal="center"/>
    </xf>
    <xf numFmtId="173" fontId="22" fillId="12" borderId="0" xfId="9" applyNumberFormat="1" applyFont="1" applyFill="1" applyBorder="1"/>
    <xf numFmtId="43" fontId="22" fillId="18" borderId="67" xfId="9" applyFont="1" applyFill="1" applyBorder="1" applyAlignment="1">
      <alignment horizontal="center"/>
    </xf>
    <xf numFmtId="173" fontId="16" fillId="0" borderId="44" xfId="9" applyNumberFormat="1" applyFont="1" applyFill="1" applyBorder="1"/>
    <xf numFmtId="43" fontId="17" fillId="10" borderId="0" xfId="8" applyNumberFormat="1" applyFont="1" applyFill="1" applyAlignment="1">
      <alignment horizontal="center"/>
    </xf>
    <xf numFmtId="0" fontId="16" fillId="12" borderId="16" xfId="8" applyFont="1" applyFill="1" applyBorder="1"/>
    <xf numFmtId="0" fontId="16" fillId="12" borderId="0" xfId="8" applyFont="1" applyFill="1"/>
    <xf numFmtId="167" fontId="16" fillId="12" borderId="0" xfId="9" applyNumberFormat="1" applyFont="1" applyFill="1" applyBorder="1"/>
    <xf numFmtId="170" fontId="47" fillId="12" borderId="0" xfId="9" applyNumberFormat="1" applyFont="1" applyFill="1" applyBorder="1"/>
    <xf numFmtId="170" fontId="17" fillId="12" borderId="0" xfId="9" applyNumberFormat="1" applyFont="1" applyFill="1" applyBorder="1"/>
    <xf numFmtId="0" fontId="22" fillId="18" borderId="65" xfId="8" applyFont="1" applyFill="1" applyBorder="1" applyAlignment="1">
      <alignment horizontal="center" vertical="center" wrapText="1"/>
    </xf>
    <xf numFmtId="169" fontId="16" fillId="0" borderId="44" xfId="9" applyNumberFormat="1" applyFont="1" applyFill="1" applyBorder="1"/>
    <xf numFmtId="169" fontId="16" fillId="0" borderId="8" xfId="9" applyNumberFormat="1" applyFont="1" applyFill="1" applyBorder="1"/>
    <xf numFmtId="169" fontId="22" fillId="12" borderId="16" xfId="8" applyNumberFormat="1" applyFont="1" applyFill="1" applyBorder="1"/>
    <xf numFmtId="169" fontId="22" fillId="12" borderId="0" xfId="8" applyNumberFormat="1" applyFont="1" applyFill="1"/>
    <xf numFmtId="167" fontId="22" fillId="12" borderId="0" xfId="9" applyNumberFormat="1" applyFont="1" applyFill="1" applyBorder="1"/>
    <xf numFmtId="169" fontId="22" fillId="12" borderId="0" xfId="9" applyNumberFormat="1" applyFont="1" applyFill="1" applyBorder="1"/>
    <xf numFmtId="170" fontId="22" fillId="12" borderId="0" xfId="9" applyNumberFormat="1" applyFont="1" applyFill="1" applyBorder="1"/>
    <xf numFmtId="169" fontId="22" fillId="12" borderId="16" xfId="9" applyNumberFormat="1" applyFont="1" applyFill="1" applyBorder="1"/>
    <xf numFmtId="175" fontId="16" fillId="10" borderId="0" xfId="8" applyNumberFormat="1" applyFont="1" applyFill="1"/>
    <xf numFmtId="170" fontId="21" fillId="10" borderId="0" xfId="8" applyNumberFormat="1" applyFont="1" applyFill="1"/>
    <xf numFmtId="167" fontId="17" fillId="10" borderId="0" xfId="8" applyNumberFormat="1" applyFont="1" applyFill="1"/>
    <xf numFmtId="0" fontId="22" fillId="12" borderId="16" xfId="8" applyFont="1" applyFill="1" applyBorder="1" applyAlignment="1">
      <alignment horizontal="center" vertical="center" wrapText="1"/>
    </xf>
    <xf numFmtId="0" fontId="22" fillId="12" borderId="0" xfId="8" applyFont="1" applyFill="1" applyAlignment="1">
      <alignment horizontal="center" vertical="center" wrapText="1"/>
    </xf>
    <xf numFmtId="0" fontId="22" fillId="18" borderId="65" xfId="8" applyFont="1" applyFill="1" applyBorder="1" applyAlignment="1">
      <alignment horizontal="center"/>
    </xf>
    <xf numFmtId="0" fontId="48" fillId="10" borderId="0" xfId="8" applyFont="1" applyFill="1"/>
    <xf numFmtId="0" fontId="18" fillId="19" borderId="44" xfId="8" applyFont="1" applyFill="1" applyBorder="1" applyAlignment="1">
      <alignment horizontal="center" vertical="top" wrapText="1"/>
    </xf>
    <xf numFmtId="0" fontId="18" fillId="19" borderId="8" xfId="8" applyFont="1" applyFill="1" applyBorder="1" applyAlignment="1">
      <alignment horizontal="center" vertical="top" wrapText="1"/>
    </xf>
    <xf numFmtId="0" fontId="22" fillId="18" borderId="45" xfId="8" applyFont="1" applyFill="1" applyBorder="1" applyAlignment="1">
      <alignment horizontal="center" vertical="center" wrapText="1"/>
    </xf>
    <xf numFmtId="0" fontId="22" fillId="18" borderId="46" xfId="8" applyFont="1" applyFill="1" applyBorder="1" applyAlignment="1">
      <alignment horizontal="center" vertical="center" wrapText="1"/>
    </xf>
    <xf numFmtId="0" fontId="22" fillId="18" borderId="36" xfId="8" applyFont="1" applyFill="1" applyBorder="1" applyAlignment="1">
      <alignment horizontal="center" vertical="center"/>
    </xf>
    <xf numFmtId="169" fontId="19" fillId="10" borderId="42" xfId="8" applyNumberFormat="1" applyFont="1" applyFill="1" applyBorder="1" applyAlignment="1">
      <alignment horizontal="center" vertical="center"/>
    </xf>
    <xf numFmtId="0" fontId="16" fillId="10" borderId="28" xfId="8" applyFont="1" applyFill="1" applyBorder="1" applyAlignment="1">
      <alignment horizontal="center" vertical="center"/>
    </xf>
    <xf numFmtId="169" fontId="19" fillId="10" borderId="45" xfId="8" applyNumberFormat="1" applyFont="1" applyFill="1" applyBorder="1" applyAlignment="1">
      <alignment horizontal="center" vertical="center"/>
    </xf>
    <xf numFmtId="0" fontId="16" fillId="10" borderId="36" xfId="8" applyFont="1" applyFill="1" applyBorder="1" applyAlignment="1">
      <alignment horizontal="center" vertical="center"/>
    </xf>
    <xf numFmtId="0" fontId="16" fillId="10" borderId="0" xfId="8" applyFont="1" applyFill="1" applyAlignment="1">
      <alignment horizontal="left" wrapText="1"/>
    </xf>
    <xf numFmtId="0" fontId="19" fillId="10" borderId="0" xfId="8" applyFont="1" applyFill="1" applyAlignment="1">
      <alignment horizontal="left" wrapText="1"/>
    </xf>
    <xf numFmtId="0" fontId="22" fillId="5" borderId="47" xfId="8" applyFont="1" applyFill="1" applyBorder="1" applyAlignment="1">
      <alignment horizontal="center" vertical="center"/>
    </xf>
    <xf numFmtId="0" fontId="22" fillId="5" borderId="41" xfId="8" applyFont="1" applyFill="1" applyBorder="1" applyAlignment="1">
      <alignment horizontal="center" vertical="center"/>
    </xf>
    <xf numFmtId="0" fontId="17" fillId="10" borderId="0" xfId="8" applyFont="1" applyFill="1" applyAlignment="1">
      <alignment horizontal="center" vertical="center"/>
    </xf>
    <xf numFmtId="0" fontId="49" fillId="10" borderId="0" xfId="8" applyFont="1" applyFill="1" applyAlignment="1">
      <alignment vertical="center"/>
    </xf>
    <xf numFmtId="0" fontId="50" fillId="10" borderId="0" xfId="8" applyFont="1" applyFill="1" applyAlignment="1">
      <alignment vertical="center"/>
    </xf>
    <xf numFmtId="0" fontId="21" fillId="0" borderId="0" xfId="8" applyFont="1" applyAlignment="1">
      <alignment horizontal="center" vertical="center"/>
    </xf>
    <xf numFmtId="43" fontId="0" fillId="0" borderId="0" xfId="0" applyNumberFormat="1"/>
    <xf numFmtId="169" fontId="0" fillId="0" borderId="0" xfId="0" applyNumberFormat="1"/>
    <xf numFmtId="164" fontId="0" fillId="0" borderId="0" xfId="0" applyNumberFormat="1"/>
    <xf numFmtId="2" fontId="0" fillId="0" borderId="0" xfId="0" applyNumberFormat="1"/>
    <xf numFmtId="0" fontId="3" fillId="3" borderId="0" xfId="0" applyFont="1" applyFill="1"/>
    <xf numFmtId="0" fontId="53" fillId="0" borderId="0" xfId="14"/>
    <xf numFmtId="43" fontId="0" fillId="0" borderId="0" xfId="17" applyFont="1"/>
    <xf numFmtId="0" fontId="0" fillId="0" borderId="0" xfId="14" applyFont="1"/>
    <xf numFmtId="0" fontId="3" fillId="6" borderId="0" xfId="14" applyFont="1" applyFill="1"/>
    <xf numFmtId="171" fontId="0" fillId="0" borderId="0" xfId="17" applyNumberFormat="1" applyFont="1"/>
    <xf numFmtId="0" fontId="3" fillId="0" borderId="0" xfId="14" applyFont="1"/>
    <xf numFmtId="176" fontId="0" fillId="0" borderId="0" xfId="14" applyNumberFormat="1" applyFont="1"/>
    <xf numFmtId="17" fontId="0" fillId="0" borderId="0" xfId="14" applyNumberFormat="1" applyFont="1"/>
    <xf numFmtId="0" fontId="3" fillId="0" borderId="64" xfId="14" applyFont="1" applyBorder="1"/>
    <xf numFmtId="0" fontId="3" fillId="0" borderId="2" xfId="14" applyFont="1" applyBorder="1"/>
    <xf numFmtId="0" fontId="0" fillId="0" borderId="12" xfId="14" applyFont="1" applyBorder="1"/>
    <xf numFmtId="0" fontId="0" fillId="0" borderId="10" xfId="14" applyFont="1" applyBorder="1"/>
    <xf numFmtId="0" fontId="0" fillId="0" borderId="1" xfId="14" applyFont="1" applyBorder="1"/>
    <xf numFmtId="0" fontId="9" fillId="0" borderId="0" xfId="16" applyNumberFormat="1" applyFont="1" applyAlignment="1">
      <alignment horizontal="center"/>
    </xf>
    <xf numFmtId="0" fontId="3" fillId="0" borderId="0" xfId="14" applyFont="1" applyAlignment="1">
      <alignment horizontal="center"/>
    </xf>
    <xf numFmtId="0" fontId="3" fillId="0" borderId="3" xfId="14" applyFont="1" applyBorder="1" applyAlignment="1">
      <alignment horizontal="center"/>
    </xf>
    <xf numFmtId="0" fontId="9" fillId="0" borderId="11" xfId="16" applyNumberFormat="1" applyFont="1" applyBorder="1" applyAlignment="1">
      <alignment horizontal="center"/>
    </xf>
    <xf numFmtId="0" fontId="9" fillId="0" borderId="7" xfId="16" applyNumberFormat="1" applyFont="1" applyBorder="1" applyAlignment="1">
      <alignment horizontal="center"/>
    </xf>
    <xf numFmtId="0" fontId="0" fillId="0" borderId="2" xfId="0" applyBorder="1"/>
    <xf numFmtId="0" fontId="0" fillId="0" borderId="2" xfId="14" applyFont="1" applyBorder="1"/>
    <xf numFmtId="0" fontId="0" fillId="0" borderId="1" xfId="0" applyBorder="1"/>
    <xf numFmtId="176" fontId="0" fillId="6" borderId="0" xfId="15" applyNumberFormat="1" applyFont="1" applyFill="1"/>
    <xf numFmtId="0" fontId="3" fillId="0" borderId="2" xfId="14" applyFont="1" applyBorder="1" applyAlignment="1">
      <alignment horizontal="right"/>
    </xf>
    <xf numFmtId="0" fontId="0" fillId="0" borderId="0" xfId="14" applyFont="1" applyAlignment="1">
      <alignment horizontal="right"/>
    </xf>
    <xf numFmtId="0" fontId="0" fillId="0" borderId="1" xfId="14" applyFont="1" applyBorder="1" applyAlignment="1">
      <alignment horizontal="right"/>
    </xf>
    <xf numFmtId="0" fontId="8" fillId="0" borderId="0" xfId="2" applyFill="1"/>
    <xf numFmtId="44" fontId="0" fillId="0" borderId="0" xfId="13" applyFont="1"/>
    <xf numFmtId="1" fontId="0" fillId="6" borderId="0" xfId="13" applyNumberFormat="1" applyFont="1" applyFill="1"/>
    <xf numFmtId="177" fontId="0" fillId="6" borderId="0" xfId="13" applyNumberFormat="1" applyFont="1" applyFill="1"/>
    <xf numFmtId="164" fontId="0" fillId="7" borderId="0" xfId="0" applyNumberFormat="1" applyFill="1"/>
    <xf numFmtId="0" fontId="3" fillId="21" borderId="0" xfId="0" applyFont="1" applyFill="1"/>
    <xf numFmtId="0" fontId="0" fillId="21" borderId="0" xfId="0" applyFill="1"/>
    <xf numFmtId="0" fontId="3" fillId="22" borderId="0" xfId="0" applyFont="1" applyFill="1"/>
    <xf numFmtId="0" fontId="0" fillId="22" borderId="0" xfId="0" applyFill="1"/>
    <xf numFmtId="0" fontId="0" fillId="3" borderId="0" xfId="0" applyFill="1"/>
    <xf numFmtId="0" fontId="3" fillId="4" borderId="0" xfId="0" applyFont="1" applyFill="1"/>
    <xf numFmtId="0" fontId="0" fillId="4" borderId="0" xfId="0" applyFill="1"/>
    <xf numFmtId="1" fontId="0" fillId="3" borderId="0" xfId="0" applyNumberFormat="1" applyFill="1"/>
    <xf numFmtId="0" fontId="3" fillId="5" borderId="71" xfId="0" applyFont="1" applyFill="1" applyBorder="1" applyAlignment="1">
      <alignment horizontal="center"/>
    </xf>
    <xf numFmtId="0" fontId="0" fillId="0" borderId="71" xfId="0" applyBorder="1"/>
    <xf numFmtId="0" fontId="3" fillId="6" borderId="71" xfId="0" applyFont="1" applyFill="1" applyBorder="1" applyAlignment="1">
      <alignment horizontal="center"/>
    </xf>
    <xf numFmtId="9" fontId="0" fillId="3" borderId="0" xfId="0" applyNumberFormat="1" applyFill="1"/>
    <xf numFmtId="0" fontId="0" fillId="0" borderId="71" xfId="0" applyBorder="1" applyAlignment="1">
      <alignment horizontal="center"/>
    </xf>
    <xf numFmtId="11" fontId="0" fillId="0" borderId="0" xfId="0" applyNumberFormat="1"/>
    <xf numFmtId="9" fontId="3" fillId="0" borderId="0" xfId="1" applyFont="1"/>
    <xf numFmtId="0" fontId="3" fillId="23" borderId="0" xfId="0" applyFont="1" applyFill="1"/>
    <xf numFmtId="0" fontId="0" fillId="3" borderId="0" xfId="0" applyFill="1" applyAlignment="1">
      <alignment horizontal="center"/>
    </xf>
    <xf numFmtId="1" fontId="0" fillId="0" borderId="71" xfId="0" applyNumberFormat="1" applyBorder="1" applyAlignment="1">
      <alignment horizontal="center"/>
    </xf>
    <xf numFmtId="9" fontId="0" fillId="0" borderId="71" xfId="1" applyFont="1" applyBorder="1" applyAlignment="1">
      <alignment horizontal="center"/>
    </xf>
    <xf numFmtId="0" fontId="0" fillId="24" borderId="0" xfId="0" applyFill="1"/>
    <xf numFmtId="0" fontId="0" fillId="24" borderId="71" xfId="0" applyFill="1" applyBorder="1"/>
    <xf numFmtId="0" fontId="0" fillId="24" borderId="0" xfId="0" applyFill="1" applyAlignment="1">
      <alignment horizontal="center"/>
    </xf>
    <xf numFmtId="0" fontId="0" fillId="24" borderId="71" xfId="0" applyFill="1" applyBorder="1" applyAlignment="1">
      <alignment horizontal="center"/>
    </xf>
    <xf numFmtId="9" fontId="0" fillId="0" borderId="0" xfId="1" applyFont="1" applyAlignment="1">
      <alignment horizontal="right"/>
    </xf>
    <xf numFmtId="9" fontId="0" fillId="0" borderId="0" xfId="1" applyFont="1" applyBorder="1" applyAlignment="1">
      <alignment horizontal="right"/>
    </xf>
    <xf numFmtId="0" fontId="0" fillId="0" borderId="0" xfId="0" applyAlignment="1">
      <alignment horizontal="left"/>
    </xf>
    <xf numFmtId="0" fontId="4" fillId="0" borderId="1" xfId="0" applyFont="1" applyBorder="1" applyAlignment="1">
      <alignment horizontal="right" vertical="center"/>
    </xf>
    <xf numFmtId="0" fontId="4" fillId="0" borderId="10" xfId="0" applyFont="1" applyBorder="1" applyAlignment="1">
      <alignment horizontal="right" vertical="center" wrapText="1"/>
    </xf>
    <xf numFmtId="0" fontId="4" fillId="0" borderId="1" xfId="0" applyFont="1" applyBorder="1" applyAlignment="1">
      <alignment horizontal="right" vertical="center" wrapText="1"/>
    </xf>
    <xf numFmtId="0" fontId="4" fillId="0" borderId="10" xfId="0" applyFont="1" applyBorder="1" applyAlignment="1">
      <alignment horizontal="right" vertical="center"/>
    </xf>
    <xf numFmtId="0" fontId="4" fillId="0" borderId="64" xfId="0" applyFont="1" applyBorder="1" applyAlignment="1">
      <alignment horizontal="right" vertical="center" wrapText="1"/>
    </xf>
    <xf numFmtId="0" fontId="4" fillId="0" borderId="2" xfId="0" applyFont="1" applyBorder="1" applyAlignment="1">
      <alignment horizontal="right" vertical="center"/>
    </xf>
    <xf numFmtId="0" fontId="4" fillId="0" borderId="2" xfId="0" applyFont="1" applyBorder="1" applyAlignment="1">
      <alignment horizontal="right" vertical="center" wrapText="1"/>
    </xf>
    <xf numFmtId="0" fontId="4" fillId="0" borderId="3" xfId="0" applyFont="1" applyBorder="1" applyAlignment="1">
      <alignment horizontal="right" vertical="center"/>
    </xf>
    <xf numFmtId="0" fontId="4" fillId="0" borderId="12" xfId="0" applyFont="1" applyBorder="1" applyAlignment="1">
      <alignment horizontal="right" vertical="center" wrapText="1"/>
    </xf>
    <xf numFmtId="0" fontId="4" fillId="0" borderId="11" xfId="0" applyFont="1" applyBorder="1" applyAlignment="1">
      <alignment horizontal="right" vertical="center"/>
    </xf>
    <xf numFmtId="0" fontId="4" fillId="0" borderId="11" xfId="0" applyFont="1" applyBorder="1" applyAlignment="1">
      <alignment horizontal="right" vertical="center" wrapText="1"/>
    </xf>
    <xf numFmtId="0" fontId="4" fillId="0" borderId="7" xfId="0" applyFont="1" applyBorder="1" applyAlignment="1">
      <alignment horizontal="right" vertical="center"/>
    </xf>
    <xf numFmtId="0" fontId="4" fillId="0" borderId="64" xfId="0" applyFont="1" applyBorder="1" applyAlignment="1">
      <alignment horizontal="right" vertical="center"/>
    </xf>
    <xf numFmtId="0" fontId="4" fillId="0" borderId="3" xfId="0" applyFont="1" applyBorder="1" applyAlignment="1">
      <alignment horizontal="right" vertical="center" wrapText="1"/>
    </xf>
    <xf numFmtId="0" fontId="4" fillId="0" borderId="12" xfId="0" applyFont="1" applyBorder="1" applyAlignment="1">
      <alignment horizontal="right" vertical="center"/>
    </xf>
    <xf numFmtId="0" fontId="4" fillId="0" borderId="7" xfId="0" applyFont="1" applyBorder="1" applyAlignment="1">
      <alignment horizontal="right" vertical="center" wrapText="1"/>
    </xf>
    <xf numFmtId="0" fontId="57" fillId="0" borderId="0" xfId="0" applyFont="1"/>
    <xf numFmtId="43" fontId="0" fillId="0" borderId="0" xfId="18" applyFont="1"/>
    <xf numFmtId="169" fontId="0" fillId="0" borderId="0" xfId="18" applyNumberFormat="1" applyFont="1"/>
    <xf numFmtId="0" fontId="3" fillId="0" borderId="0" xfId="18" applyNumberFormat="1" applyFont="1"/>
    <xf numFmtId="9" fontId="11" fillId="0" borderId="0" xfId="0" applyNumberFormat="1" applyFont="1"/>
    <xf numFmtId="169" fontId="11" fillId="0" borderId="0" xfId="18" applyNumberFormat="1" applyFont="1"/>
    <xf numFmtId="169" fontId="3" fillId="0" borderId="0" xfId="18" applyNumberFormat="1" applyFont="1"/>
    <xf numFmtId="169" fontId="9" fillId="0" borderId="0" xfId="18" applyNumberFormat="1" applyFont="1"/>
    <xf numFmtId="169" fontId="3" fillId="0" borderId="0" xfId="0" applyNumberFormat="1" applyFont="1"/>
    <xf numFmtId="0" fontId="59" fillId="0" borderId="0" xfId="0" applyFont="1"/>
    <xf numFmtId="43" fontId="59" fillId="0" borderId="0" xfId="0" applyNumberFormat="1" applyFont="1"/>
    <xf numFmtId="9" fontId="59" fillId="0" borderId="0" xfId="0" applyNumberFormat="1" applyFont="1"/>
    <xf numFmtId="0" fontId="9" fillId="0" borderId="0" xfId="0" applyFont="1"/>
    <xf numFmtId="0" fontId="0" fillId="0" borderId="64" xfId="0" applyBorder="1" applyAlignment="1">
      <alignment wrapText="1"/>
    </xf>
    <xf numFmtId="0" fontId="0" fillId="0" borderId="2" xfId="0" applyBorder="1" applyAlignment="1">
      <alignment wrapText="1"/>
    </xf>
    <xf numFmtId="0" fontId="0" fillId="0" borderId="3" xfId="0" applyBorder="1" applyAlignment="1">
      <alignment wrapText="1"/>
    </xf>
    <xf numFmtId="169" fontId="0" fillId="0" borderId="0" xfId="18" applyNumberFormat="1" applyFont="1" applyBorder="1"/>
    <xf numFmtId="169" fontId="0" fillId="0" borderId="11" xfId="18" applyNumberFormat="1" applyFont="1" applyBorder="1"/>
    <xf numFmtId="169" fontId="0" fillId="0" borderId="1" xfId="18" applyNumberFormat="1" applyFont="1" applyBorder="1"/>
    <xf numFmtId="169" fontId="0" fillId="0" borderId="7" xfId="18" applyNumberFormat="1" applyFont="1" applyBorder="1"/>
    <xf numFmtId="0" fontId="0" fillId="0" borderId="11" xfId="0" applyBorder="1"/>
    <xf numFmtId="0" fontId="0" fillId="0" borderId="12" xfId="0" applyBorder="1" applyAlignment="1">
      <alignment wrapText="1"/>
    </xf>
    <xf numFmtId="165" fontId="0" fillId="0" borderId="0" xfId="1" applyNumberFormat="1" applyFont="1" applyBorder="1"/>
    <xf numFmtId="0" fontId="0" fillId="0" borderId="10" xfId="0" applyBorder="1" applyAlignment="1">
      <alignment wrapText="1"/>
    </xf>
    <xf numFmtId="43" fontId="0" fillId="0" borderId="7" xfId="18" applyFont="1" applyBorder="1"/>
    <xf numFmtId="43" fontId="0" fillId="0" borderId="0" xfId="18" applyFont="1" applyBorder="1"/>
    <xf numFmtId="0" fontId="0" fillId="0" borderId="64" xfId="0" applyBorder="1"/>
    <xf numFmtId="9" fontId="0" fillId="0" borderId="11" xfId="0" applyNumberFormat="1" applyBorder="1"/>
    <xf numFmtId="9" fontId="0" fillId="3" borderId="1" xfId="0" applyNumberFormat="1" applyFill="1" applyBorder="1"/>
    <xf numFmtId="0" fontId="0" fillId="3" borderId="1" xfId="0" applyFill="1" applyBorder="1"/>
    <xf numFmtId="0" fontId="0" fillId="0" borderId="7" xfId="0" applyBorder="1"/>
    <xf numFmtId="0" fontId="60" fillId="0" borderId="0" xfId="0" applyFont="1"/>
    <xf numFmtId="9" fontId="61" fillId="0" borderId="0" xfId="0" applyNumberFormat="1" applyFont="1"/>
    <xf numFmtId="0" fontId="61" fillId="0" borderId="0" xfId="0" applyFont="1"/>
    <xf numFmtId="0" fontId="60" fillId="0" borderId="64" xfId="0" applyFont="1" applyBorder="1"/>
    <xf numFmtId="0" fontId="61" fillId="0" borderId="2" xfId="0" applyFont="1" applyBorder="1" applyAlignment="1">
      <alignment wrapText="1"/>
    </xf>
    <xf numFmtId="0" fontId="61" fillId="0" borderId="3" xfId="0" applyFont="1" applyBorder="1" applyAlignment="1">
      <alignment wrapText="1"/>
    </xf>
    <xf numFmtId="0" fontId="61" fillId="0" borderId="12" xfId="0" applyFont="1" applyBorder="1"/>
    <xf numFmtId="169" fontId="61" fillId="0" borderId="0" xfId="18" applyNumberFormat="1" applyFont="1" applyBorder="1"/>
    <xf numFmtId="169" fontId="61" fillId="0" borderId="11" xfId="18" applyNumberFormat="1" applyFont="1" applyBorder="1"/>
    <xf numFmtId="43" fontId="61" fillId="0" borderId="0" xfId="18" applyFont="1" applyBorder="1"/>
    <xf numFmtId="0" fontId="61" fillId="0" borderId="10" xfId="0" applyFont="1" applyBorder="1"/>
    <xf numFmtId="169" fontId="62" fillId="25" borderId="1" xfId="18" applyNumberFormat="1" applyFont="1" applyFill="1" applyBorder="1"/>
    <xf numFmtId="169" fontId="61" fillId="0" borderId="1" xfId="18" applyNumberFormat="1" applyFont="1" applyBorder="1"/>
    <xf numFmtId="169" fontId="61" fillId="0" borderId="7" xfId="18" applyNumberFormat="1" applyFont="1" applyBorder="1"/>
    <xf numFmtId="43" fontId="61" fillId="0" borderId="1" xfId="18" applyFont="1" applyFill="1" applyBorder="1"/>
    <xf numFmtId="169" fontId="61" fillId="0" borderId="1" xfId="18" applyNumberFormat="1" applyFont="1" applyFill="1" applyBorder="1"/>
    <xf numFmtId="169" fontId="61" fillId="0" borderId="0" xfId="18" applyNumberFormat="1" applyFont="1" applyFill="1"/>
    <xf numFmtId="169" fontId="61" fillId="0" borderId="0" xfId="18" applyNumberFormat="1" applyFont="1"/>
    <xf numFmtId="0" fontId="61" fillId="0" borderId="1" xfId="0" applyFont="1" applyBorder="1"/>
    <xf numFmtId="0" fontId="61" fillId="0" borderId="7" xfId="0" applyFont="1" applyBorder="1"/>
    <xf numFmtId="0" fontId="10" fillId="0" borderId="64" xfId="0" applyFont="1" applyBorder="1"/>
    <xf numFmtId="0" fontId="10" fillId="0" borderId="12" xfId="0" applyFont="1" applyBorder="1"/>
    <xf numFmtId="0" fontId="0" fillId="0" borderId="11" xfId="0" applyBorder="1" applyAlignment="1">
      <alignment wrapText="1"/>
    </xf>
    <xf numFmtId="169" fontId="0" fillId="0" borderId="11" xfId="0" applyNumberFormat="1" applyBorder="1"/>
    <xf numFmtId="169" fontId="3" fillId="26" borderId="1" xfId="0" applyNumberFormat="1" applyFont="1" applyFill="1" applyBorder="1"/>
    <xf numFmtId="169" fontId="0" fillId="0" borderId="1" xfId="0" applyNumberFormat="1" applyBorder="1"/>
    <xf numFmtId="169" fontId="0" fillId="0" borderId="7" xfId="0" applyNumberFormat="1" applyBorder="1"/>
    <xf numFmtId="169" fontId="0" fillId="0" borderId="0" xfId="18" applyNumberFormat="1" applyFont="1" applyFill="1" applyBorder="1"/>
    <xf numFmtId="169" fontId="3" fillId="26" borderId="0" xfId="18" applyNumberFormat="1" applyFont="1" applyFill="1" applyBorder="1"/>
    <xf numFmtId="169" fontId="0" fillId="0" borderId="2" xfId="18" applyNumberFormat="1" applyFont="1" applyBorder="1"/>
    <xf numFmtId="169" fontId="0" fillId="0" borderId="2" xfId="0" applyNumberFormat="1" applyBorder="1"/>
    <xf numFmtId="169" fontId="0" fillId="0" borderId="3" xfId="0" applyNumberFormat="1" applyBorder="1"/>
    <xf numFmtId="169" fontId="3" fillId="26" borderId="1" xfId="18" applyNumberFormat="1" applyFont="1" applyFill="1" applyBorder="1"/>
    <xf numFmtId="0" fontId="0" fillId="0" borderId="3" xfId="0" applyBorder="1"/>
    <xf numFmtId="0" fontId="10" fillId="0" borderId="12" xfId="0" applyFont="1" applyBorder="1" applyAlignment="1">
      <alignment wrapText="1"/>
    </xf>
    <xf numFmtId="169" fontId="3" fillId="26" borderId="11" xfId="18" applyNumberFormat="1" applyFont="1" applyFill="1" applyBorder="1"/>
    <xf numFmtId="169" fontId="3" fillId="26" borderId="7" xfId="18" applyNumberFormat="1" applyFont="1" applyFill="1" applyBorder="1"/>
    <xf numFmtId="43" fontId="0" fillId="0" borderId="1" xfId="18" applyFont="1" applyBorder="1"/>
    <xf numFmtId="0" fontId="63" fillId="0" borderId="64" xfId="0" applyFont="1" applyBorder="1"/>
    <xf numFmtId="0" fontId="3" fillId="0" borderId="12" xfId="0" applyFont="1" applyBorder="1"/>
    <xf numFmtId="0" fontId="62" fillId="0" borderId="0" xfId="0" applyFont="1"/>
    <xf numFmtId="169" fontId="61" fillId="0" borderId="0" xfId="0" applyNumberFormat="1" applyFont="1"/>
    <xf numFmtId="9" fontId="0" fillId="0" borderId="0" xfId="1" applyFont="1" applyBorder="1"/>
    <xf numFmtId="9" fontId="0" fillId="0" borderId="11" xfId="1" applyFont="1" applyBorder="1"/>
    <xf numFmtId="0" fontId="3" fillId="0" borderId="0" xfId="18" applyNumberFormat="1" applyFont="1" applyBorder="1"/>
    <xf numFmtId="9" fontId="3" fillId="0" borderId="0" xfId="0" applyNumberFormat="1" applyFont="1"/>
    <xf numFmtId="9" fontId="3" fillId="0" borderId="0" xfId="1" applyFont="1" applyBorder="1" applyAlignment="1">
      <alignment wrapText="1"/>
    </xf>
    <xf numFmtId="9" fontId="3" fillId="0" borderId="11" xfId="1" applyFont="1" applyBorder="1" applyAlignment="1">
      <alignment wrapText="1"/>
    </xf>
    <xf numFmtId="0" fontId="3" fillId="0" borderId="64"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169" fontId="2" fillId="0" borderId="0" xfId="18" applyNumberFormat="1" applyFont="1" applyBorder="1" applyAlignment="1">
      <alignment wrapText="1"/>
    </xf>
    <xf numFmtId="167" fontId="2" fillId="0" borderId="0" xfId="18" applyNumberFormat="1" applyFont="1" applyBorder="1" applyAlignment="1">
      <alignment wrapText="1"/>
    </xf>
    <xf numFmtId="169" fontId="0" fillId="0" borderId="0" xfId="18" applyNumberFormat="1" applyFont="1" applyBorder="1" applyAlignment="1">
      <alignment wrapText="1"/>
    </xf>
    <xf numFmtId="167" fontId="0" fillId="0" borderId="0" xfId="0" applyNumberFormat="1" applyAlignment="1">
      <alignment wrapText="1"/>
    </xf>
    <xf numFmtId="43" fontId="2" fillId="0" borderId="0" xfId="18" applyFont="1" applyBorder="1" applyAlignment="1">
      <alignment wrapText="1"/>
    </xf>
    <xf numFmtId="43" fontId="2" fillId="0" borderId="11" xfId="18" applyFont="1" applyBorder="1" applyAlignment="1">
      <alignment wrapText="1"/>
    </xf>
    <xf numFmtId="167" fontId="0" fillId="0" borderId="0" xfId="18" applyNumberFormat="1" applyFont="1" applyBorder="1"/>
    <xf numFmtId="0" fontId="3" fillId="0" borderId="12" xfId="0" applyFont="1" applyBorder="1" applyAlignment="1">
      <alignment horizontal="left"/>
    </xf>
    <xf numFmtId="0" fontId="0" fillId="0" borderId="12" xfId="0" applyBorder="1" applyAlignment="1">
      <alignment horizontal="left" indent="1"/>
    </xf>
    <xf numFmtId="167" fontId="0" fillId="0" borderId="0" xfId="18" applyNumberFormat="1" applyFont="1" applyFill="1" applyBorder="1" applyAlignment="1">
      <alignment wrapText="1"/>
    </xf>
    <xf numFmtId="169" fontId="2" fillId="0" borderId="0" xfId="18" applyNumberFormat="1" applyFont="1" applyFill="1" applyBorder="1" applyAlignment="1">
      <alignment wrapText="1"/>
    </xf>
    <xf numFmtId="167" fontId="2" fillId="0" borderId="11" xfId="18" applyNumberFormat="1" applyFont="1" applyBorder="1" applyAlignment="1">
      <alignment wrapText="1"/>
    </xf>
    <xf numFmtId="167" fontId="0" fillId="0" borderId="0" xfId="18" applyNumberFormat="1" applyFont="1" applyFill="1" applyBorder="1"/>
    <xf numFmtId="167" fontId="0" fillId="0" borderId="11" xfId="18" applyNumberFormat="1" applyFont="1" applyBorder="1"/>
    <xf numFmtId="167" fontId="3" fillId="0" borderId="0" xfId="18" applyNumberFormat="1" applyFont="1" applyBorder="1"/>
    <xf numFmtId="0" fontId="3" fillId="0" borderId="10" xfId="0" applyFont="1" applyBorder="1"/>
    <xf numFmtId="167" fontId="3" fillId="0" borderId="1" xfId="18" applyNumberFormat="1" applyFont="1" applyBorder="1"/>
    <xf numFmtId="167" fontId="0" fillId="0" borderId="0" xfId="0" applyNumberFormat="1"/>
    <xf numFmtId="0" fontId="0" fillId="17" borderId="0" xfId="0" applyFill="1"/>
    <xf numFmtId="167" fontId="0" fillId="17" borderId="0" xfId="18" applyNumberFormat="1" applyFont="1" applyFill="1" applyBorder="1"/>
    <xf numFmtId="169" fontId="0" fillId="17" borderId="0" xfId="0" applyNumberFormat="1" applyFill="1"/>
    <xf numFmtId="9" fontId="0" fillId="0" borderId="0" xfId="1" applyFont="1" applyFill="1" applyBorder="1"/>
    <xf numFmtId="43" fontId="2" fillId="0" borderId="0" xfId="18" applyFont="1" applyBorder="1" applyAlignment="1">
      <alignment horizontal="left"/>
    </xf>
    <xf numFmtId="43" fontId="0" fillId="0" borderId="11" xfId="18" applyFont="1" applyBorder="1"/>
    <xf numFmtId="0" fontId="63" fillId="0" borderId="2" xfId="0" applyFont="1" applyBorder="1"/>
    <xf numFmtId="9" fontId="0" fillId="0" borderId="2" xfId="1" applyFont="1" applyBorder="1"/>
    <xf numFmtId="9" fontId="0" fillId="0" borderId="3" xfId="1" applyFont="1" applyBorder="1"/>
    <xf numFmtId="43" fontId="61" fillId="0" borderId="0" xfId="0" applyNumberFormat="1" applyFont="1"/>
    <xf numFmtId="43" fontId="0" fillId="17" borderId="0" xfId="18" applyFont="1" applyFill="1" applyBorder="1"/>
    <xf numFmtId="43" fontId="0" fillId="0" borderId="0" xfId="18" applyFont="1" applyFill="1" applyBorder="1"/>
    <xf numFmtId="0" fontId="3" fillId="0" borderId="10" xfId="0" applyFont="1" applyBorder="1" applyAlignment="1">
      <alignment horizontal="left"/>
    </xf>
    <xf numFmtId="9" fontId="0" fillId="0" borderId="1" xfId="0" applyNumberFormat="1" applyBorder="1"/>
    <xf numFmtId="43" fontId="0" fillId="0" borderId="1" xfId="0" applyNumberFormat="1" applyBorder="1"/>
    <xf numFmtId="9" fontId="0" fillId="0" borderId="1" xfId="1" applyFont="1" applyBorder="1"/>
    <xf numFmtId="9" fontId="0" fillId="0" borderId="7" xfId="1" applyFont="1" applyBorder="1"/>
    <xf numFmtId="0" fontId="3" fillId="0" borderId="64" xfId="0" applyFont="1" applyBorder="1" applyAlignment="1">
      <alignment horizontal="left"/>
    </xf>
    <xf numFmtId="0" fontId="3" fillId="0" borderId="2" xfId="0" applyFont="1" applyBorder="1"/>
    <xf numFmtId="0" fontId="3" fillId="0" borderId="2" xfId="18" applyNumberFormat="1" applyFont="1" applyBorder="1" applyAlignment="1">
      <alignment wrapText="1"/>
    </xf>
    <xf numFmtId="43" fontId="3" fillId="0" borderId="3" xfId="0" applyNumberFormat="1" applyFont="1" applyBorder="1" applyAlignment="1">
      <alignment wrapText="1"/>
    </xf>
    <xf numFmtId="0" fontId="0" fillId="0" borderId="12" xfId="0" applyBorder="1" applyAlignment="1">
      <alignment horizontal="left"/>
    </xf>
    <xf numFmtId="43" fontId="0" fillId="0" borderId="11" xfId="0" applyNumberFormat="1" applyBorder="1"/>
    <xf numFmtId="0" fontId="0" fillId="0" borderId="10" xfId="0" applyBorder="1" applyAlignment="1">
      <alignment horizontal="left"/>
    </xf>
    <xf numFmtId="43" fontId="0" fillId="0" borderId="7" xfId="0" applyNumberFormat="1" applyBorder="1"/>
    <xf numFmtId="0" fontId="3" fillId="0" borderId="64" xfId="0" applyFont="1" applyBorder="1"/>
    <xf numFmtId="169" fontId="3" fillId="0" borderId="0" xfId="18" applyNumberFormat="1" applyFont="1" applyBorder="1"/>
    <xf numFmtId="43" fontId="2" fillId="0" borderId="0" xfId="18" applyFont="1" applyBorder="1"/>
    <xf numFmtId="0" fontId="0" fillId="0" borderId="0" xfId="18" applyNumberFormat="1" applyFont="1" applyBorder="1"/>
    <xf numFmtId="9" fontId="2" fillId="0" borderId="0" xfId="1" applyFont="1" applyBorder="1"/>
    <xf numFmtId="0" fontId="2" fillId="0" borderId="0" xfId="18" applyNumberFormat="1" applyFont="1" applyBorder="1"/>
    <xf numFmtId="0" fontId="0" fillId="0" borderId="0" xfId="0" applyAlignment="1">
      <alignment horizontal="left" indent="1"/>
    </xf>
    <xf numFmtId="0" fontId="0" fillId="0" borderId="0" xfId="0" applyAlignment="1">
      <alignment vertical="top" wrapText="1"/>
    </xf>
    <xf numFmtId="0" fontId="0" fillId="0" borderId="11" xfId="0" applyBorder="1" applyAlignment="1">
      <alignment vertical="top" wrapText="1"/>
    </xf>
    <xf numFmtId="167" fontId="0" fillId="0" borderId="1" xfId="18" applyNumberFormat="1" applyFont="1" applyBorder="1"/>
    <xf numFmtId="0" fontId="8" fillId="0" borderId="1" xfId="2" applyBorder="1"/>
    <xf numFmtId="0" fontId="8" fillId="0" borderId="7" xfId="2" applyBorder="1"/>
    <xf numFmtId="43" fontId="0" fillId="0" borderId="0" xfId="18" applyFont="1" applyBorder="1" applyAlignment="1"/>
    <xf numFmtId="0" fontId="8" fillId="0" borderId="0" xfId="2" applyBorder="1" applyAlignment="1"/>
    <xf numFmtId="43" fontId="0" fillId="0" borderId="1" xfId="18" applyFont="1" applyBorder="1" applyAlignment="1"/>
    <xf numFmtId="0" fontId="8" fillId="0" borderId="1" xfId="2" applyBorder="1" applyAlignment="1"/>
    <xf numFmtId="0" fontId="9" fillId="0" borderId="12" xfId="0" applyFont="1" applyBorder="1"/>
    <xf numFmtId="169" fontId="9" fillId="0" borderId="0" xfId="18" applyNumberFormat="1" applyFont="1" applyBorder="1"/>
    <xf numFmtId="0" fontId="3" fillId="0" borderId="11" xfId="0" applyFont="1" applyBorder="1"/>
    <xf numFmtId="0" fontId="59" fillId="0" borderId="11" xfId="0" applyFont="1" applyBorder="1"/>
    <xf numFmtId="0" fontId="9" fillId="0" borderId="11" xfId="0" applyFont="1" applyBorder="1"/>
    <xf numFmtId="0" fontId="63" fillId="0" borderId="12" xfId="0" applyFont="1" applyBorder="1"/>
    <xf numFmtId="0" fontId="3" fillId="0" borderId="1" xfId="0" applyFont="1" applyBorder="1"/>
    <xf numFmtId="0" fontId="3" fillId="0" borderId="7" xfId="0" applyFont="1" applyBorder="1"/>
    <xf numFmtId="43" fontId="0" fillId="3" borderId="0" xfId="18" applyFont="1" applyFill="1"/>
    <xf numFmtId="169" fontId="0" fillId="3" borderId="0" xfId="18" applyNumberFormat="1" applyFont="1" applyFill="1"/>
    <xf numFmtId="0" fontId="10" fillId="3" borderId="64" xfId="0" applyFont="1" applyFill="1" applyBorder="1"/>
    <xf numFmtId="0" fontId="3" fillId="0" borderId="3" xfId="0" applyFont="1" applyBorder="1"/>
    <xf numFmtId="0" fontId="3" fillId="3" borderId="64" xfId="0" applyFont="1" applyFill="1" applyBorder="1"/>
    <xf numFmtId="0" fontId="11" fillId="0" borderId="10" xfId="0" applyFont="1" applyBorder="1"/>
    <xf numFmtId="0" fontId="64" fillId="0" borderId="11" xfId="0" applyFont="1" applyBorder="1" applyAlignment="1">
      <alignment wrapText="1"/>
    </xf>
    <xf numFmtId="9" fontId="64" fillId="0" borderId="0" xfId="0" applyNumberFormat="1" applyFont="1"/>
    <xf numFmtId="0" fontId="64" fillId="0" borderId="11" xfId="0" applyFont="1" applyBorder="1"/>
    <xf numFmtId="0" fontId="65" fillId="0" borderId="0" xfId="0" applyFont="1"/>
    <xf numFmtId="0" fontId="65" fillId="0" borderId="11" xfId="0" applyFont="1" applyBorder="1"/>
    <xf numFmtId="167" fontId="0" fillId="0" borderId="7" xfId="18" applyNumberFormat="1" applyFont="1" applyBorder="1"/>
    <xf numFmtId="169" fontId="0" fillId="0" borderId="11" xfId="18" applyNumberFormat="1" applyFont="1" applyFill="1" applyBorder="1"/>
    <xf numFmtId="0" fontId="66" fillId="0" borderId="0" xfId="0" applyFont="1"/>
    <xf numFmtId="0" fontId="66" fillId="0" borderId="12" xfId="0" applyFont="1" applyBorder="1"/>
    <xf numFmtId="0" fontId="8" fillId="0" borderId="0" xfId="2" applyFill="1" applyBorder="1"/>
    <xf numFmtId="0" fontId="8" fillId="0" borderId="1" xfId="2" applyFill="1" applyBorder="1"/>
    <xf numFmtId="0" fontId="68" fillId="0" borderId="10" xfId="0" applyFont="1" applyBorder="1"/>
    <xf numFmtId="0" fontId="8" fillId="0" borderId="0" xfId="2" applyBorder="1"/>
    <xf numFmtId="0" fontId="64" fillId="0" borderId="12" xfId="0" applyFont="1" applyBorder="1"/>
    <xf numFmtId="169" fontId="0" fillId="0" borderId="1" xfId="18" applyNumberFormat="1" applyFont="1" applyFill="1" applyBorder="1"/>
    <xf numFmtId="178" fontId="0" fillId="0" borderId="0" xfId="13" applyNumberFormat="1" applyFont="1" applyBorder="1"/>
    <xf numFmtId="178" fontId="0" fillId="0" borderId="11" xfId="13" applyNumberFormat="1" applyFont="1" applyBorder="1"/>
    <xf numFmtId="178" fontId="0" fillId="0" borderId="1" xfId="13" applyNumberFormat="1" applyFont="1" applyBorder="1"/>
    <xf numFmtId="178" fontId="0" fillId="0" borderId="7" xfId="13" applyNumberFormat="1" applyFont="1" applyBorder="1"/>
    <xf numFmtId="0" fontId="8" fillId="0" borderId="11" xfId="2" applyBorder="1"/>
    <xf numFmtId="169" fontId="59" fillId="0" borderId="0" xfId="18" applyNumberFormat="1" applyFont="1"/>
    <xf numFmtId="169" fontId="59" fillId="0" borderId="0" xfId="0" applyNumberFormat="1" applyFont="1"/>
    <xf numFmtId="0" fontId="59" fillId="0" borderId="12" xfId="0" applyFont="1" applyBorder="1" applyAlignment="1">
      <alignment horizontal="left" indent="1"/>
    </xf>
    <xf numFmtId="43" fontId="59" fillId="0" borderId="0" xfId="18" applyFont="1" applyBorder="1"/>
    <xf numFmtId="169" fontId="59" fillId="0" borderId="0" xfId="18" applyNumberFormat="1" applyFont="1" applyBorder="1"/>
    <xf numFmtId="9" fontId="59" fillId="0" borderId="0" xfId="1" applyFont="1" applyFill="1" applyBorder="1"/>
    <xf numFmtId="169" fontId="59" fillId="0" borderId="0" xfId="18" applyNumberFormat="1" applyFont="1" applyFill="1" applyBorder="1"/>
    <xf numFmtId="167" fontId="59" fillId="0" borderId="0" xfId="18" applyNumberFormat="1" applyFont="1" applyFill="1" applyBorder="1"/>
    <xf numFmtId="167" fontId="59" fillId="0" borderId="0" xfId="18" applyNumberFormat="1" applyFont="1" applyBorder="1"/>
    <xf numFmtId="167" fontId="59" fillId="0" borderId="11" xfId="18" applyNumberFormat="1" applyFont="1" applyBorder="1"/>
    <xf numFmtId="9" fontId="59" fillId="0" borderId="0" xfId="1" applyFont="1"/>
    <xf numFmtId="9" fontId="59" fillId="0" borderId="0" xfId="1" applyFont="1" applyBorder="1"/>
    <xf numFmtId="43" fontId="59" fillId="0" borderId="0" xfId="18" applyFont="1" applyFill="1" applyBorder="1"/>
    <xf numFmtId="43" fontId="59" fillId="0" borderId="11" xfId="18" applyFont="1" applyBorder="1"/>
    <xf numFmtId="0" fontId="59" fillId="0" borderId="12" xfId="0" applyFont="1" applyBorder="1"/>
    <xf numFmtId="0" fontId="69" fillId="0" borderId="0" xfId="0" applyFont="1"/>
    <xf numFmtId="0" fontId="69" fillId="0" borderId="11" xfId="0" applyFont="1" applyBorder="1"/>
    <xf numFmtId="0" fontId="69" fillId="0" borderId="12" xfId="0" applyFont="1" applyBorder="1"/>
    <xf numFmtId="0" fontId="66" fillId="0" borderId="2" xfId="0" applyFont="1" applyBorder="1"/>
    <xf numFmtId="167" fontId="9" fillId="0" borderId="0" xfId="0" applyNumberFormat="1" applyFont="1"/>
    <xf numFmtId="169" fontId="64" fillId="0" borderId="0" xfId="0" applyNumberFormat="1" applyFont="1"/>
    <xf numFmtId="0" fontId="64" fillId="0" borderId="0" xfId="0" applyFont="1"/>
    <xf numFmtId="169" fontId="9" fillId="0" borderId="0" xfId="0" applyNumberFormat="1" applyFont="1"/>
    <xf numFmtId="164" fontId="0" fillId="3" borderId="0" xfId="0" applyNumberFormat="1" applyFill="1"/>
    <xf numFmtId="10" fontId="0" fillId="3" borderId="0" xfId="0" applyNumberFormat="1" applyFill="1"/>
    <xf numFmtId="9" fontId="64" fillId="0" borderId="0" xfId="1" applyFont="1"/>
    <xf numFmtId="9" fontId="0" fillId="3" borderId="0" xfId="1" applyFont="1" applyFill="1"/>
    <xf numFmtId="0" fontId="3" fillId="3" borderId="0" xfId="0" applyFont="1" applyFill="1" applyAlignment="1">
      <alignment horizontal="right" wrapText="1"/>
    </xf>
    <xf numFmtId="164" fontId="0" fillId="0" borderId="71" xfId="1" applyNumberFormat="1" applyFont="1" applyBorder="1" applyAlignment="1">
      <alignment horizontal="center"/>
    </xf>
    <xf numFmtId="0" fontId="11" fillId="0" borderId="0" xfId="0" applyFont="1" applyAlignment="1">
      <alignment wrapText="1"/>
    </xf>
    <xf numFmtId="0" fontId="0" fillId="0" borderId="0" xfId="0" applyAlignment="1">
      <alignment horizontal="right" wrapText="1"/>
    </xf>
    <xf numFmtId="0" fontId="0" fillId="0" borderId="0" xfId="0" applyAlignment="1">
      <alignment horizontal="left" wrapText="1"/>
    </xf>
    <xf numFmtId="11" fontId="0" fillId="6" borderId="0" xfId="0" applyNumberFormat="1" applyFill="1"/>
    <xf numFmtId="11" fontId="0" fillId="7" borderId="0" xfId="0" applyNumberFormat="1" applyFill="1"/>
    <xf numFmtId="0" fontId="3" fillId="27" borderId="0" xfId="0" applyFont="1" applyFill="1"/>
    <xf numFmtId="0" fontId="3" fillId="9" borderId="71" xfId="0" applyFont="1" applyFill="1" applyBorder="1"/>
    <xf numFmtId="0" fontId="3" fillId="5" borderId="71" xfId="0" applyFont="1" applyFill="1" applyBorder="1" applyAlignment="1">
      <alignment horizontal="right"/>
    </xf>
    <xf numFmtId="1" fontId="0" fillId="0" borderId="71" xfId="0" applyNumberFormat="1" applyBorder="1"/>
    <xf numFmtId="0" fontId="3" fillId="22" borderId="0" xfId="0" applyFont="1" applyFill="1" applyAlignment="1">
      <alignment horizontal="right"/>
    </xf>
    <xf numFmtId="0" fontId="3" fillId="9" borderId="0" xfId="0" applyFont="1" applyFill="1" applyAlignment="1">
      <alignment horizontal="right"/>
    </xf>
    <xf numFmtId="0" fontId="0" fillId="0" borderId="0" xfId="1" applyNumberFormat="1" applyFont="1"/>
    <xf numFmtId="179" fontId="0" fillId="0" borderId="0" xfId="0" applyNumberFormat="1"/>
    <xf numFmtId="1" fontId="0" fillId="0" borderId="0" xfId="0" applyNumberFormat="1" applyAlignment="1">
      <alignment horizontal="right"/>
    </xf>
    <xf numFmtId="1" fontId="0" fillId="6" borderId="0" xfId="0" applyNumberFormat="1" applyFill="1"/>
    <xf numFmtId="10" fontId="0" fillId="0" borderId="0" xfId="0" applyNumberFormat="1"/>
    <xf numFmtId="0" fontId="70" fillId="0" borderId="0" xfId="19"/>
    <xf numFmtId="0" fontId="70" fillId="0" borderId="0" xfId="20"/>
    <xf numFmtId="0" fontId="71" fillId="0" borderId="72" xfId="21">
      <alignment wrapText="1"/>
    </xf>
    <xf numFmtId="0" fontId="72" fillId="0" borderId="0" xfId="19" applyFont="1"/>
    <xf numFmtId="0" fontId="73" fillId="0" borderId="0" xfId="19" applyFont="1"/>
    <xf numFmtId="0" fontId="25" fillId="0" borderId="0" xfId="19" applyFont="1"/>
    <xf numFmtId="0" fontId="75" fillId="0" borderId="0" xfId="22" applyFont="1">
      <alignment horizontal="left"/>
    </xf>
    <xf numFmtId="0" fontId="76" fillId="0" borderId="0" xfId="19" applyFont="1"/>
    <xf numFmtId="0" fontId="77" fillId="0" borderId="0" xfId="19" applyFont="1" applyAlignment="1">
      <alignment horizontal="right"/>
    </xf>
    <xf numFmtId="0" fontId="76" fillId="0" borderId="0" xfId="20" applyFont="1"/>
    <xf numFmtId="0" fontId="76" fillId="0" borderId="0" xfId="19" applyFont="1" applyAlignment="1">
      <alignment horizontal="left"/>
    </xf>
    <xf numFmtId="0" fontId="77" fillId="0" borderId="72" xfId="21" applyFont="1">
      <alignment wrapText="1"/>
    </xf>
    <xf numFmtId="0" fontId="77" fillId="0" borderId="72" xfId="21" applyFont="1" applyAlignment="1">
      <alignment horizontal="right"/>
    </xf>
    <xf numFmtId="0" fontId="77" fillId="0" borderId="73" xfId="23" applyFont="1">
      <alignment wrapText="1"/>
    </xf>
    <xf numFmtId="3" fontId="77" fillId="0" borderId="73" xfId="23" applyNumberFormat="1" applyFont="1" applyAlignment="1">
      <alignment horizontal="right" wrapText="1"/>
    </xf>
    <xf numFmtId="165" fontId="77" fillId="0" borderId="73" xfId="23" applyNumberFormat="1" applyFont="1" applyAlignment="1">
      <alignment horizontal="right" wrapText="1"/>
    </xf>
    <xf numFmtId="180" fontId="77" fillId="0" borderId="73" xfId="23" applyNumberFormat="1" applyFont="1" applyAlignment="1">
      <alignment horizontal="right" wrapText="1"/>
    </xf>
    <xf numFmtId="0" fontId="76" fillId="0" borderId="74" xfId="24" applyFont="1">
      <alignment wrapText="1"/>
    </xf>
    <xf numFmtId="180" fontId="76" fillId="0" borderId="74" xfId="24" applyNumberFormat="1" applyFont="1" applyAlignment="1">
      <alignment horizontal="right" wrapText="1"/>
    </xf>
    <xf numFmtId="165" fontId="76" fillId="0" borderId="74" xfId="24" applyNumberFormat="1" applyFont="1" applyAlignment="1">
      <alignment horizontal="right" wrapText="1"/>
    </xf>
    <xf numFmtId="4" fontId="76" fillId="0" borderId="74" xfId="24" applyNumberFormat="1" applyFont="1" applyAlignment="1">
      <alignment horizontal="right" wrapText="1"/>
    </xf>
    <xf numFmtId="4" fontId="77" fillId="0" borderId="73" xfId="23" applyNumberFormat="1" applyFont="1" applyAlignment="1">
      <alignment horizontal="right" wrapText="1"/>
    </xf>
    <xf numFmtId="0" fontId="70" fillId="0" borderId="75" xfId="19" applyBorder="1"/>
    <xf numFmtId="0" fontId="76" fillId="0" borderId="75" xfId="25" applyFont="1" applyAlignment="1"/>
    <xf numFmtId="0" fontId="76" fillId="0" borderId="75" xfId="19" applyFont="1" applyBorder="1"/>
    <xf numFmtId="3" fontId="76" fillId="0" borderId="74" xfId="24" applyNumberFormat="1" applyFont="1" applyAlignment="1">
      <alignment horizontal="right" wrapText="1"/>
    </xf>
    <xf numFmtId="165" fontId="76" fillId="0" borderId="74" xfId="24" applyNumberFormat="1" applyFont="1">
      <alignment wrapText="1"/>
    </xf>
    <xf numFmtId="4" fontId="76" fillId="0" borderId="74" xfId="24" applyNumberFormat="1" applyFont="1">
      <alignment wrapText="1"/>
    </xf>
    <xf numFmtId="0" fontId="3" fillId="0" borderId="0" xfId="0" applyFont="1" applyAlignment="1">
      <alignment horizontal="left" wrapText="1"/>
    </xf>
    <xf numFmtId="164" fontId="0" fillId="6" borderId="0" xfId="0" applyNumberFormat="1" applyFill="1"/>
    <xf numFmtId="0" fontId="10" fillId="3" borderId="0" xfId="0" applyFont="1" applyFill="1" applyAlignment="1">
      <alignment horizontal="right" wrapText="1"/>
    </xf>
    <xf numFmtId="0" fontId="9" fillId="9" borderId="0" xfId="0" applyFont="1" applyFill="1"/>
    <xf numFmtId="1" fontId="0" fillId="0" borderId="0" xfId="13" applyNumberFormat="1" applyFont="1"/>
    <xf numFmtId="181" fontId="0" fillId="0" borderId="0" xfId="0" applyNumberFormat="1"/>
    <xf numFmtId="0" fontId="0" fillId="0" borderId="0" xfId="18" applyNumberFormat="1" applyFont="1"/>
    <xf numFmtId="0" fontId="64" fillId="0" borderId="2" xfId="0" applyFont="1" applyBorder="1"/>
    <xf numFmtId="0" fontId="64" fillId="0" borderId="10" xfId="0" applyFont="1" applyBorder="1"/>
    <xf numFmtId="0" fontId="64" fillId="0" borderId="1" xfId="0" applyFont="1" applyBorder="1"/>
    <xf numFmtId="0" fontId="79" fillId="0" borderId="0" xfId="0" applyFont="1"/>
    <xf numFmtId="0" fontId="80" fillId="0" borderId="12" xfId="0" applyFont="1" applyBorder="1"/>
    <xf numFmtId="0" fontId="80" fillId="0" borderId="0" xfId="0" applyFont="1"/>
    <xf numFmtId="169" fontId="64" fillId="0" borderId="0" xfId="18" applyNumberFormat="1" applyFont="1" applyBorder="1"/>
    <xf numFmtId="43" fontId="64" fillId="0" borderId="0" xfId="0" applyNumberFormat="1" applyFont="1"/>
    <xf numFmtId="0" fontId="80" fillId="0" borderId="0" xfId="0" applyFont="1" applyAlignment="1">
      <alignment wrapText="1"/>
    </xf>
    <xf numFmtId="9" fontId="80" fillId="0" borderId="0" xfId="0" applyNumberFormat="1" applyFont="1"/>
    <xf numFmtId="0" fontId="80" fillId="0" borderId="12" xfId="0" applyFont="1" applyBorder="1" applyAlignment="1">
      <alignment horizontal="left"/>
    </xf>
    <xf numFmtId="0" fontId="64" fillId="0" borderId="12" xfId="0" applyFont="1" applyBorder="1" applyAlignment="1">
      <alignment horizontal="left" indent="1"/>
    </xf>
    <xf numFmtId="43" fontId="64" fillId="0" borderId="0" xfId="18" applyFont="1" applyBorder="1"/>
    <xf numFmtId="169" fontId="64" fillId="0" borderId="1" xfId="0" applyNumberFormat="1" applyFont="1" applyBorder="1"/>
    <xf numFmtId="169" fontId="64" fillId="0" borderId="1" xfId="18" applyNumberFormat="1" applyFont="1" applyBorder="1"/>
    <xf numFmtId="0" fontId="80" fillId="0" borderId="0" xfId="0" applyFont="1" applyAlignment="1">
      <alignment horizontal="left"/>
    </xf>
    <xf numFmtId="169" fontId="64" fillId="0" borderId="0" xfId="18" applyNumberFormat="1" applyFont="1"/>
    <xf numFmtId="0" fontId="64" fillId="0" borderId="0" xfId="0" applyFont="1" applyAlignment="1">
      <alignment vertical="top" wrapText="1"/>
    </xf>
    <xf numFmtId="0" fontId="81" fillId="0" borderId="0" xfId="2" applyFont="1"/>
    <xf numFmtId="0" fontId="9" fillId="0" borderId="64" xfId="0" applyFont="1" applyBorder="1"/>
    <xf numFmtId="0" fontId="9" fillId="0" borderId="2" xfId="0" applyFont="1" applyBorder="1"/>
    <xf numFmtId="0" fontId="9" fillId="0" borderId="3" xfId="0" applyFont="1" applyBorder="1"/>
    <xf numFmtId="9" fontId="9" fillId="0" borderId="0" xfId="0" applyNumberFormat="1" applyFont="1"/>
    <xf numFmtId="9" fontId="9" fillId="0" borderId="0" xfId="1" applyFont="1"/>
    <xf numFmtId="0" fontId="9" fillId="0" borderId="10" xfId="0" applyFont="1" applyBorder="1"/>
    <xf numFmtId="0" fontId="9" fillId="0" borderId="1" xfId="0" applyFont="1" applyBorder="1"/>
    <xf numFmtId="43" fontId="9" fillId="0" borderId="1" xfId="18" applyFont="1" applyBorder="1"/>
    <xf numFmtId="0" fontId="9" fillId="0" borderId="7" xfId="0" applyFont="1" applyBorder="1"/>
    <xf numFmtId="0" fontId="7" fillId="0" borderId="64" xfId="0" applyFont="1" applyBorder="1"/>
    <xf numFmtId="0" fontId="7" fillId="0" borderId="12" xfId="0" applyFont="1" applyBorder="1"/>
    <xf numFmtId="0" fontId="7" fillId="0" borderId="0" xfId="0" applyFont="1"/>
    <xf numFmtId="43" fontId="9" fillId="0" borderId="0" xfId="0" applyNumberFormat="1" applyFont="1"/>
    <xf numFmtId="0" fontId="7" fillId="0" borderId="12" xfId="0" applyFont="1" applyBorder="1" applyAlignment="1">
      <alignment horizontal="left"/>
    </xf>
    <xf numFmtId="0" fontId="7" fillId="0" borderId="0" xfId="0" applyFont="1" applyAlignment="1">
      <alignment wrapText="1"/>
    </xf>
    <xf numFmtId="9" fontId="7" fillId="0" borderId="0" xfId="0" applyNumberFormat="1" applyFont="1"/>
    <xf numFmtId="0" fontId="9" fillId="0" borderId="12" xfId="0" applyFont="1" applyBorder="1" applyAlignment="1">
      <alignment horizontal="left" indent="1"/>
    </xf>
    <xf numFmtId="43" fontId="9" fillId="0" borderId="0" xfId="18" applyFont="1" applyBorder="1"/>
    <xf numFmtId="169" fontId="9" fillId="0" borderId="0" xfId="18" applyNumberFormat="1" applyFont="1" applyFill="1" applyBorder="1"/>
    <xf numFmtId="167" fontId="9" fillId="0" borderId="0" xfId="0" applyNumberFormat="1" applyFont="1" applyAlignment="1">
      <alignment wrapText="1"/>
    </xf>
    <xf numFmtId="167" fontId="9" fillId="0" borderId="0" xfId="18" applyNumberFormat="1" applyFont="1" applyFill="1" applyBorder="1" applyAlignment="1">
      <alignment wrapText="1"/>
    </xf>
    <xf numFmtId="169" fontId="9" fillId="0" borderId="0" xfId="18" applyNumberFormat="1" applyFont="1" applyFill="1" applyBorder="1" applyAlignment="1">
      <alignment wrapText="1"/>
    </xf>
    <xf numFmtId="167" fontId="9" fillId="0" borderId="0" xfId="18" applyNumberFormat="1" applyFont="1" applyFill="1" applyBorder="1"/>
    <xf numFmtId="167" fontId="9" fillId="0" borderId="0" xfId="18" applyNumberFormat="1" applyFont="1" applyBorder="1"/>
    <xf numFmtId="9" fontId="9" fillId="0" borderId="0" xfId="1" applyFont="1" applyBorder="1"/>
    <xf numFmtId="0" fontId="9" fillId="17" borderId="0" xfId="0" applyFont="1" applyFill="1"/>
    <xf numFmtId="167" fontId="9" fillId="17" borderId="0" xfId="18" applyNumberFormat="1" applyFont="1" applyFill="1" applyBorder="1"/>
    <xf numFmtId="169" fontId="9" fillId="17" borderId="0" xfId="0" applyNumberFormat="1" applyFont="1" applyFill="1"/>
    <xf numFmtId="9" fontId="9" fillId="0" borderId="0" xfId="1" applyFont="1" applyFill="1" applyBorder="1"/>
    <xf numFmtId="0" fontId="7" fillId="0" borderId="10" xfId="0" applyFont="1" applyBorder="1" applyAlignment="1">
      <alignment horizontal="left"/>
    </xf>
    <xf numFmtId="9" fontId="9" fillId="0" borderId="1" xfId="0" applyNumberFormat="1" applyFont="1" applyBorder="1"/>
    <xf numFmtId="43" fontId="9" fillId="0" borderId="1" xfId="18" applyFont="1" applyBorder="1" applyAlignment="1">
      <alignment horizontal="left"/>
    </xf>
    <xf numFmtId="169" fontId="9" fillId="0" borderId="1" xfId="0" applyNumberFormat="1" applyFont="1" applyBorder="1"/>
    <xf numFmtId="169" fontId="9" fillId="0" borderId="1" xfId="18" applyNumberFormat="1" applyFont="1" applyBorder="1"/>
    <xf numFmtId="0" fontId="7" fillId="0" borderId="0" xfId="18" applyNumberFormat="1" applyFont="1" applyBorder="1"/>
    <xf numFmtId="0" fontId="7" fillId="0" borderId="64" xfId="0" applyFont="1" applyBorder="1" applyAlignment="1">
      <alignment horizontal="left"/>
    </xf>
    <xf numFmtId="0" fontId="7" fillId="0" borderId="2" xfId="0" applyFont="1" applyBorder="1"/>
    <xf numFmtId="0" fontId="7" fillId="0" borderId="2" xfId="0" applyFont="1" applyBorder="1" applyAlignment="1">
      <alignment wrapText="1"/>
    </xf>
    <xf numFmtId="0" fontId="7" fillId="0" borderId="2" xfId="18" applyNumberFormat="1" applyFont="1" applyBorder="1" applyAlignment="1">
      <alignment wrapText="1"/>
    </xf>
    <xf numFmtId="43" fontId="7" fillId="0" borderId="3" xfId="0" applyNumberFormat="1" applyFont="1" applyBorder="1" applyAlignment="1">
      <alignment wrapText="1"/>
    </xf>
    <xf numFmtId="0" fontId="9" fillId="0" borderId="10" xfId="0" applyFont="1" applyBorder="1" applyAlignment="1">
      <alignment horizontal="left"/>
    </xf>
    <xf numFmtId="43" fontId="9" fillId="0" borderId="7" xfId="0" applyNumberFormat="1" applyFont="1" applyBorder="1"/>
    <xf numFmtId="9" fontId="9" fillId="0" borderId="2" xfId="1" applyFont="1" applyBorder="1"/>
    <xf numFmtId="9" fontId="9" fillId="0" borderId="3" xfId="1" applyFont="1" applyBorder="1"/>
    <xf numFmtId="169" fontId="7" fillId="0" borderId="0" xfId="18" applyNumberFormat="1" applyFont="1" applyBorder="1"/>
    <xf numFmtId="9" fontId="9" fillId="0" borderId="11" xfId="1" applyFont="1" applyBorder="1"/>
    <xf numFmtId="0" fontId="9" fillId="0" borderId="0" xfId="18" applyNumberFormat="1" applyFont="1" applyBorder="1"/>
    <xf numFmtId="0" fontId="9" fillId="0" borderId="0" xfId="0" applyFont="1" applyAlignment="1">
      <alignment horizontal="left" indent="1"/>
    </xf>
    <xf numFmtId="0" fontId="7" fillId="0" borderId="0" xfId="0" applyFont="1" applyAlignment="1">
      <alignment horizontal="left"/>
    </xf>
    <xf numFmtId="167" fontId="7" fillId="0" borderId="0" xfId="18" applyNumberFormat="1" applyFont="1" applyBorder="1"/>
    <xf numFmtId="0" fontId="9" fillId="0" borderId="0" xfId="0" applyFont="1" applyAlignment="1">
      <alignment vertical="top" wrapText="1"/>
    </xf>
    <xf numFmtId="0" fontId="9" fillId="0" borderId="11" xfId="0" applyFont="1" applyBorder="1" applyAlignment="1">
      <alignment vertical="top" wrapText="1"/>
    </xf>
    <xf numFmtId="167" fontId="9" fillId="0" borderId="1" xfId="18" applyNumberFormat="1" applyFont="1" applyBorder="1"/>
    <xf numFmtId="0" fontId="84" fillId="0" borderId="1" xfId="2" applyFont="1" applyBorder="1"/>
    <xf numFmtId="0" fontId="84" fillId="0" borderId="7" xfId="2" applyFont="1" applyBorder="1"/>
    <xf numFmtId="169" fontId="9" fillId="0" borderId="2" xfId="18" applyNumberFormat="1" applyFont="1" applyBorder="1"/>
    <xf numFmtId="43" fontId="9" fillId="0" borderId="0" xfId="18" applyFont="1" applyBorder="1" applyAlignment="1"/>
    <xf numFmtId="0" fontId="84" fillId="0" borderId="0" xfId="2" applyFont="1" applyBorder="1" applyAlignment="1"/>
    <xf numFmtId="43" fontId="9" fillId="0" borderId="1" xfId="18" applyFont="1" applyBorder="1" applyAlignment="1"/>
    <xf numFmtId="0" fontId="84" fillId="0" borderId="1" xfId="2" applyFont="1" applyBorder="1" applyAlignment="1"/>
    <xf numFmtId="9" fontId="9" fillId="0" borderId="1" xfId="1" applyFont="1" applyBorder="1"/>
    <xf numFmtId="0" fontId="3" fillId="0" borderId="30" xfId="0" applyFont="1" applyBorder="1" applyAlignment="1">
      <alignment wrapText="1"/>
    </xf>
    <xf numFmtId="43" fontId="80" fillId="0" borderId="0" xfId="0" applyNumberFormat="1" applyFont="1"/>
    <xf numFmtId="167" fontId="9" fillId="0" borderId="0" xfId="18" applyNumberFormat="1" applyFont="1" applyBorder="1" applyAlignment="1">
      <alignment wrapText="1"/>
    </xf>
    <xf numFmtId="169" fontId="9" fillId="0" borderId="0" xfId="18" applyNumberFormat="1" applyFont="1" applyBorder="1" applyAlignment="1">
      <alignment wrapText="1"/>
    </xf>
    <xf numFmtId="169" fontId="9" fillId="0" borderId="11" xfId="18" applyNumberFormat="1" applyFont="1" applyBorder="1"/>
    <xf numFmtId="0" fontId="85" fillId="0" borderId="0" xfId="0" applyFont="1"/>
    <xf numFmtId="0" fontId="7" fillId="0" borderId="11" xfId="0" applyFont="1" applyBorder="1"/>
    <xf numFmtId="0" fontId="86" fillId="0" borderId="12" xfId="0" applyFont="1" applyBorder="1" applyAlignment="1">
      <alignment horizontal="left" indent="1"/>
    </xf>
    <xf numFmtId="0" fontId="87" fillId="0" borderId="0" xfId="0" applyFont="1"/>
    <xf numFmtId="9" fontId="87" fillId="0" borderId="0" xfId="0" applyNumberFormat="1" applyFont="1"/>
    <xf numFmtId="0" fontId="88" fillId="0" borderId="0" xfId="0" applyFont="1"/>
    <xf numFmtId="9" fontId="88" fillId="0" borderId="0" xfId="1" applyFont="1"/>
    <xf numFmtId="169" fontId="87" fillId="0" borderId="0" xfId="18" applyNumberFormat="1" applyFont="1"/>
    <xf numFmtId="0" fontId="87" fillId="0" borderId="10" xfId="0" applyFont="1" applyBorder="1"/>
    <xf numFmtId="169" fontId="87" fillId="0" borderId="1" xfId="18" applyNumberFormat="1" applyFont="1" applyBorder="1"/>
    <xf numFmtId="43" fontId="87" fillId="0" borderId="1" xfId="18" applyFont="1" applyBorder="1"/>
    <xf numFmtId="0" fontId="88" fillId="3" borderId="64" xfId="0" applyFont="1" applyFill="1" applyBorder="1"/>
    <xf numFmtId="49" fontId="0" fillId="3" borderId="70" xfId="0" applyNumberFormat="1" applyFill="1" applyBorder="1" applyAlignment="1">
      <alignment horizontal="center"/>
    </xf>
    <xf numFmtId="0" fontId="3" fillId="3" borderId="70" xfId="0" applyFont="1" applyFill="1" applyBorder="1" applyAlignment="1">
      <alignment horizontal="center"/>
    </xf>
    <xf numFmtId="49" fontId="0" fillId="0" borderId="0" xfId="0" applyNumberFormat="1" applyAlignment="1">
      <alignment horizontal="right"/>
    </xf>
    <xf numFmtId="164" fontId="0" fillId="0" borderId="0" xfId="0" applyNumberFormat="1" applyAlignment="1">
      <alignment horizontal="right"/>
    </xf>
    <xf numFmtId="1" fontId="10" fillId="7" borderId="0" xfId="0" applyNumberFormat="1" applyFont="1" applyFill="1"/>
    <xf numFmtId="0" fontId="0" fillId="7" borderId="0" xfId="0" applyFill="1" applyAlignment="1">
      <alignment horizontal="center"/>
    </xf>
    <xf numFmtId="0" fontId="10" fillId="5" borderId="0" xfId="0" applyFont="1" applyFill="1" applyAlignment="1">
      <alignment wrapText="1"/>
    </xf>
    <xf numFmtId="1" fontId="3" fillId="5" borderId="0" xfId="0" applyNumberFormat="1" applyFont="1" applyFill="1" applyAlignment="1">
      <alignment horizontal="right" wrapText="1"/>
    </xf>
    <xf numFmtId="1" fontId="0" fillId="6" borderId="0" xfId="0" applyNumberFormat="1" applyFill="1" applyAlignment="1">
      <alignment horizontal="right"/>
    </xf>
    <xf numFmtId="1" fontId="10" fillId="3" borderId="0" xfId="0" applyNumberFormat="1" applyFont="1" applyFill="1"/>
    <xf numFmtId="9" fontId="0" fillId="0" borderId="0" xfId="1" applyFont="1" applyAlignment="1">
      <alignment wrapText="1"/>
    </xf>
    <xf numFmtId="9" fontId="9" fillId="0" borderId="0" xfId="1" applyFont="1" applyFill="1"/>
    <xf numFmtId="0" fontId="0" fillId="0" borderId="70" xfId="0" applyBorder="1" applyAlignment="1">
      <alignment horizontal="center"/>
    </xf>
    <xf numFmtId="1" fontId="0" fillId="0" borderId="0" xfId="18" applyNumberFormat="1" applyFont="1" applyFill="1" applyBorder="1"/>
    <xf numFmtId="182" fontId="0" fillId="0" borderId="0" xfId="13" applyNumberFormat="1" applyFont="1"/>
    <xf numFmtId="178" fontId="0" fillId="0" borderId="0" xfId="13" applyNumberFormat="1" applyFont="1"/>
    <xf numFmtId="43" fontId="9" fillId="0" borderId="0" xfId="18" applyFont="1" applyBorder="1" applyAlignment="1">
      <alignment wrapText="1"/>
    </xf>
    <xf numFmtId="43" fontId="9" fillId="0" borderId="11" xfId="18" applyFont="1" applyBorder="1" applyAlignment="1">
      <alignment wrapText="1"/>
    </xf>
    <xf numFmtId="167" fontId="9" fillId="0" borderId="11" xfId="18" applyNumberFormat="1" applyFont="1" applyBorder="1" applyAlignment="1">
      <alignment wrapText="1"/>
    </xf>
    <xf numFmtId="167" fontId="9" fillId="0" borderId="11" xfId="18" applyNumberFormat="1" applyFont="1" applyBorder="1"/>
    <xf numFmtId="167" fontId="9" fillId="0" borderId="7" xfId="18" applyNumberFormat="1" applyFont="1" applyBorder="1"/>
    <xf numFmtId="0" fontId="0" fillId="0" borderId="0" xfId="0" applyAlignment="1">
      <alignment horizontal="left" indent="2"/>
    </xf>
    <xf numFmtId="0" fontId="8" fillId="0" borderId="0" xfId="2" applyFill="1" applyAlignment="1">
      <alignment horizontal="left"/>
    </xf>
    <xf numFmtId="49" fontId="0" fillId="0" borderId="0" xfId="0" applyNumberFormat="1"/>
    <xf numFmtId="0" fontId="0" fillId="5" borderId="0" xfId="0" applyFill="1" applyAlignment="1">
      <alignment horizontal="center"/>
    </xf>
    <xf numFmtId="1" fontId="0" fillId="5" borderId="0" xfId="0" applyNumberFormat="1" applyFill="1"/>
    <xf numFmtId="0" fontId="0" fillId="0" borderId="18" xfId="0" applyBorder="1"/>
    <xf numFmtId="0" fontId="0" fillId="0" borderId="18" xfId="0" applyBorder="1" applyAlignment="1">
      <alignment horizontal="center"/>
    </xf>
    <xf numFmtId="0" fontId="3" fillId="0" borderId="0" xfId="1" applyNumberFormat="1" applyFont="1"/>
    <xf numFmtId="0" fontId="3" fillId="3" borderId="0" xfId="0" applyFont="1" applyFill="1" applyAlignment="1">
      <alignment horizontal="left"/>
    </xf>
    <xf numFmtId="1" fontId="0" fillId="4" borderId="0" xfId="0" applyNumberFormat="1" applyFill="1"/>
    <xf numFmtId="0" fontId="64" fillId="4" borderId="0" xfId="0" applyFont="1" applyFill="1"/>
    <xf numFmtId="3" fontId="0" fillId="0" borderId="0" xfId="0" applyNumberFormat="1"/>
    <xf numFmtId="2" fontId="3" fillId="0" borderId="0" xfId="0" applyNumberFormat="1" applyFont="1" applyAlignment="1">
      <alignment horizontal="right" wrapText="1"/>
    </xf>
    <xf numFmtId="0" fontId="0" fillId="3" borderId="71" xfId="0" applyFill="1" applyBorder="1" applyAlignment="1">
      <alignment horizontal="center"/>
    </xf>
    <xf numFmtId="0" fontId="11" fillId="0" borderId="0" xfId="0" applyFont="1" applyAlignment="1">
      <alignment horizontal="left"/>
    </xf>
    <xf numFmtId="0" fontId="0" fillId="23" borderId="71" xfId="0" applyFill="1" applyBorder="1" applyAlignment="1">
      <alignment horizontal="center"/>
    </xf>
    <xf numFmtId="0" fontId="0" fillId="23" borderId="0" xfId="0" applyFill="1" applyAlignment="1">
      <alignment horizontal="center"/>
    </xf>
    <xf numFmtId="0" fontId="0" fillId="29" borderId="71" xfId="0" applyFill="1" applyBorder="1" applyAlignment="1">
      <alignment horizontal="center"/>
    </xf>
    <xf numFmtId="9" fontId="0" fillId="23" borderId="0" xfId="1" applyFont="1" applyFill="1"/>
    <xf numFmtId="9" fontId="0" fillId="23" borderId="0" xfId="0" applyNumberFormat="1" applyFill="1"/>
    <xf numFmtId="0" fontId="0" fillId="0" borderId="30" xfId="0" applyBorder="1"/>
    <xf numFmtId="0" fontId="0" fillId="0" borderId="5" xfId="0" applyBorder="1"/>
    <xf numFmtId="169" fontId="0" fillId="6" borderId="0" xfId="0" applyNumberFormat="1" applyFill="1"/>
    <xf numFmtId="179" fontId="0" fillId="0" borderId="71" xfId="1" applyNumberFormat="1" applyFont="1" applyBorder="1" applyAlignment="1">
      <alignment horizontal="center"/>
    </xf>
    <xf numFmtId="0" fontId="10" fillId="3" borderId="0" xfId="0" applyFont="1" applyFill="1"/>
    <xf numFmtId="179" fontId="0" fillId="3" borderId="0" xfId="0" applyNumberFormat="1" applyFill="1"/>
    <xf numFmtId="0" fontId="0" fillId="6" borderId="0" xfId="0" applyFill="1"/>
    <xf numFmtId="49" fontId="0" fillId="0" borderId="2" xfId="0" applyNumberFormat="1" applyBorder="1"/>
    <xf numFmtId="44" fontId="0" fillId="0" borderId="0" xfId="13" applyFont="1" applyBorder="1"/>
    <xf numFmtId="44" fontId="0" fillId="0" borderId="0" xfId="0" applyNumberFormat="1"/>
    <xf numFmtId="178" fontId="65" fillId="0" borderId="0" xfId="13" applyNumberFormat="1" applyFont="1"/>
    <xf numFmtId="43" fontId="65" fillId="0" borderId="0" xfId="18" applyFont="1"/>
    <xf numFmtId="178" fontId="0" fillId="0" borderId="0" xfId="0" applyNumberFormat="1"/>
    <xf numFmtId="0" fontId="0" fillId="0" borderId="9" xfId="0" applyBorder="1"/>
    <xf numFmtId="49" fontId="0" fillId="0" borderId="2" xfId="1" applyNumberFormat="1" applyFont="1" applyBorder="1"/>
    <xf numFmtId="0" fontId="63" fillId="0" borderId="4" xfId="0" applyFont="1" applyBorder="1"/>
    <xf numFmtId="0" fontId="90" fillId="0" borderId="64" xfId="0" applyFont="1" applyBorder="1"/>
    <xf numFmtId="44" fontId="0" fillId="0" borderId="1" xfId="13" applyFont="1" applyBorder="1"/>
    <xf numFmtId="0" fontId="0" fillId="0" borderId="12" xfId="18" applyNumberFormat="1" applyFont="1" applyBorder="1"/>
    <xf numFmtId="43" fontId="65" fillId="0" borderId="0" xfId="18" applyFont="1" applyBorder="1"/>
    <xf numFmtId="178" fontId="65" fillId="0" borderId="0" xfId="13" applyNumberFormat="1" applyFont="1" applyBorder="1"/>
    <xf numFmtId="178" fontId="65" fillId="0" borderId="11" xfId="13" applyNumberFormat="1" applyFont="1" applyBorder="1"/>
    <xf numFmtId="0" fontId="0" fillId="0" borderId="10" xfId="18" applyNumberFormat="1" applyFont="1" applyBorder="1"/>
    <xf numFmtId="178" fontId="9" fillId="0" borderId="0" xfId="13" applyNumberFormat="1" applyFont="1" applyBorder="1"/>
    <xf numFmtId="178" fontId="0" fillId="0" borderId="11" xfId="0" applyNumberFormat="1" applyBorder="1"/>
    <xf numFmtId="178" fontId="0" fillId="0" borderId="1" xfId="0" applyNumberFormat="1" applyBorder="1"/>
    <xf numFmtId="178" fontId="0" fillId="0" borderId="7" xfId="0" applyNumberFormat="1" applyBorder="1"/>
    <xf numFmtId="10" fontId="0" fillId="0" borderId="0" xfId="1" applyNumberFormat="1" applyFont="1"/>
    <xf numFmtId="10" fontId="0" fillId="0" borderId="71" xfId="1" applyNumberFormat="1" applyFont="1" applyBorder="1" applyAlignment="1">
      <alignment horizontal="center"/>
    </xf>
    <xf numFmtId="175" fontId="0" fillId="0" borderId="0" xfId="0" applyNumberFormat="1"/>
    <xf numFmtId="0" fontId="8" fillId="0" borderId="0" xfId="2" applyAlignment="1">
      <alignment horizontal="left"/>
    </xf>
    <xf numFmtId="9" fontId="0" fillId="0" borderId="54" xfId="0" applyNumberFormat="1" applyBorder="1"/>
    <xf numFmtId="9" fontId="0" fillId="0" borderId="7" xfId="0" applyNumberFormat="1" applyBorder="1"/>
    <xf numFmtId="43" fontId="3" fillId="0" borderId="0" xfId="0" applyNumberFormat="1" applyFont="1"/>
    <xf numFmtId="0" fontId="3" fillId="0" borderId="6" xfId="0" applyFont="1" applyBorder="1" applyAlignment="1">
      <alignment wrapText="1"/>
    </xf>
    <xf numFmtId="169" fontId="3" fillId="0" borderId="0" xfId="0" applyNumberFormat="1" applyFont="1" applyAlignment="1">
      <alignment wrapText="1"/>
    </xf>
    <xf numFmtId="43" fontId="3" fillId="0" borderId="1" xfId="18" applyFont="1" applyBorder="1"/>
    <xf numFmtId="43" fontId="0" fillId="3" borderId="0" xfId="18" applyFont="1" applyFill="1" applyBorder="1"/>
    <xf numFmtId="0" fontId="63" fillId="0" borderId="0" xfId="0" applyFont="1"/>
    <xf numFmtId="170" fontId="0" fillId="0" borderId="0" xfId="18" applyNumberFormat="1" applyFont="1"/>
    <xf numFmtId="169" fontId="0" fillId="3" borderId="0" xfId="0" applyNumberFormat="1" applyFill="1"/>
    <xf numFmtId="43" fontId="9" fillId="0" borderId="0" xfId="18" applyFont="1"/>
    <xf numFmtId="0" fontId="3" fillId="5" borderId="0" xfId="0" applyFont="1" applyFill="1" applyAlignment="1">
      <alignment horizontal="left"/>
    </xf>
    <xf numFmtId="2" fontId="0" fillId="0" borderId="0" xfId="0" applyNumberFormat="1" applyAlignment="1">
      <alignment horizontal="right"/>
    </xf>
    <xf numFmtId="9" fontId="0" fillId="6" borderId="0" xfId="0" applyNumberFormat="1" applyFill="1"/>
    <xf numFmtId="0" fontId="3" fillId="3" borderId="0" xfId="0" applyFont="1" applyFill="1" applyAlignment="1">
      <alignment horizontal="right"/>
    </xf>
    <xf numFmtId="0" fontId="0" fillId="0" borderId="71" xfId="1" applyNumberFormat="1" applyFont="1" applyBorder="1" applyAlignment="1">
      <alignment horizontal="center"/>
    </xf>
    <xf numFmtId="167" fontId="0" fillId="0" borderId="0" xfId="18" applyNumberFormat="1" applyFont="1"/>
    <xf numFmtId="167" fontId="59" fillId="0" borderId="0" xfId="0" applyNumberFormat="1" applyFont="1"/>
    <xf numFmtId="0" fontId="91" fillId="0" borderId="12" xfId="0" applyFont="1" applyBorder="1"/>
    <xf numFmtId="167" fontId="65" fillId="0" borderId="0" xfId="18" applyNumberFormat="1" applyFont="1" applyBorder="1"/>
    <xf numFmtId="43" fontId="9" fillId="0" borderId="1" xfId="0" applyNumberFormat="1" applyFont="1" applyBorder="1"/>
    <xf numFmtId="169" fontId="59" fillId="0" borderId="11" xfId="18" applyNumberFormat="1" applyFont="1" applyBorder="1"/>
    <xf numFmtId="0" fontId="59" fillId="0" borderId="1" xfId="0" applyFont="1" applyBorder="1"/>
    <xf numFmtId="9" fontId="59" fillId="0" borderId="1" xfId="1" applyFont="1" applyBorder="1"/>
    <xf numFmtId="0" fontId="59" fillId="0" borderId="7" xfId="0" applyFont="1" applyBorder="1"/>
    <xf numFmtId="167" fontId="0" fillId="0" borderId="0" xfId="18" applyNumberFormat="1" applyFont="1" applyFill="1"/>
    <xf numFmtId="9" fontId="3" fillId="3" borderId="0" xfId="1" applyFont="1" applyFill="1"/>
    <xf numFmtId="9" fontId="2" fillId="0" borderId="0" xfId="1" applyFont="1" applyFill="1"/>
    <xf numFmtId="0" fontId="3" fillId="30" borderId="0" xfId="0" applyFont="1" applyFill="1"/>
    <xf numFmtId="0" fontId="0" fillId="30" borderId="0" xfId="0" applyFill="1"/>
    <xf numFmtId="0" fontId="0" fillId="31" borderId="0" xfId="0" applyFill="1"/>
    <xf numFmtId="0" fontId="3" fillId="31" borderId="0" xfId="0" applyFont="1" applyFill="1"/>
    <xf numFmtId="2" fontId="0" fillId="3" borderId="38" xfId="0" applyNumberFormat="1" applyFill="1" applyBorder="1"/>
    <xf numFmtId="1" fontId="0" fillId="3" borderId="38" xfId="0" applyNumberFormat="1" applyFill="1" applyBorder="1"/>
    <xf numFmtId="1" fontId="0" fillId="3" borderId="37" xfId="0" applyNumberFormat="1" applyFill="1" applyBorder="1"/>
    <xf numFmtId="0" fontId="0" fillId="3" borderId="58" xfId="0" applyFill="1" applyBorder="1"/>
    <xf numFmtId="0" fontId="0" fillId="3" borderId="38" xfId="0" applyFill="1" applyBorder="1" applyAlignment="1">
      <alignment horizontal="left"/>
    </xf>
    <xf numFmtId="0" fontId="57" fillId="0" borderId="0" xfId="0" applyFont="1" applyAlignment="1">
      <alignment horizontal="left"/>
    </xf>
    <xf numFmtId="1" fontId="0" fillId="0" borderId="0" xfId="1" applyNumberFormat="1" applyFont="1"/>
    <xf numFmtId="1" fontId="0" fillId="0" borderId="71" xfId="1" applyNumberFormat="1" applyFont="1" applyBorder="1" applyAlignment="1">
      <alignment horizontal="center"/>
    </xf>
    <xf numFmtId="0" fontId="10" fillId="3" borderId="0" xfId="0" applyFont="1" applyFill="1" applyAlignment="1">
      <alignment wrapText="1"/>
    </xf>
    <xf numFmtId="2" fontId="3" fillId="0" borderId="0" xfId="0" applyNumberFormat="1" applyFont="1" applyAlignment="1">
      <alignment horizontal="right"/>
    </xf>
    <xf numFmtId="179" fontId="0" fillId="0" borderId="18" xfId="0" applyNumberFormat="1" applyBorder="1"/>
    <xf numFmtId="10" fontId="0" fillId="0" borderId="0" xfId="1" applyNumberFormat="1" applyFont="1" applyFill="1"/>
    <xf numFmtId="11" fontId="0" fillId="3" borderId="0" xfId="0" applyNumberFormat="1" applyFill="1"/>
    <xf numFmtId="9" fontId="3" fillId="3" borderId="70" xfId="0" applyNumberFormat="1" applyFont="1" applyFill="1" applyBorder="1" applyAlignment="1">
      <alignment horizontal="center" vertical="center"/>
    </xf>
    <xf numFmtId="0" fontId="92" fillId="3" borderId="0" xfId="0" applyFont="1" applyFill="1"/>
    <xf numFmtId="9" fontId="0" fillId="6" borderId="0" xfId="1" applyFont="1" applyFill="1"/>
    <xf numFmtId="0" fontId="11" fillId="0" borderId="0" xfId="0" applyFont="1" applyAlignment="1">
      <alignment horizontal="right"/>
    </xf>
    <xf numFmtId="0" fontId="0" fillId="0" borderId="58" xfId="0" applyBorder="1"/>
    <xf numFmtId="0" fontId="0" fillId="0" borderId="38" xfId="0" applyBorder="1"/>
    <xf numFmtId="0" fontId="0" fillId="0" borderId="37" xfId="0" applyBorder="1"/>
    <xf numFmtId="1" fontId="0" fillId="7" borderId="0" xfId="0" applyNumberFormat="1" applyFill="1"/>
    <xf numFmtId="0" fontId="0" fillId="32" borderId="0" xfId="0" applyFill="1"/>
    <xf numFmtId="1" fontId="0" fillId="32" borderId="0" xfId="0" applyNumberFormat="1" applyFill="1"/>
    <xf numFmtId="0" fontId="10" fillId="0" borderId="0" xfId="0" applyFont="1" applyAlignment="1">
      <alignment horizontal="center" wrapText="1"/>
    </xf>
    <xf numFmtId="9" fontId="11" fillId="0" borderId="0" xfId="1" applyFont="1"/>
    <xf numFmtId="0" fontId="57" fillId="0" borderId="64" xfId="0" applyFont="1" applyBorder="1"/>
    <xf numFmtId="10" fontId="3" fillId="0" borderId="0" xfId="0" applyNumberFormat="1" applyFont="1" applyAlignment="1">
      <alignment horizontal="right"/>
    </xf>
    <xf numFmtId="3" fontId="0" fillId="5" borderId="0" xfId="0" applyNumberFormat="1" applyFill="1"/>
    <xf numFmtId="3" fontId="10" fillId="0" borderId="0" xfId="0" applyNumberFormat="1" applyFont="1"/>
    <xf numFmtId="10" fontId="0" fillId="2" borderId="0" xfId="0" applyNumberFormat="1" applyFill="1"/>
    <xf numFmtId="10" fontId="0" fillId="2" borderId="0" xfId="1" applyNumberFormat="1" applyFont="1" applyFill="1"/>
    <xf numFmtId="0" fontId="93" fillId="0" borderId="0" xfId="0" applyFont="1"/>
    <xf numFmtId="0" fontId="3" fillId="6" borderId="0" xfId="0" applyFont="1" applyFill="1" applyAlignment="1">
      <alignment wrapText="1"/>
    </xf>
    <xf numFmtId="0" fontId="3" fillId="6" borderId="0" xfId="0" applyFont="1" applyFill="1" applyAlignment="1">
      <alignment horizontal="right" wrapText="1"/>
    </xf>
    <xf numFmtId="0" fontId="10" fillId="6" borderId="0" xfId="0" applyFont="1" applyFill="1"/>
    <xf numFmtId="0" fontId="3" fillId="3" borderId="58" xfId="0" applyFont="1" applyFill="1" applyBorder="1" applyAlignment="1">
      <alignment horizontal="center"/>
    </xf>
    <xf numFmtId="1" fontId="11" fillId="0" borderId="0" xfId="0" applyNumberFormat="1" applyFont="1" applyAlignment="1">
      <alignment horizontal="center"/>
    </xf>
    <xf numFmtId="2" fontId="0" fillId="0" borderId="71" xfId="1" applyNumberFormat="1" applyFont="1" applyBorder="1" applyAlignment="1">
      <alignment horizontal="center"/>
    </xf>
    <xf numFmtId="0" fontId="0" fillId="0" borderId="37" xfId="0" applyBorder="1" applyAlignment="1">
      <alignment horizontal="center"/>
    </xf>
    <xf numFmtId="1" fontId="0" fillId="0" borderId="0" xfId="0" applyNumberFormat="1" applyAlignment="1">
      <alignment wrapText="1"/>
    </xf>
    <xf numFmtId="49" fontId="4" fillId="0" borderId="4" xfId="0" applyNumberFormat="1" applyFont="1" applyBorder="1" applyAlignment="1">
      <alignment horizontal="center" vertical="center" wrapText="1"/>
    </xf>
    <xf numFmtId="49" fontId="4" fillId="0" borderId="30"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0" xfId="0" applyNumberFormat="1" applyFont="1" applyAlignment="1">
      <alignment horizontal="right" vertical="center" wrapText="1"/>
    </xf>
    <xf numFmtId="49" fontId="6" fillId="0" borderId="1" xfId="0" applyNumberFormat="1" applyFont="1" applyBorder="1" applyAlignment="1">
      <alignment horizontal="left" vertical="center" wrapText="1"/>
    </xf>
    <xf numFmtId="49" fontId="6" fillId="0" borderId="7" xfId="0" applyNumberFormat="1" applyFont="1" applyBorder="1" applyAlignment="1">
      <alignment horizontal="left" vertical="center" wrapText="1"/>
    </xf>
    <xf numFmtId="49" fontId="4" fillId="0" borderId="10" xfId="0" applyNumberFormat="1" applyFont="1" applyBorder="1" applyAlignment="1">
      <alignment horizontal="right" vertical="center" wrapText="1"/>
    </xf>
    <xf numFmtId="49" fontId="4" fillId="0" borderId="1" xfId="0" applyNumberFormat="1" applyFont="1" applyBorder="1" applyAlignment="1">
      <alignment horizontal="right" vertical="center" wrapText="1"/>
    </xf>
    <xf numFmtId="49" fontId="4" fillId="6" borderId="0" xfId="0" applyNumberFormat="1" applyFont="1" applyFill="1" applyAlignment="1">
      <alignment horizontal="right" vertical="center" wrapText="1"/>
    </xf>
    <xf numFmtId="0" fontId="10" fillId="0" borderId="0" xfId="0" applyFont="1" applyAlignment="1">
      <alignment horizontal="center"/>
    </xf>
    <xf numFmtId="9" fontId="2" fillId="0" borderId="0" xfId="1" applyFont="1"/>
    <xf numFmtId="0" fontId="0" fillId="0" borderId="58" xfId="0" applyBorder="1" applyAlignment="1">
      <alignment wrapText="1"/>
    </xf>
    <xf numFmtId="1" fontId="0" fillId="0" borderId="38" xfId="0" applyNumberFormat="1" applyBorder="1"/>
    <xf numFmtId="3" fontId="0" fillId="3" borderId="0" xfId="0" applyNumberFormat="1" applyFill="1"/>
    <xf numFmtId="0" fontId="10" fillId="0" borderId="0" xfId="0" applyFont="1" applyAlignment="1">
      <alignment horizontal="left"/>
    </xf>
    <xf numFmtId="0" fontId="3" fillId="3" borderId="70" xfId="0" applyFont="1" applyFill="1" applyBorder="1"/>
    <xf numFmtId="166" fontId="0" fillId="0" borderId="0" xfId="0" applyNumberFormat="1"/>
    <xf numFmtId="165" fontId="3" fillId="0" borderId="0" xfId="1" applyNumberFormat="1" applyFont="1"/>
    <xf numFmtId="165" fontId="3" fillId="6" borderId="0" xfId="0" applyNumberFormat="1" applyFont="1" applyFill="1"/>
    <xf numFmtId="9" fontId="3" fillId="0" borderId="0" xfId="0" applyNumberFormat="1" applyFont="1" applyAlignment="1">
      <alignment horizontal="center" vertical="center"/>
    </xf>
    <xf numFmtId="49" fontId="0" fillId="0" borderId="0" xfId="0" applyNumberFormat="1" applyAlignment="1">
      <alignment horizontal="center"/>
    </xf>
    <xf numFmtId="181" fontId="0" fillId="0" borderId="0" xfId="0" applyNumberFormat="1" applyAlignment="1">
      <alignment horizontal="left"/>
    </xf>
    <xf numFmtId="184" fontId="0" fillId="0" borderId="0" xfId="0" applyNumberFormat="1" applyAlignment="1">
      <alignment horizontal="left"/>
    </xf>
    <xf numFmtId="181" fontId="0" fillId="6" borderId="0" xfId="0" applyNumberFormat="1" applyFill="1" applyAlignment="1">
      <alignment horizontal="left"/>
    </xf>
    <xf numFmtId="9" fontId="0" fillId="3" borderId="0" xfId="0" applyNumberFormat="1" applyFill="1" applyAlignment="1">
      <alignment wrapText="1"/>
    </xf>
    <xf numFmtId="0" fontId="0" fillId="3" borderId="0" xfId="0" applyFill="1" applyAlignment="1">
      <alignment wrapText="1"/>
    </xf>
    <xf numFmtId="0" fontId="0" fillId="22" borderId="0" xfId="0" applyFill="1" applyAlignment="1">
      <alignment wrapText="1"/>
    </xf>
    <xf numFmtId="0" fontId="3" fillId="5" borderId="13" xfId="0" applyFont="1" applyFill="1" applyBorder="1" applyAlignment="1">
      <alignment horizontal="right" wrapText="1"/>
    </xf>
    <xf numFmtId="0" fontId="3" fillId="5" borderId="14" xfId="0" applyFont="1" applyFill="1" applyBorder="1" applyAlignment="1">
      <alignment horizontal="right" wrapText="1"/>
    </xf>
    <xf numFmtId="0" fontId="3" fillId="5" borderId="80" xfId="0" applyFont="1" applyFill="1" applyBorder="1" applyAlignment="1">
      <alignment horizontal="right" wrapText="1"/>
    </xf>
    <xf numFmtId="0" fontId="0" fillId="0" borderId="15" xfId="0" applyBorder="1"/>
    <xf numFmtId="0" fontId="0" fillId="0" borderId="16" xfId="0" applyBorder="1"/>
    <xf numFmtId="0" fontId="0" fillId="0" borderId="17" xfId="0" applyBorder="1"/>
    <xf numFmtId="9" fontId="0" fillId="0" borderId="18" xfId="1" applyFont="1" applyBorder="1"/>
    <xf numFmtId="0" fontId="0" fillId="0" borderId="19" xfId="0" applyBorder="1"/>
    <xf numFmtId="0" fontId="0" fillId="9" borderId="0" xfId="0" applyFill="1" applyAlignment="1">
      <alignment wrapText="1"/>
    </xf>
    <xf numFmtId="183" fontId="0" fillId="21" borderId="0" xfId="0" applyNumberFormat="1" applyFill="1" applyAlignment="1">
      <alignment wrapText="1"/>
    </xf>
    <xf numFmtId="164" fontId="0" fillId="0" borderId="71" xfId="1" applyNumberFormat="1" applyFont="1" applyFill="1" applyBorder="1" applyAlignment="1">
      <alignment horizontal="center"/>
    </xf>
    <xf numFmtId="0" fontId="0" fillId="22" borderId="0" xfId="0" applyFill="1" applyAlignment="1">
      <alignment horizontal="right" wrapText="1"/>
    </xf>
    <xf numFmtId="0" fontId="97" fillId="0" borderId="0" xfId="0" applyFont="1"/>
    <xf numFmtId="0" fontId="54" fillId="0" borderId="0" xfId="16"/>
    <xf numFmtId="0" fontId="97" fillId="25" borderId="30" xfId="0" applyFont="1" applyFill="1" applyBorder="1"/>
    <xf numFmtId="0" fontId="0" fillId="25" borderId="12" xfId="0" applyFill="1" applyBorder="1"/>
    <xf numFmtId="44" fontId="0" fillId="25" borderId="0" xfId="13" applyFont="1" applyFill="1" applyBorder="1"/>
    <xf numFmtId="0" fontId="0" fillId="25" borderId="10" xfId="0" applyFill="1" applyBorder="1"/>
    <xf numFmtId="44" fontId="0" fillId="25" borderId="1" xfId="13" applyFont="1" applyFill="1" applyBorder="1"/>
    <xf numFmtId="0" fontId="97" fillId="5" borderId="0" xfId="0" applyFont="1" applyFill="1"/>
    <xf numFmtId="0" fontId="0" fillId="5" borderId="0" xfId="0" applyFill="1" applyAlignment="1">
      <alignment horizontal="right"/>
    </xf>
    <xf numFmtId="185" fontId="0" fillId="5" borderId="0" xfId="0" applyNumberFormat="1" applyFill="1"/>
    <xf numFmtId="44" fontId="0" fillId="5" borderId="0" xfId="13" applyFont="1" applyFill="1"/>
    <xf numFmtId="0" fontId="3" fillId="25" borderId="4" xfId="0" applyFont="1" applyFill="1" applyBorder="1"/>
    <xf numFmtId="181" fontId="0" fillId="3" borderId="0" xfId="0" applyNumberFormat="1" applyFill="1"/>
    <xf numFmtId="0" fontId="97" fillId="0" borderId="0" xfId="0" applyFont="1" applyAlignment="1">
      <alignment horizontal="center"/>
    </xf>
    <xf numFmtId="0" fontId="97" fillId="7" borderId="0" xfId="0" applyFont="1" applyFill="1"/>
    <xf numFmtId="0" fontId="97" fillId="25" borderId="5" xfId="0" applyFont="1" applyFill="1" applyBorder="1" applyAlignment="1">
      <alignment horizontal="center"/>
    </xf>
    <xf numFmtId="0" fontId="0" fillId="25" borderId="11" xfId="0" applyFill="1" applyBorder="1" applyAlignment="1">
      <alignment horizontal="center"/>
    </xf>
    <xf numFmtId="0" fontId="0" fillId="25" borderId="7" xfId="0" applyFill="1" applyBorder="1" applyAlignment="1">
      <alignment horizontal="center"/>
    </xf>
    <xf numFmtId="179" fontId="3" fillId="6" borderId="0" xfId="0" applyNumberFormat="1" applyFont="1" applyFill="1"/>
    <xf numFmtId="2" fontId="0" fillId="6" borderId="0" xfId="0" applyNumberFormat="1" applyFill="1" applyAlignment="1">
      <alignment horizontal="right"/>
    </xf>
    <xf numFmtId="2" fontId="0" fillId="0" borderId="16" xfId="0" applyNumberFormat="1" applyBorder="1"/>
    <xf numFmtId="0" fontId="0" fillId="0" borderId="0" xfId="0" quotePrefix="1"/>
    <xf numFmtId="2" fontId="0" fillId="3" borderId="0" xfId="0" applyNumberFormat="1" applyFill="1" applyAlignment="1">
      <alignment wrapText="1"/>
    </xf>
    <xf numFmtId="0" fontId="0" fillId="0" borderId="0" xfId="0" applyAlignment="1">
      <alignment horizontal="center" wrapText="1"/>
    </xf>
    <xf numFmtId="49" fontId="0" fillId="0" borderId="0" xfId="0" quotePrefix="1" applyNumberFormat="1" applyAlignment="1">
      <alignment horizontal="left" wrapText="1"/>
    </xf>
    <xf numFmtId="0" fontId="0" fillId="0" borderId="0" xfId="0" applyAlignment="1">
      <alignment vertical="center" wrapText="1"/>
    </xf>
    <xf numFmtId="0" fontId="10" fillId="0" borderId="0" xfId="0" applyFont="1" applyAlignment="1">
      <alignment wrapText="1"/>
    </xf>
    <xf numFmtId="0" fontId="0" fillId="3" borderId="58" xfId="0" applyFill="1" applyBorder="1" applyAlignment="1">
      <alignment horizontal="center"/>
    </xf>
    <xf numFmtId="0" fontId="0" fillId="3" borderId="37" xfId="0" applyFill="1" applyBorder="1" applyAlignment="1">
      <alignment horizontal="center"/>
    </xf>
    <xf numFmtId="0" fontId="0" fillId="0" borderId="0" xfId="0" applyAlignment="1">
      <alignment horizontal="left" vertical="top" wrapText="1"/>
    </xf>
    <xf numFmtId="0" fontId="3" fillId="3" borderId="0" xfId="0" applyFont="1" applyFill="1" applyAlignment="1">
      <alignment horizontal="left" wrapText="1"/>
    </xf>
    <xf numFmtId="0" fontId="80" fillId="3" borderId="0" xfId="0" applyFont="1" applyFill="1" applyAlignment="1">
      <alignment horizontal="center" wrapText="1"/>
    </xf>
    <xf numFmtId="0" fontId="3" fillId="5" borderId="0" xfId="0" applyFont="1" applyFill="1" applyAlignment="1">
      <alignment horizontal="center"/>
    </xf>
    <xf numFmtId="49" fontId="4" fillId="3" borderId="12"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0" fontId="4" fillId="3" borderId="9" xfId="0" applyFont="1" applyFill="1" applyBorder="1" applyAlignment="1">
      <alignment horizontal="center" vertical="center"/>
    </xf>
    <xf numFmtId="49" fontId="4" fillId="3" borderId="2" xfId="0" applyNumberFormat="1" applyFont="1" applyFill="1" applyBorder="1" applyAlignment="1">
      <alignment horizontal="center" vertical="center" wrapText="1"/>
    </xf>
    <xf numFmtId="0" fontId="4" fillId="3" borderId="10" xfId="0" applyFont="1" applyFill="1" applyBorder="1" applyAlignment="1">
      <alignment horizontal="center" vertical="center"/>
    </xf>
    <xf numFmtId="49" fontId="4" fillId="0" borderId="2" xfId="0" applyNumberFormat="1" applyFont="1" applyBorder="1" applyAlignment="1">
      <alignment horizontal="center" vertical="center" wrapText="1"/>
    </xf>
    <xf numFmtId="0" fontId="4" fillId="0" borderId="1" xfId="0" applyFont="1" applyBorder="1" applyAlignment="1">
      <alignment horizontal="center" vertical="center"/>
    </xf>
    <xf numFmtId="49" fontId="4" fillId="0" borderId="3" xfId="0" applyNumberFormat="1" applyFont="1" applyBorder="1" applyAlignment="1">
      <alignment horizontal="center" vertical="center" wrapText="1"/>
    </xf>
    <xf numFmtId="0" fontId="4" fillId="0" borderId="7" xfId="0" applyFont="1" applyBorder="1" applyAlignment="1">
      <alignment horizontal="center" vertical="center"/>
    </xf>
    <xf numFmtId="49" fontId="4" fillId="0" borderId="4" xfId="0" applyNumberFormat="1" applyFont="1" applyBorder="1" applyAlignment="1">
      <alignment horizontal="center" vertical="center" wrapText="1"/>
    </xf>
    <xf numFmtId="0" fontId="4" fillId="0" borderId="5" xfId="0" applyFont="1" applyBorder="1" applyAlignment="1">
      <alignment horizontal="center" vertical="center"/>
    </xf>
    <xf numFmtId="49" fontId="4" fillId="2" borderId="6" xfId="0" applyNumberFormat="1" applyFont="1" applyFill="1" applyBorder="1" applyAlignment="1">
      <alignment horizontal="center" vertical="center" wrapText="1"/>
    </xf>
    <xf numFmtId="0" fontId="4" fillId="2" borderId="9" xfId="0" applyFont="1" applyFill="1" applyBorder="1" applyAlignment="1">
      <alignment horizontal="center" vertical="center"/>
    </xf>
    <xf numFmtId="0" fontId="12" fillId="0" borderId="0" xfId="3" applyAlignment="1">
      <alignment wrapText="1"/>
    </xf>
    <xf numFmtId="49" fontId="12" fillId="0" borderId="0" xfId="3" applyNumberFormat="1" applyAlignment="1" applyProtection="1">
      <alignment wrapText="1"/>
    </xf>
    <xf numFmtId="49" fontId="12" fillId="0" borderId="0" xfId="3" applyNumberFormat="1" applyAlignment="1">
      <alignment wrapText="1"/>
    </xf>
    <xf numFmtId="0" fontId="39" fillId="0" borderId="0" xfId="8" applyFont="1" applyAlignment="1">
      <alignment horizontal="left" vertical="center" wrapText="1"/>
    </xf>
    <xf numFmtId="0" fontId="18" fillId="10" borderId="0" xfId="8" applyFont="1" applyFill="1" applyAlignment="1">
      <alignment horizontal="left" vertical="top" wrapText="1"/>
    </xf>
    <xf numFmtId="0" fontId="17" fillId="10" borderId="0" xfId="8" applyFont="1" applyFill="1" applyAlignment="1">
      <alignment horizontal="left" vertical="top" wrapText="1"/>
    </xf>
    <xf numFmtId="0" fontId="23" fillId="15" borderId="4" xfId="8" applyFont="1" applyFill="1" applyBorder="1" applyAlignment="1">
      <alignment horizontal="center"/>
    </xf>
    <xf numFmtId="0" fontId="23" fillId="15" borderId="30" xfId="8" applyFont="1" applyFill="1" applyBorder="1" applyAlignment="1">
      <alignment horizontal="center"/>
    </xf>
    <xf numFmtId="0" fontId="23" fillId="15" borderId="5" xfId="8" applyFont="1" applyFill="1" applyBorder="1" applyAlignment="1">
      <alignment horizontal="center"/>
    </xf>
    <xf numFmtId="0" fontId="16" fillId="0" borderId="2" xfId="8" applyFont="1" applyBorder="1" applyAlignment="1">
      <alignment horizontal="left" wrapText="1"/>
    </xf>
    <xf numFmtId="0" fontId="16" fillId="10" borderId="2" xfId="8" applyFont="1" applyFill="1" applyBorder="1" applyAlignment="1">
      <alignment horizontal="left" vertical="center" wrapText="1"/>
    </xf>
    <xf numFmtId="0" fontId="34" fillId="10" borderId="0" xfId="8" applyFont="1" applyFill="1" applyAlignment="1">
      <alignment horizontal="left" vertical="top" wrapText="1"/>
    </xf>
    <xf numFmtId="0" fontId="16" fillId="10" borderId="0" xfId="8" applyFont="1" applyFill="1" applyAlignment="1">
      <alignment horizontal="left" vertical="center" wrapText="1"/>
    </xf>
    <xf numFmtId="0" fontId="17" fillId="11" borderId="0" xfId="8" applyFont="1" applyFill="1" applyAlignment="1">
      <alignment horizontal="left" vertical="top" wrapText="1"/>
    </xf>
    <xf numFmtId="0" fontId="16" fillId="0" borderId="2" xfId="8" applyFont="1" applyBorder="1" applyAlignment="1">
      <alignment horizontal="left" vertical="center" wrapText="1"/>
    </xf>
    <xf numFmtId="2" fontId="22" fillId="17" borderId="58" xfId="11" applyNumberFormat="1" applyFont="1" applyFill="1" applyBorder="1" applyAlignment="1">
      <alignment horizontal="center" vertical="center"/>
    </xf>
    <xf numFmtId="2" fontId="22" fillId="17" borderId="38" xfId="11" applyNumberFormat="1" applyFont="1" applyFill="1" applyBorder="1" applyAlignment="1">
      <alignment horizontal="center" vertical="center"/>
    </xf>
    <xf numFmtId="2" fontId="22" fillId="17" borderId="37" xfId="11" applyNumberFormat="1" applyFont="1" applyFill="1" applyBorder="1" applyAlignment="1">
      <alignment horizontal="center" vertical="center"/>
    </xf>
    <xf numFmtId="0" fontId="36" fillId="0" borderId="0" xfId="10" applyFont="1" applyAlignment="1" applyProtection="1">
      <alignment horizontal="left" vertical="top" wrapText="1"/>
    </xf>
    <xf numFmtId="0" fontId="18" fillId="0" borderId="0" xfId="8" applyFont="1" applyAlignment="1">
      <alignment horizontal="left" vertical="top" wrapText="1"/>
    </xf>
    <xf numFmtId="0" fontId="17" fillId="0" borderId="0" xfId="8" applyFont="1" applyAlignment="1">
      <alignment horizontal="left" vertical="top" wrapText="1"/>
    </xf>
    <xf numFmtId="0" fontId="25" fillId="10" borderId="0" xfId="8" applyFont="1" applyFill="1" applyAlignment="1">
      <alignment horizontal="left" wrapText="1"/>
    </xf>
    <xf numFmtId="0" fontId="51" fillId="20" borderId="4" xfId="8" applyFont="1" applyFill="1" applyBorder="1" applyAlignment="1">
      <alignment horizontal="center" vertical="center"/>
    </xf>
    <xf numFmtId="0" fontId="51" fillId="20" borderId="30" xfId="8" applyFont="1" applyFill="1" applyBorder="1" applyAlignment="1">
      <alignment horizontal="center" vertical="center"/>
    </xf>
    <xf numFmtId="0" fontId="51" fillId="20" borderId="5" xfId="8" applyFont="1" applyFill="1" applyBorder="1" applyAlignment="1">
      <alignment horizontal="center" vertical="center"/>
    </xf>
    <xf numFmtId="0" fontId="16" fillId="10" borderId="13" xfId="8" applyFont="1" applyFill="1" applyBorder="1" applyAlignment="1">
      <alignment horizontal="left" vertical="center"/>
    </xf>
    <xf numFmtId="0" fontId="16" fillId="10" borderId="15" xfId="8" applyFont="1" applyFill="1" applyBorder="1" applyAlignment="1">
      <alignment horizontal="left" vertical="center"/>
    </xf>
    <xf numFmtId="0" fontId="16" fillId="10" borderId="51" xfId="8" applyFont="1" applyFill="1" applyBorder="1" applyAlignment="1">
      <alignment horizontal="left" vertical="center"/>
    </xf>
    <xf numFmtId="0" fontId="16" fillId="10" borderId="68" xfId="8" applyFont="1" applyFill="1" applyBorder="1" applyAlignment="1">
      <alignment horizontal="left" vertical="center"/>
    </xf>
    <xf numFmtId="0" fontId="16" fillId="10" borderId="41" xfId="8" applyFont="1" applyFill="1" applyBorder="1" applyAlignment="1">
      <alignment horizontal="left" vertical="center"/>
    </xf>
    <xf numFmtId="0" fontId="16" fillId="10" borderId="67" xfId="8" applyFont="1" applyFill="1" applyBorder="1" applyAlignment="1">
      <alignment horizontal="left" vertical="center"/>
    </xf>
    <xf numFmtId="0" fontId="16" fillId="10" borderId="59" xfId="8" applyFont="1" applyFill="1" applyBorder="1" applyAlignment="1">
      <alignment horizontal="left" vertical="center"/>
    </xf>
    <xf numFmtId="0" fontId="16" fillId="10" borderId="0" xfId="8" applyFont="1" applyFill="1" applyAlignment="1">
      <alignment horizontal="left" vertical="top" wrapText="1"/>
    </xf>
    <xf numFmtId="0" fontId="17" fillId="0" borderId="0" xfId="8" applyFont="1" applyAlignment="1">
      <alignment horizontal="left" wrapText="1"/>
    </xf>
    <xf numFmtId="0" fontId="16" fillId="10" borderId="69" xfId="8" applyFont="1" applyFill="1" applyBorder="1" applyAlignment="1">
      <alignment horizontal="left" vertical="center"/>
    </xf>
    <xf numFmtId="0" fontId="16" fillId="10" borderId="54" xfId="8" applyFont="1" applyFill="1" applyBorder="1" applyAlignment="1">
      <alignment horizontal="left" vertical="center"/>
    </xf>
    <xf numFmtId="0" fontId="16" fillId="10" borderId="9" xfId="8" applyFont="1" applyFill="1" applyBorder="1" applyAlignment="1">
      <alignment horizontal="left" vertical="center"/>
    </xf>
    <xf numFmtId="0" fontId="16" fillId="10" borderId="6" xfId="8" applyFont="1" applyFill="1" applyBorder="1" applyAlignment="1">
      <alignment horizontal="left" vertical="center"/>
    </xf>
    <xf numFmtId="0" fontId="17" fillId="10" borderId="0" xfId="8" applyFont="1" applyFill="1" applyAlignment="1">
      <alignment horizontal="left" wrapText="1"/>
    </xf>
    <xf numFmtId="0" fontId="22" fillId="5" borderId="61" xfId="8" applyFont="1" applyFill="1" applyBorder="1" applyAlignment="1">
      <alignment horizontal="center"/>
    </xf>
    <xf numFmtId="0" fontId="22" fillId="5" borderId="33" xfId="8" applyFont="1" applyFill="1" applyBorder="1" applyAlignment="1">
      <alignment horizontal="center"/>
    </xf>
    <xf numFmtId="0" fontId="22" fillId="5" borderId="32" xfId="8" applyFont="1" applyFill="1" applyBorder="1" applyAlignment="1">
      <alignment horizontal="center"/>
    </xf>
    <xf numFmtId="0" fontId="16" fillId="10" borderId="65" xfId="8" applyFont="1" applyFill="1" applyBorder="1" applyAlignment="1">
      <alignment horizontal="left" vertical="center"/>
    </xf>
    <xf numFmtId="0" fontId="16" fillId="10" borderId="55" xfId="8" applyFont="1" applyFill="1" applyBorder="1" applyAlignment="1">
      <alignment horizontal="left" vertical="center"/>
    </xf>
    <xf numFmtId="1" fontId="10" fillId="0" borderId="0" xfId="18" applyNumberFormat="1" applyFont="1"/>
    <xf numFmtId="1" fontId="10" fillId="0" borderId="0" xfId="18" applyNumberFormat="1" applyFont="1" applyFill="1"/>
    <xf numFmtId="169" fontId="10" fillId="0" borderId="1" xfId="0" applyNumberFormat="1" applyFont="1" applyBorder="1"/>
    <xf numFmtId="169" fontId="10" fillId="0" borderId="1" xfId="18" applyNumberFormat="1" applyFont="1" applyBorder="1"/>
    <xf numFmtId="0" fontId="10" fillId="0" borderId="1" xfId="0" applyFont="1" applyBorder="1"/>
    <xf numFmtId="0" fontId="3" fillId="0" borderId="4" xfId="0" applyFont="1" applyBorder="1"/>
    <xf numFmtId="0" fontId="3" fillId="0" borderId="5" xfId="0" applyFont="1" applyBorder="1" applyAlignment="1">
      <alignment wrapText="1"/>
    </xf>
    <xf numFmtId="0" fontId="2" fillId="0" borderId="0" xfId="0" applyFont="1"/>
    <xf numFmtId="0" fontId="2" fillId="0" borderId="12" xfId="0" applyFont="1" applyBorder="1"/>
    <xf numFmtId="9" fontId="2" fillId="0" borderId="0" xfId="0" applyNumberFormat="1" applyFont="1"/>
    <xf numFmtId="9" fontId="2" fillId="0" borderId="11" xfId="0" applyNumberFormat="1" applyFont="1" applyBorder="1"/>
    <xf numFmtId="10" fontId="2" fillId="0" borderId="11" xfId="0" applyNumberFormat="1" applyFont="1" applyBorder="1"/>
    <xf numFmtId="0" fontId="2" fillId="0" borderId="11" xfId="0" applyFont="1" applyBorder="1"/>
    <xf numFmtId="0" fontId="2" fillId="0" borderId="10" xfId="0" applyFont="1" applyBorder="1"/>
    <xf numFmtId="9" fontId="2" fillId="0" borderId="1" xfId="0" applyNumberFormat="1" applyFont="1" applyBorder="1"/>
    <xf numFmtId="0" fontId="2" fillId="0" borderId="7" xfId="0" applyFont="1" applyBorder="1"/>
    <xf numFmtId="0" fontId="2" fillId="0" borderId="2" xfId="0" applyFont="1" applyBorder="1"/>
    <xf numFmtId="43" fontId="2" fillId="0" borderId="0" xfId="0" applyNumberFormat="1" applyFont="1"/>
    <xf numFmtId="43" fontId="2" fillId="0" borderId="1" xfId="0" applyNumberFormat="1" applyFont="1" applyBorder="1"/>
    <xf numFmtId="0" fontId="2" fillId="0" borderId="1" xfId="0" applyFont="1" applyBorder="1"/>
    <xf numFmtId="0" fontId="3" fillId="0" borderId="30" xfId="0" applyFont="1" applyBorder="1"/>
    <xf numFmtId="0" fontId="3" fillId="0" borderId="5" xfId="0" applyFont="1" applyBorder="1"/>
    <xf numFmtId="9" fontId="2" fillId="0" borderId="0" xfId="18" applyNumberFormat="1" applyFont="1" applyBorder="1"/>
    <xf numFmtId="43" fontId="2" fillId="0" borderId="1" xfId="18" applyFont="1" applyBorder="1"/>
    <xf numFmtId="9" fontId="10" fillId="0" borderId="0" xfId="1" applyFont="1"/>
    <xf numFmtId="169" fontId="11" fillId="0" borderId="1" xfId="18" applyNumberFormat="1" applyFont="1" applyBorder="1"/>
    <xf numFmtId="0" fontId="3" fillId="0" borderId="0" xfId="0" applyFont="1" applyAlignment="1">
      <alignment vertical="center"/>
    </xf>
    <xf numFmtId="43" fontId="11" fillId="0" borderId="1" xfId="18" applyFont="1" applyBorder="1"/>
    <xf numFmtId="0" fontId="7" fillId="0" borderId="0" xfId="18" applyNumberFormat="1" applyFont="1"/>
    <xf numFmtId="9" fontId="9" fillId="28" borderId="0" xfId="1" applyFont="1" applyFill="1"/>
    <xf numFmtId="0" fontId="7" fillId="0" borderId="3" xfId="0" applyFont="1" applyBorder="1"/>
    <xf numFmtId="0" fontId="9" fillId="0" borderId="11" xfId="0" applyFont="1" applyBorder="1" applyAlignment="1">
      <alignment wrapText="1"/>
    </xf>
    <xf numFmtId="43" fontId="9" fillId="3" borderId="0" xfId="18" applyFont="1" applyFill="1"/>
    <xf numFmtId="0" fontId="9" fillId="3" borderId="0" xfId="0" applyFont="1" applyFill="1"/>
    <xf numFmtId="0" fontId="9" fillId="0" borderId="0" xfId="0" applyFont="1" applyAlignment="1">
      <alignment horizontal="left" vertical="top" wrapText="1"/>
    </xf>
    <xf numFmtId="169" fontId="9" fillId="3" borderId="0" xfId="18" applyNumberFormat="1" applyFont="1" applyFill="1"/>
    <xf numFmtId="0" fontId="84" fillId="0" borderId="0" xfId="2" applyFont="1"/>
    <xf numFmtId="169" fontId="7" fillId="0" borderId="0" xfId="18" applyNumberFormat="1" applyFont="1" applyFill="1"/>
    <xf numFmtId="169" fontId="9" fillId="0" borderId="0" xfId="18" applyNumberFormat="1" applyFont="1" applyFill="1"/>
    <xf numFmtId="169" fontId="7" fillId="0" borderId="0" xfId="0" applyNumberFormat="1" applyFont="1"/>
    <xf numFmtId="167" fontId="9" fillId="0" borderId="0" xfId="18" applyNumberFormat="1" applyFont="1"/>
    <xf numFmtId="0" fontId="86" fillId="0" borderId="0" xfId="0" applyFont="1"/>
    <xf numFmtId="169" fontId="86" fillId="0" borderId="0" xfId="18" applyNumberFormat="1" applyFont="1"/>
    <xf numFmtId="169" fontId="7" fillId="0" borderId="0" xfId="18" applyNumberFormat="1" applyFont="1"/>
    <xf numFmtId="169" fontId="2" fillId="0" borderId="0" xfId="18" applyNumberFormat="1" applyFont="1"/>
    <xf numFmtId="43" fontId="3" fillId="0" borderId="0" xfId="18" applyFont="1"/>
    <xf numFmtId="0" fontId="10" fillId="0" borderId="0" xfId="18" applyNumberFormat="1" applyFont="1" applyBorder="1"/>
    <xf numFmtId="0" fontId="10" fillId="0" borderId="0" xfId="18" applyNumberFormat="1" applyFont="1"/>
    <xf numFmtId="0" fontId="3" fillId="0" borderId="11" xfId="0" applyFont="1" applyBorder="1" applyAlignment="1">
      <alignment wrapText="1"/>
    </xf>
    <xf numFmtId="0" fontId="11" fillId="0" borderId="54" xfId="0" applyFont="1" applyBorder="1" applyAlignment="1">
      <alignment wrapText="1"/>
    </xf>
    <xf numFmtId="0" fontId="11" fillId="0" borderId="9" xfId="0" applyFont="1" applyBorder="1" applyAlignment="1">
      <alignment wrapText="1"/>
    </xf>
    <xf numFmtId="0" fontId="11" fillId="0" borderId="64" xfId="0" applyFont="1" applyBorder="1" applyAlignment="1">
      <alignment wrapText="1"/>
    </xf>
    <xf numFmtId="0" fontId="9" fillId="0" borderId="0" xfId="18" applyNumberFormat="1" applyFont="1"/>
    <xf numFmtId="0" fontId="7" fillId="0" borderId="10" xfId="0" applyFont="1" applyBorder="1"/>
    <xf numFmtId="49" fontId="12" fillId="0" borderId="23" xfId="7" applyNumberFormat="1" applyAlignment="1">
      <alignment vertical="top" wrapText="1"/>
    </xf>
    <xf numFmtId="11" fontId="2" fillId="0" borderId="0" xfId="0" applyNumberFormat="1" applyFont="1" applyAlignment="1">
      <alignment horizontal="right"/>
    </xf>
    <xf numFmtId="0" fontId="2" fillId="0" borderId="0" xfId="0" applyFont="1" applyAlignment="1">
      <alignment horizontal="left"/>
    </xf>
    <xf numFmtId="0" fontId="76" fillId="0" borderId="75" xfId="25" applyFont="1" applyAlignment="1">
      <alignment wrapText="1"/>
    </xf>
    <xf numFmtId="0" fontId="70" fillId="0" borderId="75" xfId="19" applyBorder="1" applyAlignment="1"/>
    <xf numFmtId="0" fontId="70" fillId="0" borderId="0" xfId="19" applyAlignment="1"/>
    <xf numFmtId="0" fontId="76" fillId="0" borderId="0" xfId="19" applyFont="1" applyAlignment="1"/>
  </cellXfs>
  <cellStyles count="37">
    <cellStyle name="Body: normal cell" xfId="24" xr:uid="{C85B8768-EA81-47F5-BBE1-9684B4E14078}"/>
    <cellStyle name="Body: normal cell 2" xfId="6" xr:uid="{AD4C307A-9D08-4589-A8AA-8E3B63328E28}"/>
    <cellStyle name="Comma" xfId="18" builtinId="3"/>
    <cellStyle name="Comma 2" xfId="9" xr:uid="{8D4692A5-1471-4AB9-99F6-E50932AE7447}"/>
    <cellStyle name="Comma 3" xfId="17" xr:uid="{960DA572-2E6C-4EF4-A22B-4F0D69665022}"/>
    <cellStyle name="Currency" xfId="13" builtinId="4"/>
    <cellStyle name="Currency 2" xfId="15" xr:uid="{C8055E10-241E-4F8F-9DA5-BFC11B0F0140}"/>
    <cellStyle name="Followed Hyperlink 2" xfId="31" xr:uid="{20D055F7-18F6-47D8-BE25-57998EDE7FA7}"/>
    <cellStyle name="Font: Calibri, 9pt regular" xfId="20" xr:uid="{DA38355B-8AC3-4272-8956-FE667FDA2806}"/>
    <cellStyle name="Font: Calibri, 9pt regular 2" xfId="3" xr:uid="{F8F88D5B-D5D0-42A2-9E42-CA8FD7AE6649}"/>
    <cellStyle name="Footnotes: all except top row" xfId="32" xr:uid="{40E8674B-2D5D-4C8B-8297-409C30A01E46}"/>
    <cellStyle name="Footnotes: top row" xfId="25" xr:uid="{31A07A98-B9E9-42CA-92AE-1734DD74470A}"/>
    <cellStyle name="Footnotes: top row 2" xfId="7" xr:uid="{FCA5AD30-20CB-4AA6-8D2B-703857C94199}"/>
    <cellStyle name="Header: bottom row" xfId="21" xr:uid="{84AF8CEC-76A8-4F38-83B2-C2F38E2E55A7}"/>
    <cellStyle name="Header: bottom row 2" xfId="26" xr:uid="{92290095-5608-429C-8DD9-372525311F6A}"/>
    <cellStyle name="Header: top rows" xfId="27" xr:uid="{610DDEAC-EE97-48CB-B986-1C281BD63074}"/>
    <cellStyle name="Hyperlink" xfId="2" builtinId="8"/>
    <cellStyle name="Hyperlink 2" xfId="10" xr:uid="{00210DBE-0685-4E78-AEEA-EF9CD1D2588C}"/>
    <cellStyle name="Hyperlink 3" xfId="16" xr:uid="{00BC1D27-A8A9-463D-ADF0-0F97073623AF}"/>
    <cellStyle name="Hyperlink 4" xfId="30" xr:uid="{BBB9E5C1-5A37-40CE-A0CD-8E6CA081A43C}"/>
    <cellStyle name="Normal" xfId="0" builtinId="0"/>
    <cellStyle name="Normal 128" xfId="11" xr:uid="{C8394801-8859-4B55-AC00-F30977E8E0DC}"/>
    <cellStyle name="Normal 2" xfId="8" xr:uid="{D53CE2A1-55ED-4ECA-8911-B5346EB20E7C}"/>
    <cellStyle name="Normal 2 2" xfId="19" xr:uid="{61FDE2F5-8E15-443E-957A-0943D939F442}"/>
    <cellStyle name="Normal 3" xfId="14" xr:uid="{EFB72C3B-189A-43FA-A575-B693A410BB2C}"/>
    <cellStyle name="Normal 31" xfId="33" xr:uid="{D4675A4C-78AB-4E6B-9D04-51E33DE73082}"/>
    <cellStyle name="Normal 33" xfId="35" xr:uid="{82259560-7D7C-46EF-9B15-A4A3C3A36F71}"/>
    <cellStyle name="Normal 7" xfId="36" xr:uid="{2ED3A4D5-4E15-478F-9E10-723B07F2EF99}"/>
    <cellStyle name="Parent row" xfId="23" xr:uid="{DFEC6038-1633-42D5-97B0-1CEE7A63FB82}"/>
    <cellStyle name="Parent row 2" xfId="5" xr:uid="{26ED8DD1-57B5-4808-878B-F1ED048D0338}"/>
    <cellStyle name="Percent" xfId="1" builtinId="5"/>
    <cellStyle name="Percent 2" xfId="12" xr:uid="{87734B79-7F6F-4229-98E4-B4F7506B678F}"/>
    <cellStyle name="Percent 22" xfId="34" xr:uid="{6B40EB0F-1C11-4C6C-8275-EAE730E360DB}"/>
    <cellStyle name="Section Break" xfId="29" xr:uid="{53707ED7-766B-42CD-9219-50F6CE12A888}"/>
    <cellStyle name="Section Break: parent row" xfId="28" xr:uid="{025AAB7E-EDB5-434E-8C55-C41556F7130C}"/>
    <cellStyle name="Table title" xfId="22" xr:uid="{ED718C08-D1EF-412D-8B68-4F832C492710}"/>
    <cellStyle name="Table title 2" xfId="4" xr:uid="{FF535B0D-4B9E-40E3-9481-31B72D919D84}"/>
  </cellStyles>
  <dxfs count="2">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A41D80EA-13BB-4869-905B-E697C6CA8A74}">
      <tableStyleElement type="wholeTable" dxfId="1"/>
      <tableStyleElement type="headerRow" dxfId="0"/>
    </tableStyle>
  </tableStyles>
  <colors>
    <mruColors>
      <color rgb="FF0000C4"/>
      <color rgb="FFFFC000"/>
      <color rgb="FFFF3399"/>
      <color rgb="FF0F4016"/>
      <color rgb="FF601A58"/>
      <color rgb="FF4EA72E"/>
      <color rgb="FF196B24"/>
      <color rgb="FF994010"/>
      <color rgb="FF4EF89F"/>
      <color rgb="FFA02B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75"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7.xml"/><Relationship Id="rId1" Type="http://schemas.microsoft.com/office/2011/relationships/chartStyle" Target="style27.xml"/></Relationships>
</file>

<file path=xl/charts/_rels/chart2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2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2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2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2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3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3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3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4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4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Ex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Use by Energy Type</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Graphs!$B$15</c:f>
              <c:strCache>
                <c:ptCount val="1"/>
                <c:pt idx="0">
                  <c:v>Fossil Feedstocks</c:v>
                </c:pt>
              </c:strCache>
            </c:strRef>
          </c:tx>
          <c:spPr>
            <a:solidFill>
              <a:schemeClr val="accent1"/>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Graphs!$B$16:$B$23</c:f>
              <c:numCache>
                <c:formatCode>0.00</c:formatCode>
                <c:ptCount val="8"/>
                <c:pt idx="0">
                  <c:v>4.6586104395654244</c:v>
                </c:pt>
                <c:pt idx="1">
                  <c:v>6.7746750404478844</c:v>
                </c:pt>
                <c:pt idx="2">
                  <c:v>5.1625124435470262</c:v>
                </c:pt>
                <c:pt idx="3">
                  <c:v>5.1625124435470262</c:v>
                </c:pt>
                <c:pt idx="4">
                  <c:v>5.1625124435470262</c:v>
                </c:pt>
                <c:pt idx="5">
                  <c:v>5.1625124435470262</c:v>
                </c:pt>
                <c:pt idx="6">
                  <c:v>5.1625124435470262</c:v>
                </c:pt>
                <c:pt idx="7">
                  <c:v>0</c:v>
                </c:pt>
              </c:numCache>
            </c:numRef>
          </c:val>
          <c:extLst>
            <c:ext xmlns:c16="http://schemas.microsoft.com/office/drawing/2014/chart" uri="{C3380CC4-5D6E-409C-BE32-E72D297353CC}">
              <c16:uniqueId val="{00000000-8D34-4BA1-B6BE-599AB3D6CFEE}"/>
            </c:ext>
          </c:extLst>
        </c:ser>
        <c:ser>
          <c:idx val="1"/>
          <c:order val="1"/>
          <c:tx>
            <c:strRef>
              <c:f>Graphs!$C$15</c:f>
              <c:strCache>
                <c:ptCount val="1"/>
                <c:pt idx="0">
                  <c:v>Coal</c:v>
                </c:pt>
              </c:strCache>
            </c:strRef>
          </c:tx>
          <c:spPr>
            <a:solidFill>
              <a:schemeClr val="tx1"/>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Graphs!$C$16:$C$23</c:f>
              <c:numCache>
                <c:formatCode>0.00</c:formatCode>
                <c:ptCount val="8"/>
                <c:pt idx="0">
                  <c:v>11.663109613130128</c:v>
                </c:pt>
                <c:pt idx="1">
                  <c:v>11.142109218803826</c:v>
                </c:pt>
                <c:pt idx="2">
                  <c:v>6.5912624593886919</c:v>
                </c:pt>
                <c:pt idx="3">
                  <c:v>3.5636236954590754</c:v>
                </c:pt>
                <c:pt idx="4">
                  <c:v>2.2171263799796868</c:v>
                </c:pt>
                <c:pt idx="5">
                  <c:v>1.2796294194338349</c:v>
                </c:pt>
                <c:pt idx="6">
                  <c:v>-4.5892262989246102E-17</c:v>
                </c:pt>
                <c:pt idx="7">
                  <c:v>-4.5892262989246102E-17</c:v>
                </c:pt>
              </c:numCache>
            </c:numRef>
          </c:val>
          <c:extLst>
            <c:ext xmlns:c16="http://schemas.microsoft.com/office/drawing/2014/chart" uri="{C3380CC4-5D6E-409C-BE32-E72D297353CC}">
              <c16:uniqueId val="{00000001-8D34-4BA1-B6BE-599AB3D6CFEE}"/>
            </c:ext>
          </c:extLst>
        </c:ser>
        <c:ser>
          <c:idx val="2"/>
          <c:order val="2"/>
          <c:tx>
            <c:strRef>
              <c:f>Graphs!$D$15</c:f>
              <c:strCache>
                <c:ptCount val="1"/>
                <c:pt idx="0">
                  <c:v>Coke</c:v>
                </c:pt>
              </c:strCache>
            </c:strRef>
          </c:tx>
          <c:spPr>
            <a:solidFill>
              <a:srgbClr val="76270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Graphs!$D$16:$D$23</c:f>
              <c:numCache>
                <c:formatCode>0.00</c:formatCode>
                <c:ptCount val="8"/>
                <c:pt idx="0">
                  <c:v>13.012177608440798</c:v>
                </c:pt>
                <c:pt idx="1">
                  <c:v>11.04706826623217</c:v>
                </c:pt>
                <c:pt idx="2">
                  <c:v>5.9943532406813711</c:v>
                </c:pt>
                <c:pt idx="3">
                  <c:v>2.4335044722452706</c:v>
                </c:pt>
                <c:pt idx="4">
                  <c:v>1.6673485158272841</c:v>
                </c:pt>
                <c:pt idx="5">
                  <c:v>0.68579323755774346</c:v>
                </c:pt>
                <c:pt idx="6">
                  <c:v>2.4203839390508222E-18</c:v>
                </c:pt>
                <c:pt idx="7">
                  <c:v>2.4203839390508222E-18</c:v>
                </c:pt>
              </c:numCache>
            </c:numRef>
          </c:val>
          <c:extLst>
            <c:ext xmlns:c16="http://schemas.microsoft.com/office/drawing/2014/chart" uri="{C3380CC4-5D6E-409C-BE32-E72D297353CC}">
              <c16:uniqueId val="{00000002-8D34-4BA1-B6BE-599AB3D6CFEE}"/>
            </c:ext>
          </c:extLst>
        </c:ser>
        <c:ser>
          <c:idx val="3"/>
          <c:order val="3"/>
          <c:tx>
            <c:strRef>
              <c:f>Graphs!$E$15</c:f>
              <c:strCache>
                <c:ptCount val="1"/>
                <c:pt idx="0">
                  <c:v>Coal/Coke Byproducts</c:v>
                </c:pt>
              </c:strCache>
            </c:strRef>
          </c:tx>
          <c:spPr>
            <a:solidFill>
              <a:srgbClr val="B45A0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Graphs!$E$16:$E$23</c:f>
              <c:numCache>
                <c:formatCode>0.00</c:formatCode>
                <c:ptCount val="8"/>
                <c:pt idx="0">
                  <c:v>5.7168552168815951</c:v>
                </c:pt>
                <c:pt idx="1">
                  <c:v>4.9452486886159441</c:v>
                </c:pt>
                <c:pt idx="2">
                  <c:v>2.8887356097666843</c:v>
                </c:pt>
                <c:pt idx="3">
                  <c:v>1.3779092561549295</c:v>
                </c:pt>
                <c:pt idx="4">
                  <c:v>1.0194028083276918</c:v>
                </c:pt>
                <c:pt idx="5">
                  <c:v>0.61952684462474483</c:v>
                </c:pt>
                <c:pt idx="6">
                  <c:v>1.9517765863019601E-19</c:v>
                </c:pt>
                <c:pt idx="7">
                  <c:v>1.9517765863019601E-19</c:v>
                </c:pt>
              </c:numCache>
            </c:numRef>
          </c:val>
          <c:extLst>
            <c:ext xmlns:c16="http://schemas.microsoft.com/office/drawing/2014/chart" uri="{C3380CC4-5D6E-409C-BE32-E72D297353CC}">
              <c16:uniqueId val="{00000003-8D34-4BA1-B6BE-599AB3D6CFEE}"/>
            </c:ext>
          </c:extLst>
        </c:ser>
        <c:ser>
          <c:idx val="4"/>
          <c:order val="4"/>
          <c:tx>
            <c:strRef>
              <c:f>Graphs!$F$15</c:f>
              <c:strCache>
                <c:ptCount val="1"/>
                <c:pt idx="0">
                  <c:v>Petroleum</c:v>
                </c:pt>
              </c:strCache>
            </c:strRef>
          </c:tx>
          <c:spPr>
            <a:solidFill>
              <a:srgbClr val="7030A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Graphs!$F$16:$F$23</c:f>
              <c:numCache>
                <c:formatCode>0.00</c:formatCode>
                <c:ptCount val="8"/>
                <c:pt idx="0">
                  <c:v>11.612801875732709</c:v>
                </c:pt>
                <c:pt idx="1">
                  <c:v>13.227624251582688</c:v>
                </c:pt>
                <c:pt idx="2">
                  <c:v>9.7233329758468265</c:v>
                </c:pt>
                <c:pt idx="3">
                  <c:v>5.6886532774163143</c:v>
                </c:pt>
                <c:pt idx="4">
                  <c:v>4.4842061552301855</c:v>
                </c:pt>
                <c:pt idx="5">
                  <c:v>4.2662242975830376</c:v>
                </c:pt>
                <c:pt idx="6">
                  <c:v>-9.8394370767870871E-19</c:v>
                </c:pt>
                <c:pt idx="7">
                  <c:v>-9.8394370767870871E-19</c:v>
                </c:pt>
              </c:numCache>
            </c:numRef>
          </c:val>
          <c:extLst>
            <c:ext xmlns:c16="http://schemas.microsoft.com/office/drawing/2014/chart" uri="{C3380CC4-5D6E-409C-BE32-E72D297353CC}">
              <c16:uniqueId val="{00000004-8D34-4BA1-B6BE-599AB3D6CFEE}"/>
            </c:ext>
          </c:extLst>
        </c:ser>
        <c:ser>
          <c:idx val="8"/>
          <c:order val="5"/>
          <c:tx>
            <c:strRef>
              <c:f>Graphs!$G$15</c:f>
              <c:strCache>
                <c:ptCount val="1"/>
                <c:pt idx="0">
                  <c:v>Natural Gas</c:v>
                </c:pt>
              </c:strCache>
            </c:strRef>
          </c:tx>
          <c:spPr>
            <a:solidFill>
              <a:srgbClr val="FF3399"/>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Graphs!$G$16:$G$23</c:f>
              <c:numCache>
                <c:formatCode>0.00</c:formatCode>
                <c:ptCount val="8"/>
                <c:pt idx="0">
                  <c:v>5.9637690504103169</c:v>
                </c:pt>
                <c:pt idx="1">
                  <c:v>6.3878581189578805</c:v>
                </c:pt>
                <c:pt idx="2">
                  <c:v>4.1840809546018525</c:v>
                </c:pt>
                <c:pt idx="3">
                  <c:v>1.9178064082769808</c:v>
                </c:pt>
                <c:pt idx="4">
                  <c:v>0.84061235797531531</c:v>
                </c:pt>
                <c:pt idx="5">
                  <c:v>0.63766883993649093</c:v>
                </c:pt>
                <c:pt idx="6">
                  <c:v>-5.3122150854736888E-17</c:v>
                </c:pt>
                <c:pt idx="7">
                  <c:v>-5.3122150854736888E-17</c:v>
                </c:pt>
              </c:numCache>
            </c:numRef>
          </c:val>
          <c:extLst>
            <c:ext xmlns:c16="http://schemas.microsoft.com/office/drawing/2014/chart" uri="{C3380CC4-5D6E-409C-BE32-E72D297353CC}">
              <c16:uniqueId val="{00000000-1462-41A8-BEDD-EF3B1E326325}"/>
            </c:ext>
          </c:extLst>
        </c:ser>
        <c:ser>
          <c:idx val="5"/>
          <c:order val="6"/>
          <c:tx>
            <c:strRef>
              <c:f>Graphs!$H$15</c:f>
              <c:strCache>
                <c:ptCount val="1"/>
                <c:pt idx="0">
                  <c:v>Bioenergy and Waste</c:v>
                </c:pt>
              </c:strCache>
            </c:strRef>
          </c:tx>
          <c:spPr>
            <a:solidFill>
              <a:schemeClr val="accent6">
                <a:lumMod val="75000"/>
              </a:schemeClr>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Graphs!$H$16:$H$23</c:f>
              <c:numCache>
                <c:formatCode>0.00</c:formatCode>
                <c:ptCount val="8"/>
                <c:pt idx="0">
                  <c:v>0</c:v>
                </c:pt>
                <c:pt idx="1">
                  <c:v>0</c:v>
                </c:pt>
                <c:pt idx="2">
                  <c:v>0</c:v>
                </c:pt>
                <c:pt idx="3">
                  <c:v>0</c:v>
                </c:pt>
                <c:pt idx="4">
                  <c:v>0</c:v>
                </c:pt>
                <c:pt idx="5">
                  <c:v>0</c:v>
                </c:pt>
                <c:pt idx="6">
                  <c:v>0</c:v>
                </c:pt>
                <c:pt idx="7">
                  <c:v>1.5487537330641077</c:v>
                </c:pt>
              </c:numCache>
            </c:numRef>
          </c:val>
          <c:extLst>
            <c:ext xmlns:c16="http://schemas.microsoft.com/office/drawing/2014/chart" uri="{C3380CC4-5D6E-409C-BE32-E72D297353CC}">
              <c16:uniqueId val="{00000005-8D34-4BA1-B6BE-599AB3D6CFEE}"/>
            </c:ext>
          </c:extLst>
        </c:ser>
        <c:ser>
          <c:idx val="6"/>
          <c:order val="7"/>
          <c:tx>
            <c:strRef>
              <c:f>Graphs!$I$15</c:f>
              <c:strCache>
                <c:ptCount val="1"/>
                <c:pt idx="0">
                  <c:v>Purchased Heat</c:v>
                </c:pt>
              </c:strCache>
            </c:strRef>
          </c:tx>
          <c:spPr>
            <a:solidFill>
              <a:srgbClr val="C0000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Graphs!$I$16:$I$23</c:f>
              <c:numCache>
                <c:formatCode>0.00</c:formatCode>
                <c:ptCount val="8"/>
                <c:pt idx="0">
                  <c:v>5.95345838218054</c:v>
                </c:pt>
                <c:pt idx="1">
                  <c:v>7.4361120924715749</c:v>
                </c:pt>
                <c:pt idx="2">
                  <c:v>5.0657548126338723</c:v>
                </c:pt>
                <c:pt idx="3">
                  <c:v>5.0657548126338723</c:v>
                </c:pt>
                <c:pt idx="4">
                  <c:v>5.0657548126338723</c:v>
                </c:pt>
                <c:pt idx="5">
                  <c:v>5.0657548126338723</c:v>
                </c:pt>
                <c:pt idx="6">
                  <c:v>5.0657548126338723</c:v>
                </c:pt>
                <c:pt idx="7">
                  <c:v>5.0657548126338723</c:v>
                </c:pt>
              </c:numCache>
            </c:numRef>
          </c:val>
          <c:extLst>
            <c:ext xmlns:c16="http://schemas.microsoft.com/office/drawing/2014/chart" uri="{C3380CC4-5D6E-409C-BE32-E72D297353CC}">
              <c16:uniqueId val="{00000006-8D34-4BA1-B6BE-599AB3D6CFEE}"/>
            </c:ext>
          </c:extLst>
        </c:ser>
        <c:ser>
          <c:idx val="7"/>
          <c:order val="8"/>
          <c:tx>
            <c:strRef>
              <c:f>Graphs!$J$15</c:f>
              <c:strCache>
                <c:ptCount val="1"/>
                <c:pt idx="0">
                  <c:v>Direct Use of Electricity</c:v>
                </c:pt>
              </c:strCache>
            </c:strRef>
          </c:tx>
          <c:spPr>
            <a:solidFill>
              <a:srgbClr val="FFC00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Graphs!$J$16:$J$23</c:f>
              <c:numCache>
                <c:formatCode>0.00</c:formatCode>
                <c:ptCount val="8"/>
                <c:pt idx="0">
                  <c:v>15.889381594372804</c:v>
                </c:pt>
                <c:pt idx="1">
                  <c:v>16.532199704350717</c:v>
                </c:pt>
                <c:pt idx="2">
                  <c:v>10.93286014473877</c:v>
                </c:pt>
                <c:pt idx="3">
                  <c:v>15.282746047644379</c:v>
                </c:pt>
                <c:pt idx="4">
                  <c:v>18.170405671523326</c:v>
                </c:pt>
                <c:pt idx="5">
                  <c:v>18.170405671523326</c:v>
                </c:pt>
                <c:pt idx="6">
                  <c:v>18.170405671523326</c:v>
                </c:pt>
                <c:pt idx="7">
                  <c:v>18.170405671523326</c:v>
                </c:pt>
              </c:numCache>
            </c:numRef>
          </c:val>
          <c:extLst>
            <c:ext xmlns:c16="http://schemas.microsoft.com/office/drawing/2014/chart" uri="{C3380CC4-5D6E-409C-BE32-E72D297353CC}">
              <c16:uniqueId val="{00000007-8D34-4BA1-B6BE-599AB3D6CFEE}"/>
            </c:ext>
          </c:extLst>
        </c:ser>
        <c:ser>
          <c:idx val="9"/>
          <c:order val="9"/>
          <c:tx>
            <c:strRef>
              <c:f>Graphs!$K$15</c:f>
              <c:strCache>
                <c:ptCount val="1"/>
                <c:pt idx="0">
                  <c:v>Electricity for Green H2</c:v>
                </c:pt>
              </c:strCache>
            </c:strRef>
          </c:tx>
          <c:spPr>
            <a:solidFill>
              <a:srgbClr val="92D05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Graphs!$K$16:$K$23</c:f>
              <c:numCache>
                <c:formatCode>0.00</c:formatCode>
                <c:ptCount val="8"/>
                <c:pt idx="0">
                  <c:v>0</c:v>
                </c:pt>
                <c:pt idx="1">
                  <c:v>0</c:v>
                </c:pt>
                <c:pt idx="2">
                  <c:v>0</c:v>
                </c:pt>
                <c:pt idx="3">
                  <c:v>0</c:v>
                </c:pt>
                <c:pt idx="4">
                  <c:v>0</c:v>
                </c:pt>
                <c:pt idx="5">
                  <c:v>0</c:v>
                </c:pt>
                <c:pt idx="6">
                  <c:v>9.8537403146524376</c:v>
                </c:pt>
                <c:pt idx="7">
                  <c:v>12.570852127045608</c:v>
                </c:pt>
              </c:numCache>
            </c:numRef>
          </c:val>
          <c:extLst>
            <c:ext xmlns:c16="http://schemas.microsoft.com/office/drawing/2014/chart" uri="{C3380CC4-5D6E-409C-BE32-E72D297353CC}">
              <c16:uniqueId val="{00000000-9DEE-435B-89E1-472F04168635}"/>
            </c:ext>
          </c:extLst>
        </c:ser>
        <c:ser>
          <c:idx val="10"/>
          <c:order val="10"/>
          <c:tx>
            <c:strRef>
              <c:f>Graphs!$L$15</c:f>
              <c:strCache>
                <c:ptCount val="1"/>
                <c:pt idx="0">
                  <c:v>Blue Hydrogen</c:v>
                </c:pt>
              </c:strCache>
            </c:strRef>
          </c:tx>
          <c:spPr>
            <a:solidFill>
              <a:srgbClr val="00B0F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Graphs!$L$16:$L$23</c:f>
              <c:numCache>
                <c:formatCode>0.00</c:formatCode>
                <c:ptCount val="8"/>
                <c:pt idx="0">
                  <c:v>0</c:v>
                </c:pt>
                <c:pt idx="1">
                  <c:v>0</c:v>
                </c:pt>
                <c:pt idx="2">
                  <c:v>0</c:v>
                </c:pt>
                <c:pt idx="3">
                  <c:v>0</c:v>
                </c:pt>
                <c:pt idx="4">
                  <c:v>0</c:v>
                </c:pt>
                <c:pt idx="5">
                  <c:v>0</c:v>
                </c:pt>
                <c:pt idx="6">
                  <c:v>0</c:v>
                </c:pt>
                <c:pt idx="7">
                  <c:v>1.5487537330641077</c:v>
                </c:pt>
              </c:numCache>
            </c:numRef>
          </c:val>
          <c:extLst>
            <c:ext xmlns:c16="http://schemas.microsoft.com/office/drawing/2014/chart" uri="{C3380CC4-5D6E-409C-BE32-E72D297353CC}">
              <c16:uniqueId val="{00000001-9DEE-435B-89E1-472F04168635}"/>
            </c:ext>
          </c:extLst>
        </c:ser>
        <c:ser>
          <c:idx val="11"/>
          <c:order val="11"/>
          <c:tx>
            <c:strRef>
              <c:f>Graphs!$M$15</c:f>
              <c:strCache>
                <c:ptCount val="1"/>
                <c:pt idx="0">
                  <c:v>Fossil Fuels w/ Carbon Capture</c:v>
                </c:pt>
              </c:strCache>
            </c:strRef>
          </c:tx>
          <c:spPr>
            <a:solidFill>
              <a:srgbClr val="FF6600"/>
            </a:solidFill>
            <a:ln>
              <a:noFill/>
            </a:ln>
            <a:effectLst/>
          </c:spPr>
          <c:invertIfNegative val="0"/>
          <c:cat>
            <c:strRef>
              <c:f>Graphs!$A$16:$A$23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Graphs!$M$16:$M$23</c:f>
              <c:numCache>
                <c:formatCode>0.00</c:formatCode>
                <c:ptCount val="8"/>
                <c:pt idx="0">
                  <c:v>0</c:v>
                </c:pt>
                <c:pt idx="1">
                  <c:v>0</c:v>
                </c:pt>
                <c:pt idx="2">
                  <c:v>0</c:v>
                </c:pt>
                <c:pt idx="3">
                  <c:v>0</c:v>
                </c:pt>
                <c:pt idx="4">
                  <c:v>0</c:v>
                </c:pt>
                <c:pt idx="5">
                  <c:v>4.2683668773572334</c:v>
                </c:pt>
                <c:pt idx="6">
                  <c:v>4.2683668773572334</c:v>
                </c:pt>
                <c:pt idx="7">
                  <c:v>4.2683668773572334</c:v>
                </c:pt>
              </c:numCache>
            </c:numRef>
          </c:val>
          <c:extLst>
            <c:ext xmlns:c16="http://schemas.microsoft.com/office/drawing/2014/chart" uri="{C3380CC4-5D6E-409C-BE32-E72D297353CC}">
              <c16:uniqueId val="{00000000-6166-4752-B3B1-854907038465}"/>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384050887108258"/>
              <c:y val="7.42471568679688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Total Annualized Costs (Energy</a:t>
            </a:r>
            <a:r>
              <a:rPr lang="en-US" sz="1600" baseline="0"/>
              <a:t> + CapEx) per Unit of Abatement by Intervention Tier</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Graphs!$B$640</c:f>
              <c:strCache>
                <c:ptCount val="1"/>
                <c:pt idx="0">
                  <c:v>Energy</c:v>
                </c:pt>
              </c:strCache>
            </c:strRef>
          </c:tx>
          <c:spPr>
            <a:solidFill>
              <a:srgbClr val="FFC000"/>
            </a:solidFill>
            <a:ln>
              <a:noFill/>
            </a:ln>
            <a:effectLst/>
          </c:spPr>
          <c:invertIfNegative val="0"/>
          <c:cat>
            <c:strRef>
              <c:f>Graphs!$A$641:$A$646</c:f>
              <c:strCache>
                <c:ptCount val="6"/>
                <c:pt idx="0">
                  <c:v>Tier 1: Efficiency</c:v>
                </c:pt>
                <c:pt idx="1">
                  <c:v>Tier 2a: Easy Electrification</c:v>
                </c:pt>
                <c:pt idx="2">
                  <c:v>Tier 2b: Other Electrification</c:v>
                </c:pt>
                <c:pt idx="3">
                  <c:v>Tier 3: CCS</c:v>
                </c:pt>
                <c:pt idx="4">
                  <c:v>Tier 4a: Green H2</c:v>
                </c:pt>
                <c:pt idx="5">
                  <c:v>Tier 4b: Clean Feedstocks</c:v>
                </c:pt>
              </c:strCache>
            </c:strRef>
          </c:cat>
          <c:val>
            <c:numRef>
              <c:f>Graphs!$B$641:$B$646</c:f>
              <c:numCache>
                <c:formatCode>0</c:formatCode>
                <c:ptCount val="6"/>
                <c:pt idx="0">
                  <c:v>-225.1158001935199</c:v>
                </c:pt>
                <c:pt idx="1">
                  <c:v>-38.950879443774809</c:v>
                </c:pt>
                <c:pt idx="2">
                  <c:v>43.022611687484435</c:v>
                </c:pt>
                <c:pt idx="3">
                  <c:v>-0.93534922780789875</c:v>
                </c:pt>
                <c:pt idx="4">
                  <c:v>147.46423769845129</c:v>
                </c:pt>
                <c:pt idx="5">
                  <c:v>104.62116704307718</c:v>
                </c:pt>
              </c:numCache>
            </c:numRef>
          </c:val>
          <c:extLst>
            <c:ext xmlns:c16="http://schemas.microsoft.com/office/drawing/2014/chart" uri="{C3380CC4-5D6E-409C-BE32-E72D297353CC}">
              <c16:uniqueId val="{00000000-65F7-4729-9403-2502D28E559E}"/>
            </c:ext>
          </c:extLst>
        </c:ser>
        <c:ser>
          <c:idx val="1"/>
          <c:order val="1"/>
          <c:tx>
            <c:strRef>
              <c:f>Graphs!$C$640</c:f>
              <c:strCache>
                <c:ptCount val="1"/>
                <c:pt idx="0">
                  <c:v>Annualized CapEx</c:v>
                </c:pt>
              </c:strCache>
            </c:strRef>
          </c:tx>
          <c:spPr>
            <a:solidFill>
              <a:schemeClr val="tx1">
                <a:lumMod val="50000"/>
                <a:lumOff val="50000"/>
              </a:schemeClr>
            </a:solidFill>
            <a:ln>
              <a:noFill/>
            </a:ln>
            <a:effectLst/>
          </c:spPr>
          <c:invertIfNegative val="0"/>
          <c:cat>
            <c:strRef>
              <c:f>Graphs!$A$641:$A$646</c:f>
              <c:strCache>
                <c:ptCount val="6"/>
                <c:pt idx="0">
                  <c:v>Tier 1: Efficiency</c:v>
                </c:pt>
                <c:pt idx="1">
                  <c:v>Tier 2a: Easy Electrification</c:v>
                </c:pt>
                <c:pt idx="2">
                  <c:v>Tier 2b: Other Electrification</c:v>
                </c:pt>
                <c:pt idx="3">
                  <c:v>Tier 3: CCS</c:v>
                </c:pt>
                <c:pt idx="4">
                  <c:v>Tier 4a: Green H2</c:v>
                </c:pt>
                <c:pt idx="5">
                  <c:v>Tier 4b: Clean Feedstocks</c:v>
                </c:pt>
              </c:strCache>
            </c:strRef>
          </c:cat>
          <c:val>
            <c:numRef>
              <c:f>Graphs!$C$641:$C$646</c:f>
              <c:numCache>
                <c:formatCode>0</c:formatCode>
                <c:ptCount val="6"/>
                <c:pt idx="0">
                  <c:v>2.4041097961137274</c:v>
                </c:pt>
                <c:pt idx="1">
                  <c:v>15.956929593857677</c:v>
                </c:pt>
                <c:pt idx="2">
                  <c:v>44.769054742998257</c:v>
                </c:pt>
                <c:pt idx="3">
                  <c:v>54.032328423806383</c:v>
                </c:pt>
                <c:pt idx="4">
                  <c:v>50.310239680071291</c:v>
                </c:pt>
                <c:pt idx="5">
                  <c:v>52.30661600085304</c:v>
                </c:pt>
              </c:numCache>
            </c:numRef>
          </c:val>
          <c:extLst>
            <c:ext xmlns:c16="http://schemas.microsoft.com/office/drawing/2014/chart" uri="{C3380CC4-5D6E-409C-BE32-E72D297353CC}">
              <c16:uniqueId val="{00000001-65F7-4729-9403-2502D28E559E}"/>
            </c:ext>
          </c:extLst>
        </c:ser>
        <c:dLbls>
          <c:showLegendKey val="0"/>
          <c:showVal val="0"/>
          <c:showCatName val="0"/>
          <c:showSerName val="0"/>
          <c:showPercent val="0"/>
          <c:showBubbleSize val="0"/>
        </c:dLbls>
        <c:gapWidth val="150"/>
        <c:overlap val="100"/>
        <c:axId val="745935648"/>
        <c:axId val="745936128"/>
      </c:barChart>
      <c:catAx>
        <c:axId val="74593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745936128"/>
        <c:crosses val="autoZero"/>
        <c:auto val="1"/>
        <c:lblAlgn val="ctr"/>
        <c:lblOffset val="100"/>
        <c:noMultiLvlLbl val="0"/>
      </c:catAx>
      <c:valAx>
        <c:axId val="745936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($/yr) / (tonnes/yr abated)</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7459356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CapEx</a:t>
            </a:r>
            <a:r>
              <a:rPr lang="en-US" sz="1600" baseline="0"/>
              <a:t> Investment by Subindustry by Intervention Tier</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barChart>
        <c:barDir val="bar"/>
        <c:grouping val="stacked"/>
        <c:varyColors val="0"/>
        <c:ser>
          <c:idx val="0"/>
          <c:order val="0"/>
          <c:tx>
            <c:strRef>
              <c:f>Graphs!$B$680</c:f>
              <c:strCache>
                <c:ptCount val="1"/>
                <c:pt idx="0">
                  <c:v>Tier 1: Efficiency</c:v>
                </c:pt>
              </c:strCache>
            </c:strRef>
          </c:tx>
          <c:spPr>
            <a:solidFill>
              <a:schemeClr val="accent1"/>
            </a:solidFill>
            <a:ln>
              <a:noFill/>
            </a:ln>
            <a:effectLst/>
          </c:spPr>
          <c:invertIfNegative val="0"/>
          <c:cat>
            <c:strRef>
              <c:f>Graphs!$A$681:$A$695</c:f>
              <c:strCache>
                <c:ptCount val="15"/>
                <c:pt idx="0">
                  <c:v>Chemicals</c:v>
                </c:pt>
                <c:pt idx="1">
                  <c:v>Non-metallic minerals</c:v>
                </c:pt>
                <c:pt idx="2">
                  <c:v>Refining &amp; fuel processing</c:v>
                </c:pt>
                <c:pt idx="3">
                  <c:v>Iron &amp; steel</c:v>
                </c:pt>
                <c:pt idx="4">
                  <c:v>Nonferrous metals</c:v>
                </c:pt>
                <c:pt idx="5">
                  <c:v>Food, beverage, &amp; tobacco</c:v>
                </c:pt>
                <c:pt idx="6">
                  <c:v>Machinery</c:v>
                </c:pt>
                <c:pt idx="7">
                  <c:v>Other metal products</c:v>
                </c:pt>
                <c:pt idx="8">
                  <c:v>Pulp, paper, &amp; printing</c:v>
                </c:pt>
                <c:pt idx="9">
                  <c:v>Plastic &amp; rubber products</c:v>
                </c:pt>
                <c:pt idx="10">
                  <c:v>Textiles, leather, &amp; apparel</c:v>
                </c:pt>
                <c:pt idx="11">
                  <c:v>Vehicles &amp; transport equipment</c:v>
                </c:pt>
                <c:pt idx="12">
                  <c:v>Electronics</c:v>
                </c:pt>
                <c:pt idx="13">
                  <c:v>Wood &amp; furniture</c:v>
                </c:pt>
                <c:pt idx="14">
                  <c:v>Other manufacturing</c:v>
                </c:pt>
              </c:strCache>
            </c:strRef>
          </c:cat>
          <c:val>
            <c:numRef>
              <c:f>Graphs!$B$681:$B$695</c:f>
              <c:numCache>
                <c:formatCode>0.0</c:formatCode>
                <c:ptCount val="15"/>
                <c:pt idx="0">
                  <c:v>26.533556084877791</c:v>
                </c:pt>
                <c:pt idx="1">
                  <c:v>8.0885215140318287</c:v>
                </c:pt>
                <c:pt idx="2">
                  <c:v>5.1918175472540709</c:v>
                </c:pt>
                <c:pt idx="3">
                  <c:v>7.858212632573248</c:v>
                </c:pt>
                <c:pt idx="4">
                  <c:v>2.6306701763591733</c:v>
                </c:pt>
                <c:pt idx="5">
                  <c:v>0.52388037202252891</c:v>
                </c:pt>
                <c:pt idx="6">
                  <c:v>0.6147980962292523</c:v>
                </c:pt>
                <c:pt idx="7">
                  <c:v>0.86166784753912251</c:v>
                </c:pt>
                <c:pt idx="8">
                  <c:v>0.77331240833990922</c:v>
                </c:pt>
                <c:pt idx="9">
                  <c:v>0.18991462851991775</c:v>
                </c:pt>
                <c:pt idx="10">
                  <c:v>2.3725284203795862</c:v>
                </c:pt>
                <c:pt idx="11">
                  <c:v>0.22655987242767986</c:v>
                </c:pt>
                <c:pt idx="12">
                  <c:v>0.68274015066810578</c:v>
                </c:pt>
                <c:pt idx="13">
                  <c:v>0.1454174128066795</c:v>
                </c:pt>
                <c:pt idx="14">
                  <c:v>0.13652997878121978</c:v>
                </c:pt>
              </c:numCache>
            </c:numRef>
          </c:val>
          <c:extLst>
            <c:ext xmlns:c16="http://schemas.microsoft.com/office/drawing/2014/chart" uri="{C3380CC4-5D6E-409C-BE32-E72D297353CC}">
              <c16:uniqueId val="{00000000-C047-4EAA-9606-570BA2E7B632}"/>
            </c:ext>
          </c:extLst>
        </c:ser>
        <c:ser>
          <c:idx val="1"/>
          <c:order val="1"/>
          <c:tx>
            <c:strRef>
              <c:f>Graphs!$C$680</c:f>
              <c:strCache>
                <c:ptCount val="1"/>
                <c:pt idx="0">
                  <c:v>Tier 2a: Easy Electrification</c:v>
                </c:pt>
              </c:strCache>
            </c:strRef>
          </c:tx>
          <c:spPr>
            <a:solidFill>
              <a:schemeClr val="accent2"/>
            </a:solidFill>
            <a:ln>
              <a:noFill/>
            </a:ln>
            <a:effectLst/>
          </c:spPr>
          <c:invertIfNegative val="0"/>
          <c:cat>
            <c:strRef>
              <c:f>Graphs!$A$681:$A$695</c:f>
              <c:strCache>
                <c:ptCount val="15"/>
                <c:pt idx="0">
                  <c:v>Chemicals</c:v>
                </c:pt>
                <c:pt idx="1">
                  <c:v>Non-metallic minerals</c:v>
                </c:pt>
                <c:pt idx="2">
                  <c:v>Refining &amp; fuel processing</c:v>
                </c:pt>
                <c:pt idx="3">
                  <c:v>Iron &amp; steel</c:v>
                </c:pt>
                <c:pt idx="4">
                  <c:v>Nonferrous metals</c:v>
                </c:pt>
                <c:pt idx="5">
                  <c:v>Food, beverage, &amp; tobacco</c:v>
                </c:pt>
                <c:pt idx="6">
                  <c:v>Machinery</c:v>
                </c:pt>
                <c:pt idx="7">
                  <c:v>Other metal products</c:v>
                </c:pt>
                <c:pt idx="8">
                  <c:v>Pulp, paper, &amp; printing</c:v>
                </c:pt>
                <c:pt idx="9">
                  <c:v>Plastic &amp; rubber products</c:v>
                </c:pt>
                <c:pt idx="10">
                  <c:v>Textiles, leather, &amp; apparel</c:v>
                </c:pt>
                <c:pt idx="11">
                  <c:v>Vehicles &amp; transport equipment</c:v>
                </c:pt>
                <c:pt idx="12">
                  <c:v>Electronics</c:v>
                </c:pt>
                <c:pt idx="13">
                  <c:v>Wood &amp; furniture</c:v>
                </c:pt>
                <c:pt idx="14">
                  <c:v>Other manufacturing</c:v>
                </c:pt>
              </c:strCache>
            </c:strRef>
          </c:cat>
          <c:val>
            <c:numRef>
              <c:f>Graphs!$C$681:$C$695</c:f>
              <c:numCache>
                <c:formatCode>0.0</c:formatCode>
                <c:ptCount val="15"/>
                <c:pt idx="0">
                  <c:v>113.01156201240926</c:v>
                </c:pt>
                <c:pt idx="1">
                  <c:v>3.6102279911907105</c:v>
                </c:pt>
                <c:pt idx="2">
                  <c:v>34.277330906746727</c:v>
                </c:pt>
                <c:pt idx="3">
                  <c:v>79.07526456796549</c:v>
                </c:pt>
                <c:pt idx="4">
                  <c:v>2.6269189080352535</c:v>
                </c:pt>
                <c:pt idx="5">
                  <c:v>8.5997234079831273</c:v>
                </c:pt>
                <c:pt idx="6">
                  <c:v>1.2967952931118643</c:v>
                </c:pt>
                <c:pt idx="7">
                  <c:v>1.7095779252279042</c:v>
                </c:pt>
                <c:pt idx="8">
                  <c:v>0.95263842644519436</c:v>
                </c:pt>
                <c:pt idx="9">
                  <c:v>2.1241481518766796</c:v>
                </c:pt>
                <c:pt idx="10">
                  <c:v>1.6596056263831755</c:v>
                </c:pt>
                <c:pt idx="11">
                  <c:v>1.1982384986412074</c:v>
                </c:pt>
                <c:pt idx="12">
                  <c:v>0.8074213515670654</c:v>
                </c:pt>
                <c:pt idx="13">
                  <c:v>0.15563538862591222</c:v>
                </c:pt>
                <c:pt idx="14">
                  <c:v>0.41999033548429282</c:v>
                </c:pt>
              </c:numCache>
            </c:numRef>
          </c:val>
          <c:extLst>
            <c:ext xmlns:c16="http://schemas.microsoft.com/office/drawing/2014/chart" uri="{C3380CC4-5D6E-409C-BE32-E72D297353CC}">
              <c16:uniqueId val="{00000001-C047-4EAA-9606-570BA2E7B632}"/>
            </c:ext>
          </c:extLst>
        </c:ser>
        <c:ser>
          <c:idx val="2"/>
          <c:order val="2"/>
          <c:tx>
            <c:strRef>
              <c:f>Graphs!$D$680</c:f>
              <c:strCache>
                <c:ptCount val="1"/>
                <c:pt idx="0">
                  <c:v>Tier 2b: Other Electrification</c:v>
                </c:pt>
              </c:strCache>
            </c:strRef>
          </c:tx>
          <c:spPr>
            <a:solidFill>
              <a:schemeClr val="accent3"/>
            </a:solidFill>
            <a:ln>
              <a:noFill/>
            </a:ln>
            <a:effectLst/>
          </c:spPr>
          <c:invertIfNegative val="0"/>
          <c:cat>
            <c:strRef>
              <c:f>Graphs!$A$681:$A$695</c:f>
              <c:strCache>
                <c:ptCount val="15"/>
                <c:pt idx="0">
                  <c:v>Chemicals</c:v>
                </c:pt>
                <c:pt idx="1">
                  <c:v>Non-metallic minerals</c:v>
                </c:pt>
                <c:pt idx="2">
                  <c:v>Refining &amp; fuel processing</c:v>
                </c:pt>
                <c:pt idx="3">
                  <c:v>Iron &amp; steel</c:v>
                </c:pt>
                <c:pt idx="4">
                  <c:v>Nonferrous metals</c:v>
                </c:pt>
                <c:pt idx="5">
                  <c:v>Food, beverage, &amp; tobacco</c:v>
                </c:pt>
                <c:pt idx="6">
                  <c:v>Machinery</c:v>
                </c:pt>
                <c:pt idx="7">
                  <c:v>Other metal products</c:v>
                </c:pt>
                <c:pt idx="8">
                  <c:v>Pulp, paper, &amp; printing</c:v>
                </c:pt>
                <c:pt idx="9">
                  <c:v>Plastic &amp; rubber products</c:v>
                </c:pt>
                <c:pt idx="10">
                  <c:v>Textiles, leather, &amp; apparel</c:v>
                </c:pt>
                <c:pt idx="11">
                  <c:v>Vehicles &amp; transport equipment</c:v>
                </c:pt>
                <c:pt idx="12">
                  <c:v>Electronics</c:v>
                </c:pt>
                <c:pt idx="13">
                  <c:v>Wood &amp; furniture</c:v>
                </c:pt>
                <c:pt idx="14">
                  <c:v>Other manufacturing</c:v>
                </c:pt>
              </c:strCache>
            </c:strRef>
          </c:cat>
          <c:val>
            <c:numRef>
              <c:f>Graphs!$D$681:$D$695</c:f>
              <c:numCache>
                <c:formatCode>0.0</c:formatCode>
                <c:ptCount val="15"/>
                <c:pt idx="0">
                  <c:v>85.667101565284412</c:v>
                </c:pt>
                <c:pt idx="1">
                  <c:v>36.431252047336528</c:v>
                </c:pt>
                <c:pt idx="2">
                  <c:v>7.1072230615094876</c:v>
                </c:pt>
                <c:pt idx="3">
                  <c:v>36.434621956123458</c:v>
                </c:pt>
                <c:pt idx="4">
                  <c:v>31.258743120977474</c:v>
                </c:pt>
                <c:pt idx="5">
                  <c:v>0.26434420388216223</c:v>
                </c:pt>
                <c:pt idx="6">
                  <c:v>6.4437668097104606</c:v>
                </c:pt>
                <c:pt idx="7">
                  <c:v>5.6571491926235389</c:v>
                </c:pt>
                <c:pt idx="8">
                  <c:v>6.4307368204859348</c:v>
                </c:pt>
                <c:pt idx="9">
                  <c:v>3.9661548145606029</c:v>
                </c:pt>
                <c:pt idx="10">
                  <c:v>2.1068455311365279</c:v>
                </c:pt>
                <c:pt idx="11">
                  <c:v>3.3991755611045229</c:v>
                </c:pt>
                <c:pt idx="12">
                  <c:v>2.3111168473766366</c:v>
                </c:pt>
                <c:pt idx="13">
                  <c:v>0.46277268270176447</c:v>
                </c:pt>
                <c:pt idx="14">
                  <c:v>1.214771921725095</c:v>
                </c:pt>
              </c:numCache>
            </c:numRef>
          </c:val>
          <c:extLst>
            <c:ext xmlns:c16="http://schemas.microsoft.com/office/drawing/2014/chart" uri="{C3380CC4-5D6E-409C-BE32-E72D297353CC}">
              <c16:uniqueId val="{00000002-C047-4EAA-9606-570BA2E7B632}"/>
            </c:ext>
          </c:extLst>
        </c:ser>
        <c:ser>
          <c:idx val="3"/>
          <c:order val="3"/>
          <c:tx>
            <c:strRef>
              <c:f>Graphs!$E$680</c:f>
              <c:strCache>
                <c:ptCount val="1"/>
                <c:pt idx="0">
                  <c:v>Tier 3: CCS</c:v>
                </c:pt>
              </c:strCache>
            </c:strRef>
          </c:tx>
          <c:spPr>
            <a:solidFill>
              <a:schemeClr val="accent4"/>
            </a:solidFill>
            <a:ln>
              <a:noFill/>
            </a:ln>
            <a:effectLst/>
          </c:spPr>
          <c:invertIfNegative val="0"/>
          <c:cat>
            <c:strRef>
              <c:f>Graphs!$A$681:$A$695</c:f>
              <c:strCache>
                <c:ptCount val="15"/>
                <c:pt idx="0">
                  <c:v>Chemicals</c:v>
                </c:pt>
                <c:pt idx="1">
                  <c:v>Non-metallic minerals</c:v>
                </c:pt>
                <c:pt idx="2">
                  <c:v>Refining &amp; fuel processing</c:v>
                </c:pt>
                <c:pt idx="3">
                  <c:v>Iron &amp; steel</c:v>
                </c:pt>
                <c:pt idx="4">
                  <c:v>Nonferrous metals</c:v>
                </c:pt>
                <c:pt idx="5">
                  <c:v>Food, beverage, &amp; tobacco</c:v>
                </c:pt>
                <c:pt idx="6">
                  <c:v>Machinery</c:v>
                </c:pt>
                <c:pt idx="7">
                  <c:v>Other metal products</c:v>
                </c:pt>
                <c:pt idx="8">
                  <c:v>Pulp, paper, &amp; printing</c:v>
                </c:pt>
                <c:pt idx="9">
                  <c:v>Plastic &amp; rubber products</c:v>
                </c:pt>
                <c:pt idx="10">
                  <c:v>Textiles, leather, &amp; apparel</c:v>
                </c:pt>
                <c:pt idx="11">
                  <c:v>Vehicles &amp; transport equipment</c:v>
                </c:pt>
                <c:pt idx="12">
                  <c:v>Electronics</c:v>
                </c:pt>
                <c:pt idx="13">
                  <c:v>Wood &amp; furniture</c:v>
                </c:pt>
                <c:pt idx="14">
                  <c:v>Other manufacturing</c:v>
                </c:pt>
              </c:strCache>
            </c:strRef>
          </c:cat>
          <c:val>
            <c:numRef>
              <c:f>Graphs!$E$681:$E$695</c:f>
              <c:numCache>
                <c:formatCode>0.0</c:formatCode>
                <c:ptCount val="15"/>
                <c:pt idx="0">
                  <c:v>0</c:v>
                </c:pt>
                <c:pt idx="1">
                  <c:v>308.75872104237448</c:v>
                </c:pt>
                <c:pt idx="2">
                  <c:v>0</c:v>
                </c:pt>
                <c:pt idx="3">
                  <c:v>89.802656644002653</c:v>
                </c:pt>
                <c:pt idx="4">
                  <c:v>2.4535446643085579</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047-4EAA-9606-570BA2E7B632}"/>
            </c:ext>
          </c:extLst>
        </c:ser>
        <c:ser>
          <c:idx val="4"/>
          <c:order val="4"/>
          <c:tx>
            <c:strRef>
              <c:f>Graphs!$F$680</c:f>
              <c:strCache>
                <c:ptCount val="1"/>
                <c:pt idx="0">
                  <c:v>Tier 4a: Green H2</c:v>
                </c:pt>
              </c:strCache>
            </c:strRef>
          </c:tx>
          <c:spPr>
            <a:solidFill>
              <a:schemeClr val="accent5"/>
            </a:solidFill>
            <a:ln>
              <a:noFill/>
            </a:ln>
            <a:effectLst/>
          </c:spPr>
          <c:invertIfNegative val="0"/>
          <c:cat>
            <c:strRef>
              <c:f>Graphs!$A$681:$A$695</c:f>
              <c:strCache>
                <c:ptCount val="15"/>
                <c:pt idx="0">
                  <c:v>Chemicals</c:v>
                </c:pt>
                <c:pt idx="1">
                  <c:v>Non-metallic minerals</c:v>
                </c:pt>
                <c:pt idx="2">
                  <c:v>Refining &amp; fuel processing</c:v>
                </c:pt>
                <c:pt idx="3">
                  <c:v>Iron &amp; steel</c:v>
                </c:pt>
                <c:pt idx="4">
                  <c:v>Nonferrous metals</c:v>
                </c:pt>
                <c:pt idx="5">
                  <c:v>Food, beverage, &amp; tobacco</c:v>
                </c:pt>
                <c:pt idx="6">
                  <c:v>Machinery</c:v>
                </c:pt>
                <c:pt idx="7">
                  <c:v>Other metal products</c:v>
                </c:pt>
                <c:pt idx="8">
                  <c:v>Pulp, paper, &amp; printing</c:v>
                </c:pt>
                <c:pt idx="9">
                  <c:v>Plastic &amp; rubber products</c:v>
                </c:pt>
                <c:pt idx="10">
                  <c:v>Textiles, leather, &amp; apparel</c:v>
                </c:pt>
                <c:pt idx="11">
                  <c:v>Vehicles &amp; transport equipment</c:v>
                </c:pt>
                <c:pt idx="12">
                  <c:v>Electronics</c:v>
                </c:pt>
                <c:pt idx="13">
                  <c:v>Wood &amp; furniture</c:v>
                </c:pt>
                <c:pt idx="14">
                  <c:v>Other manufacturing</c:v>
                </c:pt>
              </c:strCache>
            </c:strRef>
          </c:cat>
          <c:val>
            <c:numRef>
              <c:f>Graphs!$F$681:$F$695</c:f>
              <c:numCache>
                <c:formatCode>0.0</c:formatCode>
                <c:ptCount val="15"/>
                <c:pt idx="0">
                  <c:v>66.85541114729385</c:v>
                </c:pt>
                <c:pt idx="1">
                  <c:v>26.462000007263327</c:v>
                </c:pt>
                <c:pt idx="2">
                  <c:v>227.09986289661171</c:v>
                </c:pt>
                <c:pt idx="3">
                  <c:v>49.005773496839623</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C047-4EAA-9606-570BA2E7B632}"/>
            </c:ext>
          </c:extLst>
        </c:ser>
        <c:ser>
          <c:idx val="5"/>
          <c:order val="5"/>
          <c:tx>
            <c:strRef>
              <c:f>Graphs!$G$680</c:f>
              <c:strCache>
                <c:ptCount val="1"/>
                <c:pt idx="0">
                  <c:v>Tier 4b: Chem. Feedstocks</c:v>
                </c:pt>
              </c:strCache>
            </c:strRef>
          </c:tx>
          <c:spPr>
            <a:solidFill>
              <a:schemeClr val="accent6"/>
            </a:solidFill>
            <a:ln>
              <a:noFill/>
            </a:ln>
            <a:effectLst/>
          </c:spPr>
          <c:invertIfNegative val="0"/>
          <c:cat>
            <c:strRef>
              <c:f>Graphs!$A$681:$A$695</c:f>
              <c:strCache>
                <c:ptCount val="15"/>
                <c:pt idx="0">
                  <c:v>Chemicals</c:v>
                </c:pt>
                <c:pt idx="1">
                  <c:v>Non-metallic minerals</c:v>
                </c:pt>
                <c:pt idx="2">
                  <c:v>Refining &amp; fuel processing</c:v>
                </c:pt>
                <c:pt idx="3">
                  <c:v>Iron &amp; steel</c:v>
                </c:pt>
                <c:pt idx="4">
                  <c:v>Nonferrous metals</c:v>
                </c:pt>
                <c:pt idx="5">
                  <c:v>Food, beverage, &amp; tobacco</c:v>
                </c:pt>
                <c:pt idx="6">
                  <c:v>Machinery</c:v>
                </c:pt>
                <c:pt idx="7">
                  <c:v>Other metal products</c:v>
                </c:pt>
                <c:pt idx="8">
                  <c:v>Pulp, paper, &amp; printing</c:v>
                </c:pt>
                <c:pt idx="9">
                  <c:v>Plastic &amp; rubber products</c:v>
                </c:pt>
                <c:pt idx="10">
                  <c:v>Textiles, leather, &amp; apparel</c:v>
                </c:pt>
                <c:pt idx="11">
                  <c:v>Vehicles &amp; transport equipment</c:v>
                </c:pt>
                <c:pt idx="12">
                  <c:v>Electronics</c:v>
                </c:pt>
                <c:pt idx="13">
                  <c:v>Wood &amp; furniture</c:v>
                </c:pt>
                <c:pt idx="14">
                  <c:v>Other manufacturing</c:v>
                </c:pt>
              </c:strCache>
            </c:strRef>
          </c:cat>
          <c:val>
            <c:numRef>
              <c:f>Graphs!$G$681:$G$695</c:f>
              <c:numCache>
                <c:formatCode>0.0</c:formatCode>
                <c:ptCount val="15"/>
                <c:pt idx="0">
                  <c:v>201.15224459934001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9017-46B6-AFA9-AE54F269B05B}"/>
            </c:ext>
          </c:extLst>
        </c:ser>
        <c:dLbls>
          <c:showLegendKey val="0"/>
          <c:showVal val="0"/>
          <c:showCatName val="0"/>
          <c:showSerName val="0"/>
          <c:showPercent val="0"/>
          <c:showBubbleSize val="0"/>
        </c:dLbls>
        <c:gapWidth val="150"/>
        <c:overlap val="100"/>
        <c:axId val="12643680"/>
        <c:axId val="12644160"/>
      </c:barChart>
      <c:catAx>
        <c:axId val="12643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2644160"/>
        <c:crosses val="autoZero"/>
        <c:auto val="1"/>
        <c:lblAlgn val="ctr"/>
        <c:lblOffset val="100"/>
        <c:noMultiLvlLbl val="0"/>
      </c:catAx>
      <c:valAx>
        <c:axId val="1264416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t>Billion $</a:t>
                </a:r>
              </a:p>
            </c:rich>
          </c:tx>
          <c:layout>
            <c:manualLayout>
              <c:xMode val="edge"/>
              <c:yMode val="edge"/>
              <c:x val="0.57276925565042136"/>
              <c:y val="8.096549761157739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2643680"/>
        <c:crosses val="autoZero"/>
        <c:crossBetween val="between"/>
      </c:valAx>
      <c:spPr>
        <a:noFill/>
        <a:ln>
          <a:noFill/>
        </a:ln>
        <a:effectLst/>
      </c:spPr>
    </c:plotArea>
    <c:legend>
      <c:legendPos val="b"/>
      <c:layout>
        <c:manualLayout>
          <c:xMode val="edge"/>
          <c:yMode val="edge"/>
          <c:x val="2.0081316879318648E-2"/>
          <c:y val="0.93131576156953855"/>
          <c:w val="0.96213880444996669"/>
          <c:h val="5.443393084262143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CapEx</a:t>
            </a:r>
            <a:r>
              <a:rPr lang="en-US" sz="1600" baseline="0"/>
              <a:t> Investment for Electrification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barChart>
        <c:barDir val="bar"/>
        <c:grouping val="stacked"/>
        <c:varyColors val="0"/>
        <c:ser>
          <c:idx val="0"/>
          <c:order val="0"/>
          <c:tx>
            <c:strRef>
              <c:f>Graphs!$B$727</c:f>
              <c:strCache>
                <c:ptCount val="1"/>
                <c:pt idx="0">
                  <c:v>Low-Temp and Nonthermal</c:v>
                </c:pt>
              </c:strCache>
            </c:strRef>
          </c:tx>
          <c:spPr>
            <a:solidFill>
              <a:schemeClr val="accent1"/>
            </a:solidFill>
            <a:ln>
              <a:noFill/>
            </a:ln>
            <a:effectLst/>
          </c:spPr>
          <c:invertIfNegative val="0"/>
          <c:cat>
            <c:strRef>
              <c:f>Graphs!$A$728:$A$742</c:f>
              <c:strCache>
                <c:ptCount val="15"/>
                <c:pt idx="0">
                  <c:v>Chemicals</c:v>
                </c:pt>
                <c:pt idx="1">
                  <c:v>Iron &amp; steel</c:v>
                </c:pt>
                <c:pt idx="2">
                  <c:v>Refining &amp; fuel processing</c:v>
                </c:pt>
                <c:pt idx="3">
                  <c:v>Non-metallic minerals</c:v>
                </c:pt>
                <c:pt idx="4">
                  <c:v>Nonferrous metals</c:v>
                </c:pt>
                <c:pt idx="5">
                  <c:v>Food, beverage, &amp; tobacco</c:v>
                </c:pt>
                <c:pt idx="6">
                  <c:v>Machinery</c:v>
                </c:pt>
                <c:pt idx="7">
                  <c:v>Pulp, paper, &amp; printing</c:v>
                </c:pt>
                <c:pt idx="8">
                  <c:v>Other metal products</c:v>
                </c:pt>
                <c:pt idx="9">
                  <c:v>Plastic &amp; rubber products</c:v>
                </c:pt>
                <c:pt idx="10">
                  <c:v>Vehicles &amp; transport equipment</c:v>
                </c:pt>
                <c:pt idx="11">
                  <c:v>Textiles, leather, &amp; apparel</c:v>
                </c:pt>
                <c:pt idx="12">
                  <c:v>Electronics</c:v>
                </c:pt>
                <c:pt idx="13">
                  <c:v>Wood &amp; furniture</c:v>
                </c:pt>
                <c:pt idx="14">
                  <c:v>Other manufacturing</c:v>
                </c:pt>
              </c:strCache>
            </c:strRef>
          </c:cat>
          <c:val>
            <c:numRef>
              <c:f>Graphs!$B$728:$B$742</c:f>
              <c:numCache>
                <c:formatCode>0</c:formatCode>
                <c:ptCount val="15"/>
                <c:pt idx="0">
                  <c:v>113.01156201240926</c:v>
                </c:pt>
                <c:pt idx="1">
                  <c:v>79.07526456796549</c:v>
                </c:pt>
                <c:pt idx="2">
                  <c:v>34.277330906746727</c:v>
                </c:pt>
                <c:pt idx="3">
                  <c:v>3.6102279911907105</c:v>
                </c:pt>
                <c:pt idx="4">
                  <c:v>2.6269189080352535</c:v>
                </c:pt>
                <c:pt idx="5">
                  <c:v>8.5997234079831273</c:v>
                </c:pt>
                <c:pt idx="6">
                  <c:v>1.2967952931118643</c:v>
                </c:pt>
                <c:pt idx="7">
                  <c:v>0.95263842644519436</c:v>
                </c:pt>
                <c:pt idx="8">
                  <c:v>1.7095779252279042</c:v>
                </c:pt>
                <c:pt idx="9">
                  <c:v>2.1241481518766796</c:v>
                </c:pt>
                <c:pt idx="10">
                  <c:v>1.1982384986412074</c:v>
                </c:pt>
                <c:pt idx="11">
                  <c:v>1.6596056263831755</c:v>
                </c:pt>
                <c:pt idx="12">
                  <c:v>0.8074213515670654</c:v>
                </c:pt>
                <c:pt idx="13">
                  <c:v>0.15563538862591222</c:v>
                </c:pt>
                <c:pt idx="14">
                  <c:v>0.41999033548429282</c:v>
                </c:pt>
              </c:numCache>
            </c:numRef>
          </c:val>
          <c:extLst>
            <c:ext xmlns:c16="http://schemas.microsoft.com/office/drawing/2014/chart" uri="{C3380CC4-5D6E-409C-BE32-E72D297353CC}">
              <c16:uniqueId val="{00000000-80A8-47E1-A146-C0D3FE198789}"/>
            </c:ext>
          </c:extLst>
        </c:ser>
        <c:ser>
          <c:idx val="1"/>
          <c:order val="1"/>
          <c:tx>
            <c:strRef>
              <c:f>Graphs!$C$727</c:f>
              <c:strCache>
                <c:ptCount val="1"/>
                <c:pt idx="0">
                  <c:v>Med- and High-Temp</c:v>
                </c:pt>
              </c:strCache>
            </c:strRef>
          </c:tx>
          <c:spPr>
            <a:solidFill>
              <a:schemeClr val="accent2"/>
            </a:solidFill>
            <a:ln>
              <a:noFill/>
            </a:ln>
            <a:effectLst/>
          </c:spPr>
          <c:invertIfNegative val="0"/>
          <c:cat>
            <c:strRef>
              <c:f>Graphs!$A$728:$A$742</c:f>
              <c:strCache>
                <c:ptCount val="15"/>
                <c:pt idx="0">
                  <c:v>Chemicals</c:v>
                </c:pt>
                <c:pt idx="1">
                  <c:v>Iron &amp; steel</c:v>
                </c:pt>
                <c:pt idx="2">
                  <c:v>Refining &amp; fuel processing</c:v>
                </c:pt>
                <c:pt idx="3">
                  <c:v>Non-metallic minerals</c:v>
                </c:pt>
                <c:pt idx="4">
                  <c:v>Nonferrous metals</c:v>
                </c:pt>
                <c:pt idx="5">
                  <c:v>Food, beverage, &amp; tobacco</c:v>
                </c:pt>
                <c:pt idx="6">
                  <c:v>Machinery</c:v>
                </c:pt>
                <c:pt idx="7">
                  <c:v>Pulp, paper, &amp; printing</c:v>
                </c:pt>
                <c:pt idx="8">
                  <c:v>Other metal products</c:v>
                </c:pt>
                <c:pt idx="9">
                  <c:v>Plastic &amp; rubber products</c:v>
                </c:pt>
                <c:pt idx="10">
                  <c:v>Vehicles &amp; transport equipment</c:v>
                </c:pt>
                <c:pt idx="11">
                  <c:v>Textiles, leather, &amp; apparel</c:v>
                </c:pt>
                <c:pt idx="12">
                  <c:v>Electronics</c:v>
                </c:pt>
                <c:pt idx="13">
                  <c:v>Wood &amp; furniture</c:v>
                </c:pt>
                <c:pt idx="14">
                  <c:v>Other manufacturing</c:v>
                </c:pt>
              </c:strCache>
            </c:strRef>
          </c:cat>
          <c:val>
            <c:numRef>
              <c:f>Graphs!$C$728:$C$742</c:f>
              <c:numCache>
                <c:formatCode>0</c:formatCode>
                <c:ptCount val="15"/>
                <c:pt idx="0">
                  <c:v>85.667101565284412</c:v>
                </c:pt>
                <c:pt idx="1">
                  <c:v>36.434621956123458</c:v>
                </c:pt>
                <c:pt idx="2">
                  <c:v>7.1072230615094876</c:v>
                </c:pt>
                <c:pt idx="3">
                  <c:v>36.431252047336528</c:v>
                </c:pt>
                <c:pt idx="4">
                  <c:v>31.258743120977474</c:v>
                </c:pt>
                <c:pt idx="5">
                  <c:v>0.26434420388216223</c:v>
                </c:pt>
                <c:pt idx="6">
                  <c:v>6.4437668097104606</c:v>
                </c:pt>
                <c:pt idx="7">
                  <c:v>6.4307368204859348</c:v>
                </c:pt>
                <c:pt idx="8">
                  <c:v>5.6571491926235389</c:v>
                </c:pt>
                <c:pt idx="9">
                  <c:v>3.9661548145606029</c:v>
                </c:pt>
                <c:pt idx="10">
                  <c:v>3.3991755611045229</c:v>
                </c:pt>
                <c:pt idx="11">
                  <c:v>2.1068455311365279</c:v>
                </c:pt>
                <c:pt idx="12">
                  <c:v>2.3111168473766366</c:v>
                </c:pt>
                <c:pt idx="13">
                  <c:v>0.46277268270176447</c:v>
                </c:pt>
                <c:pt idx="14">
                  <c:v>1.214771921725095</c:v>
                </c:pt>
              </c:numCache>
            </c:numRef>
          </c:val>
          <c:extLst>
            <c:ext xmlns:c16="http://schemas.microsoft.com/office/drawing/2014/chart" uri="{C3380CC4-5D6E-409C-BE32-E72D297353CC}">
              <c16:uniqueId val="{00000001-80A8-47E1-A146-C0D3FE198789}"/>
            </c:ext>
          </c:extLst>
        </c:ser>
        <c:dLbls>
          <c:showLegendKey val="0"/>
          <c:showVal val="0"/>
          <c:showCatName val="0"/>
          <c:showSerName val="0"/>
          <c:showPercent val="0"/>
          <c:showBubbleSize val="0"/>
        </c:dLbls>
        <c:gapWidth val="150"/>
        <c:overlap val="100"/>
        <c:axId val="12643680"/>
        <c:axId val="12644160"/>
      </c:barChart>
      <c:catAx>
        <c:axId val="12643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2644160"/>
        <c:crosses val="autoZero"/>
        <c:auto val="1"/>
        <c:lblAlgn val="ctr"/>
        <c:lblOffset val="100"/>
        <c:noMultiLvlLbl val="0"/>
      </c:catAx>
      <c:valAx>
        <c:axId val="1264416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t>Billion $</a:t>
                </a:r>
              </a:p>
            </c:rich>
          </c:tx>
          <c:layout>
            <c:manualLayout>
              <c:xMode val="edge"/>
              <c:yMode val="edge"/>
              <c:x val="0.57276925565042136"/>
              <c:y val="8.096549761157739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264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Percent</a:t>
            </a:r>
            <a:r>
              <a:rPr lang="en-US" sz="1600" baseline="0"/>
              <a:t> Change in Product Demand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Graphs!$B$776</c:f>
              <c:strCache>
                <c:ptCount val="1"/>
                <c:pt idx="0">
                  <c:v>Natural Change in Product Demand</c:v>
                </c:pt>
              </c:strCache>
            </c:strRef>
          </c:tx>
          <c:spPr>
            <a:solidFill>
              <a:schemeClr val="accent1"/>
            </a:solidFill>
            <a:ln>
              <a:noFill/>
            </a:ln>
            <a:effectLst/>
          </c:spPr>
          <c:invertIfNegative val="0"/>
          <c:cat>
            <c:strRef>
              <c:f>Graphs!$A$777:$A$791</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Graphs!$B$777:$B$791</c:f>
              <c:numCache>
                <c:formatCode>0%</c:formatCode>
                <c:ptCount val="15"/>
                <c:pt idx="0">
                  <c:v>-0.21398002853067044</c:v>
                </c:pt>
                <c:pt idx="1">
                  <c:v>0.45422656140354478</c:v>
                </c:pt>
                <c:pt idx="2">
                  <c:v>2.732240437158473E-2</c:v>
                </c:pt>
                <c:pt idx="3">
                  <c:v>-0.29367720465890179</c:v>
                </c:pt>
                <c:pt idx="4">
                  <c:v>0.14999999999999991</c:v>
                </c:pt>
                <c:pt idx="5">
                  <c:v>0</c:v>
                </c:pt>
                <c:pt idx="6">
                  <c:v>-0.21398002853067044</c:v>
                </c:pt>
                <c:pt idx="7">
                  <c:v>0</c:v>
                </c:pt>
                <c:pt idx="8">
                  <c:v>-0.21398002853067044</c:v>
                </c:pt>
                <c:pt idx="9">
                  <c:v>-0.21398002853067044</c:v>
                </c:pt>
                <c:pt idx="10">
                  <c:v>0</c:v>
                </c:pt>
                <c:pt idx="11">
                  <c:v>-0.21398002853067044</c:v>
                </c:pt>
                <c:pt idx="12">
                  <c:v>0.97478991596638664</c:v>
                </c:pt>
                <c:pt idx="13">
                  <c:v>0</c:v>
                </c:pt>
                <c:pt idx="14">
                  <c:v>0</c:v>
                </c:pt>
              </c:numCache>
            </c:numRef>
          </c:val>
          <c:extLst>
            <c:ext xmlns:c16="http://schemas.microsoft.com/office/drawing/2014/chart" uri="{C3380CC4-5D6E-409C-BE32-E72D297353CC}">
              <c16:uniqueId val="{00000000-D113-4B3D-91F6-D339D9325A51}"/>
            </c:ext>
          </c:extLst>
        </c:ser>
        <c:ser>
          <c:idx val="1"/>
          <c:order val="1"/>
          <c:tx>
            <c:strRef>
              <c:f>Graphs!$C$776</c:f>
              <c:strCache>
                <c:ptCount val="1"/>
                <c:pt idx="0">
                  <c:v>Change from Material Efficiency and Product Longevity Policy Interventions</c:v>
                </c:pt>
              </c:strCache>
            </c:strRef>
          </c:tx>
          <c:spPr>
            <a:solidFill>
              <a:srgbClr val="92D050"/>
            </a:solidFill>
            <a:ln>
              <a:noFill/>
            </a:ln>
            <a:effectLst/>
          </c:spPr>
          <c:invertIfNegative val="0"/>
          <c:cat>
            <c:strRef>
              <c:f>Graphs!$A$777:$A$791</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Graphs!$C$777:$C$791</c:f>
              <c:numCache>
                <c:formatCode>0%</c:formatCode>
                <c:ptCount val="15"/>
                <c:pt idx="0">
                  <c:v>-0.27314194008559206</c:v>
                </c:pt>
                <c:pt idx="1">
                  <c:v>-0.34606083033018048</c:v>
                </c:pt>
                <c:pt idx="2">
                  <c:v>0</c:v>
                </c:pt>
                <c:pt idx="3">
                  <c:v>-0.29312396006655578</c:v>
                </c:pt>
                <c:pt idx="4">
                  <c:v>-0.39962500000000001</c:v>
                </c:pt>
                <c:pt idx="5">
                  <c:v>0</c:v>
                </c:pt>
                <c:pt idx="6">
                  <c:v>-0.19650499286733239</c:v>
                </c:pt>
                <c:pt idx="7">
                  <c:v>0</c:v>
                </c:pt>
                <c:pt idx="8">
                  <c:v>-0.19650499286733239</c:v>
                </c:pt>
                <c:pt idx="9">
                  <c:v>-0.19650499286733239</c:v>
                </c:pt>
                <c:pt idx="10">
                  <c:v>-5.0000000000000044E-2</c:v>
                </c:pt>
                <c:pt idx="11">
                  <c:v>-0.19650499286733239</c:v>
                </c:pt>
                <c:pt idx="12">
                  <c:v>0</c:v>
                </c:pt>
                <c:pt idx="13">
                  <c:v>0</c:v>
                </c:pt>
                <c:pt idx="14">
                  <c:v>0</c:v>
                </c:pt>
              </c:numCache>
            </c:numRef>
          </c:val>
          <c:extLst>
            <c:ext xmlns:c16="http://schemas.microsoft.com/office/drawing/2014/chart" uri="{C3380CC4-5D6E-409C-BE32-E72D297353CC}">
              <c16:uniqueId val="{00000001-D113-4B3D-91F6-D339D9325A51}"/>
            </c:ext>
          </c:extLst>
        </c:ser>
        <c:dLbls>
          <c:showLegendKey val="0"/>
          <c:showVal val="0"/>
          <c:showCatName val="0"/>
          <c:showSerName val="0"/>
          <c:showPercent val="0"/>
          <c:showBubbleSize val="0"/>
        </c:dLbls>
        <c:gapWidth val="175"/>
        <c:overlap val="100"/>
        <c:axId val="1932474000"/>
        <c:axId val="1932492720"/>
      </c:barChart>
      <c:lineChart>
        <c:grouping val="standard"/>
        <c:varyColors val="0"/>
        <c:ser>
          <c:idx val="2"/>
          <c:order val="2"/>
          <c:tx>
            <c:strRef>
              <c:f>Graphs!$D$776</c:f>
              <c:strCache>
                <c:ptCount val="1"/>
                <c:pt idx="0">
                  <c:v>Total</c:v>
                </c:pt>
              </c:strCache>
            </c:strRef>
          </c:tx>
          <c:spPr>
            <a:ln w="28575" cap="rnd">
              <a:noFill/>
              <a:round/>
            </a:ln>
            <a:effectLst/>
          </c:spPr>
          <c:marker>
            <c:symbol val="diamond"/>
            <c:size val="7"/>
            <c:spPr>
              <a:solidFill>
                <a:srgbClr val="FF0000"/>
              </a:solidFill>
              <a:ln w="9525">
                <a:solidFill>
                  <a:schemeClr val="bg1"/>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Graphs!$A$777:$A$791</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Graphs!$D$777:$D$791</c:f>
              <c:numCache>
                <c:formatCode>0%</c:formatCode>
                <c:ptCount val="15"/>
                <c:pt idx="0">
                  <c:v>-0.4871219686162625</c:v>
                </c:pt>
                <c:pt idx="1">
                  <c:v>0.1081657310733643</c:v>
                </c:pt>
                <c:pt idx="2">
                  <c:v>2.732240437158473E-2</c:v>
                </c:pt>
                <c:pt idx="3">
                  <c:v>-0.58680116472545762</c:v>
                </c:pt>
                <c:pt idx="4">
                  <c:v>-0.2496250000000001</c:v>
                </c:pt>
                <c:pt idx="5">
                  <c:v>0</c:v>
                </c:pt>
                <c:pt idx="6">
                  <c:v>-0.4104850213980028</c:v>
                </c:pt>
                <c:pt idx="7">
                  <c:v>0</c:v>
                </c:pt>
                <c:pt idx="8">
                  <c:v>-0.4104850213980028</c:v>
                </c:pt>
                <c:pt idx="9">
                  <c:v>-0.4104850213980028</c:v>
                </c:pt>
                <c:pt idx="10">
                  <c:v>-5.0000000000000044E-2</c:v>
                </c:pt>
                <c:pt idx="11">
                  <c:v>-0.4104850213980028</c:v>
                </c:pt>
                <c:pt idx="12">
                  <c:v>0.97478991596638664</c:v>
                </c:pt>
                <c:pt idx="13">
                  <c:v>0</c:v>
                </c:pt>
                <c:pt idx="14">
                  <c:v>0</c:v>
                </c:pt>
              </c:numCache>
            </c:numRef>
          </c:val>
          <c:smooth val="0"/>
          <c:extLst>
            <c:ext xmlns:c16="http://schemas.microsoft.com/office/drawing/2014/chart" uri="{C3380CC4-5D6E-409C-BE32-E72D297353CC}">
              <c16:uniqueId val="{00000000-4B4D-40AB-96E7-EF21B34BCFB8}"/>
            </c:ext>
          </c:extLst>
        </c:ser>
        <c:dLbls>
          <c:showLegendKey val="0"/>
          <c:showVal val="0"/>
          <c:showCatName val="0"/>
          <c:showSerName val="0"/>
          <c:showPercent val="0"/>
          <c:showBubbleSize val="0"/>
        </c:dLbls>
        <c:marker val="1"/>
        <c:smooth val="0"/>
        <c:axId val="1932474000"/>
        <c:axId val="1932492720"/>
      </c:lineChart>
      <c:catAx>
        <c:axId val="1932474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2492720"/>
        <c:crosses val="autoZero"/>
        <c:auto val="1"/>
        <c:lblAlgn val="ctr"/>
        <c:lblOffset val="100"/>
        <c:noMultiLvlLbl val="0"/>
      </c:catAx>
      <c:valAx>
        <c:axId val="1932492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9324740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Composition of Tier 1 Energy</a:t>
            </a:r>
            <a:r>
              <a:rPr lang="en-US" sz="1600" baseline="0"/>
              <a:t> Use Reduction</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2-056F-49D7-ADC9-441D02FBF2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056F-49D7-ADC9-441D02FBF2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056F-49D7-ADC9-441D02FBF2CD}"/>
              </c:ext>
            </c:extLst>
          </c:dPt>
          <c:dLbls>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056F-49D7-ADC9-441D02FBF2C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Graphs!$A$826:$A$828</c:f>
              <c:strCache>
                <c:ptCount val="3"/>
                <c:pt idx="0">
                  <c:v>Material efficiency</c:v>
                </c:pt>
                <c:pt idx="1">
                  <c:v>Product longevity</c:v>
                </c:pt>
                <c:pt idx="2">
                  <c:v>Energy efficiency</c:v>
                </c:pt>
              </c:strCache>
            </c:strRef>
          </c:cat>
          <c:val>
            <c:numRef>
              <c:f>Graphs!$C$826:$C$828</c:f>
              <c:numCache>
                <c:formatCode>0%</c:formatCode>
                <c:ptCount val="3"/>
                <c:pt idx="0">
                  <c:v>0.33969015369020289</c:v>
                </c:pt>
                <c:pt idx="1">
                  <c:v>0.26810856282542284</c:v>
                </c:pt>
                <c:pt idx="2">
                  <c:v>0.39220128348437427</c:v>
                </c:pt>
              </c:numCache>
            </c:numRef>
          </c:val>
          <c:extLst>
            <c:ext xmlns:c16="http://schemas.microsoft.com/office/drawing/2014/chart" uri="{C3380CC4-5D6E-409C-BE32-E72D297353CC}">
              <c16:uniqueId val="{00000000-056F-49D7-ADC9-441D02FBF2C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Composition of Tier 2a Energy</a:t>
            </a:r>
            <a:r>
              <a:rPr lang="en-US" sz="1600" baseline="0"/>
              <a:t> Use Reduction</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4AD3-4EAF-8E28-3059A4046CF6}"/>
              </c:ext>
            </c:extLst>
          </c:dPt>
          <c:dPt>
            <c:idx val="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3-4AD3-4EAF-8E28-3059A4046CF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AD3-4EAF-8E28-3059A4046CF6}"/>
              </c:ext>
            </c:extLst>
          </c:dPt>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4AD3-4EAF-8E28-3059A4046CF6}"/>
                </c:ext>
              </c:extLst>
            </c:dLbl>
            <c:dLbl>
              <c:idx val="1"/>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4AD3-4EAF-8E28-3059A4046CF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Graphs!$A$844:$A$846</c:f>
              <c:strCache>
                <c:ptCount val="3"/>
                <c:pt idx="0">
                  <c:v>Secondary steel</c:v>
                </c:pt>
                <c:pt idx="1">
                  <c:v>Non-thermal electrification</c:v>
                </c:pt>
                <c:pt idx="2">
                  <c:v>Low-temp. thermal elec.</c:v>
                </c:pt>
              </c:strCache>
            </c:strRef>
          </c:cat>
          <c:val>
            <c:numRef>
              <c:f>Graphs!$C$844:$C$846</c:f>
              <c:numCache>
                <c:formatCode>0%</c:formatCode>
                <c:ptCount val="3"/>
                <c:pt idx="0">
                  <c:v>0.29423889287643468</c:v>
                </c:pt>
                <c:pt idx="1">
                  <c:v>0.14836548431880794</c:v>
                </c:pt>
                <c:pt idx="2">
                  <c:v>0.55739562280475785</c:v>
                </c:pt>
              </c:numCache>
            </c:numRef>
          </c:val>
          <c:extLst>
            <c:ext xmlns:c16="http://schemas.microsoft.com/office/drawing/2014/chart" uri="{C3380CC4-5D6E-409C-BE32-E72D297353CC}">
              <c16:uniqueId val="{00000006-4AD3-4EAF-8E28-3059A4046CF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Composition of Tier 2b Energy</a:t>
            </a:r>
            <a:r>
              <a:rPr lang="en-US" sz="1600" baseline="0"/>
              <a:t> Use Reduction</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F73-4331-948B-1710C1C6B3F6}"/>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2F73-4331-948B-1710C1C6B3F6}"/>
              </c:ext>
            </c:extLst>
          </c:dPt>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2F73-4331-948B-1710C1C6B3F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Graphs!$A$862:$A$863</c:f>
              <c:strCache>
                <c:ptCount val="2"/>
                <c:pt idx="0">
                  <c:v>Medium-temp electrification</c:v>
                </c:pt>
                <c:pt idx="1">
                  <c:v>High-temp electrification</c:v>
                </c:pt>
              </c:strCache>
            </c:strRef>
          </c:cat>
          <c:val>
            <c:numRef>
              <c:f>Graphs!$C$862:$C$863</c:f>
              <c:numCache>
                <c:formatCode>0%</c:formatCode>
                <c:ptCount val="2"/>
                <c:pt idx="0">
                  <c:v>0.41981326221725879</c:v>
                </c:pt>
                <c:pt idx="1">
                  <c:v>0.58018673778274188</c:v>
                </c:pt>
              </c:numCache>
            </c:numRef>
          </c:val>
          <c:extLst>
            <c:ext xmlns:c16="http://schemas.microsoft.com/office/drawing/2014/chart" uri="{C3380CC4-5D6E-409C-BE32-E72D297353CC}">
              <c16:uniqueId val="{00000006-2F73-4331-948B-1710C1C6B3F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r>
              <a:rPr lang="en-US" sz="1500" b="1"/>
              <a:t>Industrial Sector Non-Feedstock Energy Use by Fuel (2022)</a:t>
            </a:r>
          </a:p>
        </c:rich>
      </c:tx>
      <c:layout>
        <c:manualLayout>
          <c:xMode val="edge"/>
          <c:yMode val="edge"/>
          <c:x val="0.1027284067658745"/>
          <c:y val="2.9697298013554752E-2"/>
        </c:manualLayout>
      </c:layout>
      <c:overlay val="0"/>
      <c:spPr>
        <a:noFill/>
        <a:ln>
          <a:noFill/>
        </a:ln>
        <a:effectLst/>
      </c:spPr>
      <c:txPr>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74889057326406"/>
          <c:y val="0.38231830210763884"/>
          <c:w val="0.85520687797314998"/>
          <c:h val="0.47121083912440104"/>
        </c:manualLayout>
      </c:layout>
      <c:barChart>
        <c:barDir val="bar"/>
        <c:grouping val="stacked"/>
        <c:varyColors val="0"/>
        <c:ser>
          <c:idx val="0"/>
          <c:order val="0"/>
          <c:tx>
            <c:strRef>
              <c:f>Graphs!$B$905</c:f>
              <c:strCache>
                <c:ptCount val="1"/>
                <c:pt idx="0">
                  <c:v>Coal and Related Byproducts</c:v>
                </c:pt>
              </c:strCache>
            </c:strRef>
          </c:tx>
          <c:spPr>
            <a:solidFill>
              <a:schemeClr val="tx1">
                <a:lumMod val="85000"/>
                <a:lumOff val="15000"/>
              </a:schemeClr>
            </a:solidFill>
            <a:ln>
              <a:solidFill>
                <a:schemeClr val="bg1"/>
              </a:solidFill>
            </a:ln>
            <a:effectLst/>
          </c:spPr>
          <c:invertIfNegative val="0"/>
          <c:cat>
            <c:strRef>
              <c:f>Graphs!$A$906:$A$908</c:f>
              <c:strCache>
                <c:ptCount val="3"/>
                <c:pt idx="0">
                  <c:v>China</c:v>
                </c:pt>
                <c:pt idx="1">
                  <c:v>Indonesia</c:v>
                </c:pt>
                <c:pt idx="2">
                  <c:v>Viet Nam</c:v>
                </c:pt>
              </c:strCache>
            </c:strRef>
          </c:cat>
          <c:val>
            <c:numRef>
              <c:f>Graphs!$B$906:$B$908</c:f>
              <c:numCache>
                <c:formatCode>0%</c:formatCode>
                <c:ptCount val="3"/>
                <c:pt idx="0">
                  <c:v>0.43534545478360742</c:v>
                </c:pt>
                <c:pt idx="1">
                  <c:v>0.5677485269352216</c:v>
                </c:pt>
                <c:pt idx="2">
                  <c:v>0.59587843699389409</c:v>
                </c:pt>
              </c:numCache>
            </c:numRef>
          </c:val>
          <c:extLst>
            <c:ext xmlns:c16="http://schemas.microsoft.com/office/drawing/2014/chart" uri="{C3380CC4-5D6E-409C-BE32-E72D297353CC}">
              <c16:uniqueId val="{00000000-4445-451C-AD6C-624E51627B49}"/>
            </c:ext>
          </c:extLst>
        </c:ser>
        <c:ser>
          <c:idx val="1"/>
          <c:order val="1"/>
          <c:tx>
            <c:strRef>
              <c:f>Graphs!$C$905</c:f>
              <c:strCache>
                <c:ptCount val="1"/>
                <c:pt idx="0">
                  <c:v>Petroleum</c:v>
                </c:pt>
              </c:strCache>
            </c:strRef>
          </c:tx>
          <c:spPr>
            <a:solidFill>
              <a:schemeClr val="bg1">
                <a:lumMod val="50000"/>
              </a:schemeClr>
            </a:solidFill>
            <a:ln>
              <a:solidFill>
                <a:schemeClr val="bg1"/>
              </a:solidFill>
            </a:ln>
            <a:effectLst/>
          </c:spPr>
          <c:invertIfNegative val="0"/>
          <c:cat>
            <c:strRef>
              <c:f>Graphs!$A$906:$A$908</c:f>
              <c:strCache>
                <c:ptCount val="3"/>
                <c:pt idx="0">
                  <c:v>China</c:v>
                </c:pt>
                <c:pt idx="1">
                  <c:v>Indonesia</c:v>
                </c:pt>
                <c:pt idx="2">
                  <c:v>Viet Nam</c:v>
                </c:pt>
              </c:strCache>
            </c:strRef>
          </c:cat>
          <c:val>
            <c:numRef>
              <c:f>Graphs!$C$906:$C$908</c:f>
              <c:numCache>
                <c:formatCode>0%</c:formatCode>
                <c:ptCount val="3"/>
                <c:pt idx="0">
                  <c:v>0.16634498617992791</c:v>
                </c:pt>
                <c:pt idx="1">
                  <c:v>2.8817615940715233E-2</c:v>
                </c:pt>
                <c:pt idx="2">
                  <c:v>7.8940860343422126E-2</c:v>
                </c:pt>
              </c:numCache>
            </c:numRef>
          </c:val>
          <c:extLst>
            <c:ext xmlns:c16="http://schemas.microsoft.com/office/drawing/2014/chart" uri="{C3380CC4-5D6E-409C-BE32-E72D297353CC}">
              <c16:uniqueId val="{00000001-4445-451C-AD6C-624E51627B49}"/>
            </c:ext>
          </c:extLst>
        </c:ser>
        <c:ser>
          <c:idx val="2"/>
          <c:order val="2"/>
          <c:tx>
            <c:strRef>
              <c:f>Graphs!$D$905</c:f>
              <c:strCache>
                <c:ptCount val="1"/>
                <c:pt idx="0">
                  <c:v>Natural Gas</c:v>
                </c:pt>
              </c:strCache>
            </c:strRef>
          </c:tx>
          <c:spPr>
            <a:solidFill>
              <a:schemeClr val="accent1">
                <a:lumMod val="40000"/>
                <a:lumOff val="60000"/>
              </a:schemeClr>
            </a:solidFill>
            <a:ln>
              <a:solidFill>
                <a:schemeClr val="bg1"/>
              </a:solidFill>
            </a:ln>
            <a:effectLst/>
          </c:spPr>
          <c:invertIfNegative val="0"/>
          <c:cat>
            <c:strRef>
              <c:f>Graphs!$A$906:$A$908</c:f>
              <c:strCache>
                <c:ptCount val="3"/>
                <c:pt idx="0">
                  <c:v>China</c:v>
                </c:pt>
                <c:pt idx="1">
                  <c:v>Indonesia</c:v>
                </c:pt>
                <c:pt idx="2">
                  <c:v>Viet Nam</c:v>
                </c:pt>
              </c:strCache>
            </c:strRef>
          </c:cat>
          <c:val>
            <c:numRef>
              <c:f>Graphs!$D$906:$D$908</c:f>
              <c:numCache>
                <c:formatCode>0%</c:formatCode>
                <c:ptCount val="3"/>
                <c:pt idx="0">
                  <c:v>8.5426677462211761E-2</c:v>
                </c:pt>
                <c:pt idx="1">
                  <c:v>5.3582774692347651E-2</c:v>
                </c:pt>
                <c:pt idx="2">
                  <c:v>1.406707090685505E-2</c:v>
                </c:pt>
              </c:numCache>
            </c:numRef>
          </c:val>
          <c:extLst>
            <c:ext xmlns:c16="http://schemas.microsoft.com/office/drawing/2014/chart" uri="{C3380CC4-5D6E-409C-BE32-E72D297353CC}">
              <c16:uniqueId val="{00000002-4445-451C-AD6C-624E51627B49}"/>
            </c:ext>
          </c:extLst>
        </c:ser>
        <c:ser>
          <c:idx val="3"/>
          <c:order val="3"/>
          <c:tx>
            <c:strRef>
              <c:f>Graphs!$E$905</c:f>
              <c:strCache>
                <c:ptCount val="1"/>
                <c:pt idx="0">
                  <c:v>Bioenergy and Waste</c:v>
                </c:pt>
              </c:strCache>
            </c:strRef>
          </c:tx>
          <c:spPr>
            <a:solidFill>
              <a:srgbClr val="00B050"/>
            </a:solidFill>
            <a:ln>
              <a:solidFill>
                <a:schemeClr val="bg1"/>
              </a:solidFill>
            </a:ln>
            <a:effectLst/>
          </c:spPr>
          <c:invertIfNegative val="0"/>
          <c:cat>
            <c:strRef>
              <c:f>Graphs!$A$906:$A$908</c:f>
              <c:strCache>
                <c:ptCount val="3"/>
                <c:pt idx="0">
                  <c:v>China</c:v>
                </c:pt>
                <c:pt idx="1">
                  <c:v>Indonesia</c:v>
                </c:pt>
                <c:pt idx="2">
                  <c:v>Viet Nam</c:v>
                </c:pt>
              </c:strCache>
            </c:strRef>
          </c:cat>
          <c:val>
            <c:numRef>
              <c:f>Graphs!$E$906:$E$908</c:f>
              <c:numCache>
                <c:formatCode>0%</c:formatCode>
                <c:ptCount val="3"/>
                <c:pt idx="0">
                  <c:v>0</c:v>
                </c:pt>
                <c:pt idx="1">
                  <c:v>8.6733313407480736E-2</c:v>
                </c:pt>
                <c:pt idx="2">
                  <c:v>0.10721722932628748</c:v>
                </c:pt>
              </c:numCache>
            </c:numRef>
          </c:val>
          <c:extLst>
            <c:ext xmlns:c16="http://schemas.microsoft.com/office/drawing/2014/chart" uri="{C3380CC4-5D6E-409C-BE32-E72D297353CC}">
              <c16:uniqueId val="{00000003-4445-451C-AD6C-624E51627B49}"/>
            </c:ext>
          </c:extLst>
        </c:ser>
        <c:ser>
          <c:idx val="4"/>
          <c:order val="4"/>
          <c:tx>
            <c:strRef>
              <c:f>Graphs!$F$905</c:f>
              <c:strCache>
                <c:ptCount val="1"/>
                <c:pt idx="0">
                  <c:v>Purchased Heat</c:v>
                </c:pt>
              </c:strCache>
            </c:strRef>
          </c:tx>
          <c:spPr>
            <a:solidFill>
              <a:srgbClr val="C00000"/>
            </a:solidFill>
            <a:ln>
              <a:solidFill>
                <a:schemeClr val="bg1"/>
              </a:solidFill>
            </a:ln>
            <a:effectLst/>
          </c:spPr>
          <c:invertIfNegative val="0"/>
          <c:cat>
            <c:strRef>
              <c:f>Graphs!$A$906:$A$908</c:f>
              <c:strCache>
                <c:ptCount val="3"/>
                <c:pt idx="0">
                  <c:v>China</c:v>
                </c:pt>
                <c:pt idx="1">
                  <c:v>Indonesia</c:v>
                </c:pt>
                <c:pt idx="2">
                  <c:v>Viet Nam</c:v>
                </c:pt>
              </c:strCache>
            </c:strRef>
          </c:cat>
          <c:val>
            <c:numRef>
              <c:f>Graphs!$F$906:$F$908</c:f>
              <c:numCache>
                <c:formatCode>0%</c:formatCode>
                <c:ptCount val="3"/>
                <c:pt idx="0">
                  <c:v>8.5278984598547908E-2</c:v>
                </c:pt>
                <c:pt idx="1">
                  <c:v>0</c:v>
                </c:pt>
                <c:pt idx="2">
                  <c:v>0</c:v>
                </c:pt>
              </c:numCache>
            </c:numRef>
          </c:val>
          <c:extLst>
            <c:ext xmlns:c16="http://schemas.microsoft.com/office/drawing/2014/chart" uri="{C3380CC4-5D6E-409C-BE32-E72D297353CC}">
              <c16:uniqueId val="{00000004-4445-451C-AD6C-624E51627B49}"/>
            </c:ext>
          </c:extLst>
        </c:ser>
        <c:ser>
          <c:idx val="5"/>
          <c:order val="5"/>
          <c:tx>
            <c:strRef>
              <c:f>Graphs!$G$905</c:f>
              <c:strCache>
                <c:ptCount val="1"/>
                <c:pt idx="0">
                  <c:v>Electricity</c:v>
                </c:pt>
              </c:strCache>
            </c:strRef>
          </c:tx>
          <c:spPr>
            <a:solidFill>
              <a:srgbClr val="FFC000"/>
            </a:solidFill>
            <a:ln>
              <a:solidFill>
                <a:schemeClr val="bg1"/>
              </a:solidFill>
            </a:ln>
            <a:effectLst/>
          </c:spPr>
          <c:invertIfNegative val="0"/>
          <c:cat>
            <c:strRef>
              <c:f>Graphs!$A$906:$A$908</c:f>
              <c:strCache>
                <c:ptCount val="3"/>
                <c:pt idx="0">
                  <c:v>China</c:v>
                </c:pt>
                <c:pt idx="1">
                  <c:v>Indonesia</c:v>
                </c:pt>
                <c:pt idx="2">
                  <c:v>Viet Nam</c:v>
                </c:pt>
              </c:strCache>
            </c:strRef>
          </c:cat>
          <c:val>
            <c:numRef>
              <c:f>Graphs!$G$906:$G$908</c:f>
              <c:numCache>
                <c:formatCode>0%</c:formatCode>
                <c:ptCount val="3"/>
                <c:pt idx="0">
                  <c:v>0.22760389697570532</c:v>
                </c:pt>
                <c:pt idx="1">
                  <c:v>0.2631177690242345</c:v>
                </c:pt>
                <c:pt idx="2">
                  <c:v>0.20389640242954099</c:v>
                </c:pt>
              </c:numCache>
            </c:numRef>
          </c:val>
          <c:extLst>
            <c:ext xmlns:c16="http://schemas.microsoft.com/office/drawing/2014/chart" uri="{C3380CC4-5D6E-409C-BE32-E72D297353CC}">
              <c16:uniqueId val="{00000005-4445-451C-AD6C-624E51627B49}"/>
            </c:ext>
          </c:extLst>
        </c:ser>
        <c:dLbls>
          <c:showLegendKey val="0"/>
          <c:showVal val="0"/>
          <c:showCatName val="0"/>
          <c:showSerName val="0"/>
          <c:showPercent val="0"/>
          <c:showBubbleSize val="0"/>
        </c:dLbls>
        <c:gapWidth val="75"/>
        <c:overlap val="100"/>
        <c:axId val="446734815"/>
        <c:axId val="446729055"/>
      </c:barChart>
      <c:catAx>
        <c:axId val="446734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6729055"/>
        <c:crosses val="autoZero"/>
        <c:auto val="1"/>
        <c:lblAlgn val="ctr"/>
        <c:lblOffset val="100"/>
        <c:noMultiLvlLbl val="0"/>
      </c:catAx>
      <c:valAx>
        <c:axId val="44672905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6734815"/>
        <c:crosses val="max"/>
        <c:crossBetween val="between"/>
      </c:valAx>
      <c:spPr>
        <a:noFill/>
        <a:ln>
          <a:noFill/>
        </a:ln>
        <a:effectLst/>
      </c:spPr>
    </c:plotArea>
    <c:legend>
      <c:legendPos val="t"/>
      <c:layout>
        <c:manualLayout>
          <c:xMode val="edge"/>
          <c:yMode val="edge"/>
          <c:x val="0.1065408767276905"/>
          <c:y val="0.15890431780006159"/>
          <c:w val="0.8631561200619966"/>
          <c:h val="0.18316763384244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r>
              <a:rPr lang="en-US" sz="1500" b="1"/>
              <a:t>Industrial Sector Energy Use by Fuel (2022)</a:t>
            </a:r>
          </a:p>
        </c:rich>
      </c:tx>
      <c:layout>
        <c:manualLayout>
          <c:xMode val="edge"/>
          <c:yMode val="edge"/>
          <c:x val="0.10597283012582488"/>
          <c:y val="3.9092199609858436E-2"/>
        </c:manualLayout>
      </c:layout>
      <c:overlay val="0"/>
      <c:spPr>
        <a:noFill/>
        <a:ln>
          <a:noFill/>
        </a:ln>
        <a:effectLst/>
      </c:spPr>
      <c:txPr>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74889057326406"/>
          <c:y val="0.38231830210763884"/>
          <c:w val="0.85520687797314998"/>
          <c:h val="0.47121083912440104"/>
        </c:manualLayout>
      </c:layout>
      <c:barChart>
        <c:barDir val="bar"/>
        <c:grouping val="stacked"/>
        <c:varyColors val="0"/>
        <c:ser>
          <c:idx val="0"/>
          <c:order val="0"/>
          <c:tx>
            <c:strRef>
              <c:f>Graphs!$B$925</c:f>
              <c:strCache>
                <c:ptCount val="1"/>
                <c:pt idx="0">
                  <c:v>Fossil Feedstocks</c:v>
                </c:pt>
              </c:strCache>
            </c:strRef>
          </c:tx>
          <c:spPr>
            <a:solidFill>
              <a:schemeClr val="accent1"/>
            </a:solidFill>
            <a:ln>
              <a:solidFill>
                <a:schemeClr val="bg1"/>
              </a:solidFill>
            </a:ln>
            <a:effectLst/>
          </c:spPr>
          <c:invertIfNegative val="0"/>
          <c:cat>
            <c:strRef>
              <c:f>Graphs!$A$926:$A$928</c:f>
              <c:strCache>
                <c:ptCount val="3"/>
                <c:pt idx="0">
                  <c:v>China</c:v>
                </c:pt>
                <c:pt idx="1">
                  <c:v>Indonesia</c:v>
                </c:pt>
                <c:pt idx="2">
                  <c:v>Viet Nam</c:v>
                </c:pt>
              </c:strCache>
            </c:strRef>
          </c:cat>
          <c:val>
            <c:numRef>
              <c:f>Graphs!$B$926:$B$928</c:f>
              <c:numCache>
                <c:formatCode>0%</c:formatCode>
                <c:ptCount val="3"/>
                <c:pt idx="0">
                  <c:v>6.2556736860190407E-2</c:v>
                </c:pt>
                <c:pt idx="1">
                  <c:v>1.5942391136854785E-2</c:v>
                </c:pt>
                <c:pt idx="2">
                  <c:v>2.971618850969306E-2</c:v>
                </c:pt>
              </c:numCache>
            </c:numRef>
          </c:val>
          <c:extLst>
            <c:ext xmlns:c16="http://schemas.microsoft.com/office/drawing/2014/chart" uri="{C3380CC4-5D6E-409C-BE32-E72D297353CC}">
              <c16:uniqueId val="{00000000-E1CA-466B-8079-7504DAE23F5C}"/>
            </c:ext>
          </c:extLst>
        </c:ser>
        <c:ser>
          <c:idx val="1"/>
          <c:order val="1"/>
          <c:tx>
            <c:strRef>
              <c:f>Graphs!$C$925</c:f>
              <c:strCache>
                <c:ptCount val="1"/>
                <c:pt idx="0">
                  <c:v>Coal</c:v>
                </c:pt>
              </c:strCache>
            </c:strRef>
          </c:tx>
          <c:spPr>
            <a:solidFill>
              <a:schemeClr val="tx1">
                <a:lumMod val="85000"/>
                <a:lumOff val="15000"/>
              </a:schemeClr>
            </a:solidFill>
            <a:ln>
              <a:solidFill>
                <a:schemeClr val="bg1"/>
              </a:solidFill>
            </a:ln>
            <a:effectLst/>
          </c:spPr>
          <c:invertIfNegative val="0"/>
          <c:cat>
            <c:strRef>
              <c:f>Graphs!$A$926:$A$928</c:f>
              <c:strCache>
                <c:ptCount val="3"/>
                <c:pt idx="0">
                  <c:v>China</c:v>
                </c:pt>
                <c:pt idx="1">
                  <c:v>Indonesia</c:v>
                </c:pt>
                <c:pt idx="2">
                  <c:v>Viet Nam</c:v>
                </c:pt>
              </c:strCache>
            </c:strRef>
          </c:cat>
          <c:val>
            <c:numRef>
              <c:f>Graphs!$C$926:$C$928</c:f>
              <c:numCache>
                <c:formatCode>0%</c:formatCode>
                <c:ptCount val="3"/>
                <c:pt idx="0">
                  <c:v>0.15661452883967678</c:v>
                </c:pt>
                <c:pt idx="1">
                  <c:v>0.39048559585835324</c:v>
                </c:pt>
                <c:pt idx="2">
                  <c:v>0.57817120103132247</c:v>
                </c:pt>
              </c:numCache>
            </c:numRef>
          </c:val>
          <c:extLst>
            <c:ext xmlns:c16="http://schemas.microsoft.com/office/drawing/2014/chart" uri="{C3380CC4-5D6E-409C-BE32-E72D297353CC}">
              <c16:uniqueId val="{00000001-E1CA-466B-8079-7504DAE23F5C}"/>
            </c:ext>
          </c:extLst>
        </c:ser>
        <c:ser>
          <c:idx val="2"/>
          <c:order val="2"/>
          <c:tx>
            <c:strRef>
              <c:f>Graphs!$D$925</c:f>
              <c:strCache>
                <c:ptCount val="1"/>
                <c:pt idx="0">
                  <c:v>Coke</c:v>
                </c:pt>
              </c:strCache>
            </c:strRef>
          </c:tx>
          <c:spPr>
            <a:solidFill>
              <a:srgbClr val="734233"/>
            </a:solidFill>
            <a:ln>
              <a:solidFill>
                <a:schemeClr val="bg1"/>
              </a:solidFill>
            </a:ln>
            <a:effectLst/>
          </c:spPr>
          <c:invertIfNegative val="0"/>
          <c:cat>
            <c:strRef>
              <c:f>Graphs!$A$926:$A$928</c:f>
              <c:strCache>
                <c:ptCount val="3"/>
                <c:pt idx="0">
                  <c:v>China</c:v>
                </c:pt>
                <c:pt idx="1">
                  <c:v>Indonesia</c:v>
                </c:pt>
                <c:pt idx="2">
                  <c:v>Viet Nam</c:v>
                </c:pt>
              </c:strCache>
            </c:strRef>
          </c:cat>
          <c:val>
            <c:numRef>
              <c:f>Graphs!$D$926:$D$928</c:f>
              <c:numCache>
                <c:formatCode>0%</c:formatCode>
                <c:ptCount val="3"/>
                <c:pt idx="0">
                  <c:v>0.1747300791059975</c:v>
                </c:pt>
                <c:pt idx="1">
                  <c:v>0.16821166199309392</c:v>
                </c:pt>
                <c:pt idx="2">
                  <c:v>0</c:v>
                </c:pt>
              </c:numCache>
            </c:numRef>
          </c:val>
          <c:extLst>
            <c:ext xmlns:c16="http://schemas.microsoft.com/office/drawing/2014/chart" uri="{C3380CC4-5D6E-409C-BE32-E72D297353CC}">
              <c16:uniqueId val="{00000002-E1CA-466B-8079-7504DAE23F5C}"/>
            </c:ext>
          </c:extLst>
        </c:ser>
        <c:ser>
          <c:idx val="3"/>
          <c:order val="3"/>
          <c:tx>
            <c:strRef>
              <c:f>Graphs!$E$925</c:f>
              <c:strCache>
                <c:ptCount val="1"/>
                <c:pt idx="0">
                  <c:v>Coal/Coke Byproducts</c:v>
                </c:pt>
              </c:strCache>
            </c:strRef>
          </c:tx>
          <c:spPr>
            <a:solidFill>
              <a:srgbClr val="BA601C"/>
            </a:solidFill>
            <a:ln>
              <a:solidFill>
                <a:schemeClr val="bg1"/>
              </a:solidFill>
            </a:ln>
            <a:effectLst/>
          </c:spPr>
          <c:invertIfNegative val="0"/>
          <c:cat>
            <c:strRef>
              <c:f>Graphs!$A$926:$A$928</c:f>
              <c:strCache>
                <c:ptCount val="3"/>
                <c:pt idx="0">
                  <c:v>China</c:v>
                </c:pt>
                <c:pt idx="1">
                  <c:v>Indonesia</c:v>
                </c:pt>
                <c:pt idx="2">
                  <c:v>Viet Nam</c:v>
                </c:pt>
              </c:strCache>
            </c:strRef>
          </c:cat>
          <c:val>
            <c:numRef>
              <c:f>Graphs!$E$926:$E$928</c:f>
              <c:numCache>
                <c:formatCode>0%</c:formatCode>
                <c:ptCount val="3"/>
                <c:pt idx="0">
                  <c:v>7.676705577975515E-2</c:v>
                </c:pt>
                <c:pt idx="1">
                  <c:v>0</c:v>
                </c:pt>
                <c:pt idx="2">
                  <c:v>0</c:v>
                </c:pt>
              </c:numCache>
            </c:numRef>
          </c:val>
          <c:extLst>
            <c:ext xmlns:c16="http://schemas.microsoft.com/office/drawing/2014/chart" uri="{C3380CC4-5D6E-409C-BE32-E72D297353CC}">
              <c16:uniqueId val="{00000003-E1CA-466B-8079-7504DAE23F5C}"/>
            </c:ext>
          </c:extLst>
        </c:ser>
        <c:ser>
          <c:idx val="4"/>
          <c:order val="4"/>
          <c:tx>
            <c:strRef>
              <c:f>Graphs!$F$925</c:f>
              <c:strCache>
                <c:ptCount val="1"/>
                <c:pt idx="0">
                  <c:v>Petroleum</c:v>
                </c:pt>
              </c:strCache>
            </c:strRef>
          </c:tx>
          <c:spPr>
            <a:solidFill>
              <a:srgbClr val="7030A0"/>
            </a:solidFill>
            <a:ln>
              <a:solidFill>
                <a:schemeClr val="bg1"/>
              </a:solidFill>
            </a:ln>
            <a:effectLst/>
          </c:spPr>
          <c:invertIfNegative val="0"/>
          <c:cat>
            <c:strRef>
              <c:f>Graphs!$A$926:$A$928</c:f>
              <c:strCache>
                <c:ptCount val="3"/>
                <c:pt idx="0">
                  <c:v>China</c:v>
                </c:pt>
                <c:pt idx="1">
                  <c:v>Indonesia</c:v>
                </c:pt>
                <c:pt idx="2">
                  <c:v>Viet Nam</c:v>
                </c:pt>
              </c:strCache>
            </c:strRef>
          </c:cat>
          <c:val>
            <c:numRef>
              <c:f>Graphs!$F$926:$F$928</c:f>
              <c:numCache>
                <c:formatCode>0%</c:formatCode>
                <c:ptCount val="3"/>
                <c:pt idx="0">
                  <c:v>0.15593898665145817</c:v>
                </c:pt>
                <c:pt idx="1">
                  <c:v>2.8358194235756692E-2</c:v>
                </c:pt>
                <c:pt idx="2">
                  <c:v>7.6595038856339656E-2</c:v>
                </c:pt>
              </c:numCache>
            </c:numRef>
          </c:val>
          <c:extLst>
            <c:ext xmlns:c16="http://schemas.microsoft.com/office/drawing/2014/chart" uri="{C3380CC4-5D6E-409C-BE32-E72D297353CC}">
              <c16:uniqueId val="{00000004-E1CA-466B-8079-7504DAE23F5C}"/>
            </c:ext>
          </c:extLst>
        </c:ser>
        <c:ser>
          <c:idx val="5"/>
          <c:order val="5"/>
          <c:tx>
            <c:strRef>
              <c:f>Graphs!$G$925</c:f>
              <c:strCache>
                <c:ptCount val="1"/>
                <c:pt idx="0">
                  <c:v>Natural Gas</c:v>
                </c:pt>
              </c:strCache>
            </c:strRef>
          </c:tx>
          <c:spPr>
            <a:solidFill>
              <a:schemeClr val="accent1">
                <a:lumMod val="40000"/>
                <a:lumOff val="60000"/>
              </a:schemeClr>
            </a:solidFill>
            <a:ln>
              <a:solidFill>
                <a:schemeClr val="bg1"/>
              </a:solidFill>
            </a:ln>
            <a:effectLst/>
          </c:spPr>
          <c:invertIfNegative val="0"/>
          <c:cat>
            <c:strRef>
              <c:f>Graphs!$A$926:$A$928</c:f>
              <c:strCache>
                <c:ptCount val="3"/>
                <c:pt idx="0">
                  <c:v>China</c:v>
                </c:pt>
                <c:pt idx="1">
                  <c:v>Indonesia</c:v>
                </c:pt>
                <c:pt idx="2">
                  <c:v>Viet Nam</c:v>
                </c:pt>
              </c:strCache>
            </c:strRef>
          </c:cat>
          <c:val>
            <c:numRef>
              <c:f>Graphs!$G$926:$G$928</c:f>
              <c:numCache>
                <c:formatCode>0%</c:formatCode>
                <c:ptCount val="3"/>
                <c:pt idx="0">
                  <c:v>8.0082663279367833E-2</c:v>
                </c:pt>
                <c:pt idx="1">
                  <c:v>5.2728537140004278E-2</c:v>
                </c:pt>
                <c:pt idx="2">
                  <c:v>1.364905117600773E-2</c:v>
                </c:pt>
              </c:numCache>
            </c:numRef>
          </c:val>
          <c:extLst>
            <c:ext xmlns:c16="http://schemas.microsoft.com/office/drawing/2014/chart" uri="{C3380CC4-5D6E-409C-BE32-E72D297353CC}">
              <c16:uniqueId val="{00000005-E1CA-466B-8079-7504DAE23F5C}"/>
            </c:ext>
          </c:extLst>
        </c:ser>
        <c:ser>
          <c:idx val="6"/>
          <c:order val="6"/>
          <c:tx>
            <c:strRef>
              <c:f>Graphs!$H$925</c:f>
              <c:strCache>
                <c:ptCount val="1"/>
                <c:pt idx="0">
                  <c:v>Bioenergy and Waste</c:v>
                </c:pt>
              </c:strCache>
            </c:strRef>
          </c:tx>
          <c:spPr>
            <a:solidFill>
              <a:srgbClr val="00B050"/>
            </a:solidFill>
            <a:ln>
              <a:solidFill>
                <a:schemeClr val="bg1"/>
              </a:solidFill>
            </a:ln>
            <a:effectLst/>
          </c:spPr>
          <c:invertIfNegative val="0"/>
          <c:cat>
            <c:strRef>
              <c:f>Graphs!$A$926:$A$928</c:f>
              <c:strCache>
                <c:ptCount val="3"/>
                <c:pt idx="0">
                  <c:v>China</c:v>
                </c:pt>
                <c:pt idx="1">
                  <c:v>Indonesia</c:v>
                </c:pt>
                <c:pt idx="2">
                  <c:v>Viet Nam</c:v>
                </c:pt>
              </c:strCache>
            </c:strRef>
          </c:cat>
          <c:val>
            <c:numRef>
              <c:f>Graphs!$H$926:$H$928</c:f>
              <c:numCache>
                <c:formatCode>0%</c:formatCode>
                <c:ptCount val="3"/>
                <c:pt idx="0">
                  <c:v>0</c:v>
                </c:pt>
                <c:pt idx="1">
                  <c:v>8.5350577000543271E-2</c:v>
                </c:pt>
                <c:pt idx="2">
                  <c:v>0.10403114192814056</c:v>
                </c:pt>
              </c:numCache>
            </c:numRef>
          </c:val>
          <c:extLst>
            <c:ext xmlns:c16="http://schemas.microsoft.com/office/drawing/2014/chart" uri="{C3380CC4-5D6E-409C-BE32-E72D297353CC}">
              <c16:uniqueId val="{00000006-E1CA-466B-8079-7504DAE23F5C}"/>
            </c:ext>
          </c:extLst>
        </c:ser>
        <c:ser>
          <c:idx val="7"/>
          <c:order val="7"/>
          <c:tx>
            <c:strRef>
              <c:f>Graphs!$I$925</c:f>
              <c:strCache>
                <c:ptCount val="1"/>
                <c:pt idx="0">
                  <c:v>Purchased Heat</c:v>
                </c:pt>
              </c:strCache>
            </c:strRef>
          </c:tx>
          <c:spPr>
            <a:solidFill>
              <a:srgbClr val="C00000"/>
            </a:solidFill>
            <a:ln>
              <a:solidFill>
                <a:schemeClr val="bg1"/>
              </a:solidFill>
            </a:ln>
            <a:effectLst/>
          </c:spPr>
          <c:invertIfNegative val="0"/>
          <c:cat>
            <c:strRef>
              <c:f>Graphs!$A$926:$A$928</c:f>
              <c:strCache>
                <c:ptCount val="3"/>
                <c:pt idx="0">
                  <c:v>China</c:v>
                </c:pt>
                <c:pt idx="1">
                  <c:v>Indonesia</c:v>
                </c:pt>
                <c:pt idx="2">
                  <c:v>Viet Nam</c:v>
                </c:pt>
              </c:strCache>
            </c:strRef>
          </c:cat>
          <c:val>
            <c:numRef>
              <c:f>Graphs!$I$926:$I$928</c:f>
              <c:numCache>
                <c:formatCode>0%</c:formatCode>
                <c:ptCount val="3"/>
                <c:pt idx="0">
                  <c:v>7.9944209599312324E-2</c:v>
                </c:pt>
                <c:pt idx="1">
                  <c:v>0</c:v>
                </c:pt>
                <c:pt idx="2">
                  <c:v>0</c:v>
                </c:pt>
              </c:numCache>
            </c:numRef>
          </c:val>
          <c:extLst>
            <c:ext xmlns:c16="http://schemas.microsoft.com/office/drawing/2014/chart" uri="{C3380CC4-5D6E-409C-BE32-E72D297353CC}">
              <c16:uniqueId val="{00000007-E1CA-466B-8079-7504DAE23F5C}"/>
            </c:ext>
          </c:extLst>
        </c:ser>
        <c:ser>
          <c:idx val="8"/>
          <c:order val="8"/>
          <c:tx>
            <c:strRef>
              <c:f>Graphs!$J$925</c:f>
              <c:strCache>
                <c:ptCount val="1"/>
                <c:pt idx="0">
                  <c:v>Electricity</c:v>
                </c:pt>
              </c:strCache>
            </c:strRef>
          </c:tx>
          <c:spPr>
            <a:solidFill>
              <a:srgbClr val="FFC000"/>
            </a:solidFill>
            <a:ln>
              <a:solidFill>
                <a:schemeClr val="bg1"/>
              </a:solidFill>
            </a:ln>
            <a:effectLst/>
          </c:spPr>
          <c:invertIfNegative val="0"/>
          <c:cat>
            <c:strRef>
              <c:f>Graphs!$A$926:$A$928</c:f>
              <c:strCache>
                <c:ptCount val="3"/>
                <c:pt idx="0">
                  <c:v>China</c:v>
                </c:pt>
                <c:pt idx="1">
                  <c:v>Indonesia</c:v>
                </c:pt>
                <c:pt idx="2">
                  <c:v>Viet Nam</c:v>
                </c:pt>
              </c:strCache>
            </c:strRef>
          </c:cat>
          <c:val>
            <c:numRef>
              <c:f>Graphs!$J$926:$J$928</c:f>
              <c:numCache>
                <c:formatCode>0%</c:formatCode>
                <c:ptCount val="3"/>
                <c:pt idx="0">
                  <c:v>0.21336573988424229</c:v>
                </c:pt>
                <c:pt idx="1">
                  <c:v>0.25892304263539356</c:v>
                </c:pt>
                <c:pt idx="2">
                  <c:v>0.19783737849849656</c:v>
                </c:pt>
              </c:numCache>
            </c:numRef>
          </c:val>
          <c:extLst>
            <c:ext xmlns:c16="http://schemas.microsoft.com/office/drawing/2014/chart" uri="{C3380CC4-5D6E-409C-BE32-E72D297353CC}">
              <c16:uniqueId val="{00000008-E1CA-466B-8079-7504DAE23F5C}"/>
            </c:ext>
          </c:extLst>
        </c:ser>
        <c:dLbls>
          <c:showLegendKey val="0"/>
          <c:showVal val="0"/>
          <c:showCatName val="0"/>
          <c:showSerName val="0"/>
          <c:showPercent val="0"/>
          <c:showBubbleSize val="0"/>
        </c:dLbls>
        <c:gapWidth val="75"/>
        <c:overlap val="100"/>
        <c:axId val="446734815"/>
        <c:axId val="446729055"/>
      </c:barChart>
      <c:catAx>
        <c:axId val="446734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6729055"/>
        <c:crosses val="autoZero"/>
        <c:auto val="1"/>
        <c:lblAlgn val="ctr"/>
        <c:lblOffset val="100"/>
        <c:noMultiLvlLbl val="0"/>
      </c:catAx>
      <c:valAx>
        <c:axId val="44672905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6734815"/>
        <c:crosses val="max"/>
        <c:crossBetween val="between"/>
      </c:valAx>
      <c:spPr>
        <a:noFill/>
        <a:ln>
          <a:noFill/>
        </a:ln>
        <a:effectLst/>
      </c:spPr>
    </c:plotArea>
    <c:legend>
      <c:legendPos val="t"/>
      <c:layout>
        <c:manualLayout>
          <c:xMode val="edge"/>
          <c:yMode val="edge"/>
          <c:x val="7.2477224531212761E-2"/>
          <c:y val="0.15890431780006159"/>
          <c:w val="0.91453657409306888"/>
          <c:h val="0.217405166527717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lumMod val="85000"/>
                    <a:lumOff val="15000"/>
                  </a:schemeClr>
                </a:solidFill>
                <a:latin typeface="+mn-lt"/>
                <a:ea typeface="+mn-ea"/>
                <a:cs typeface="+mn-cs"/>
              </a:defRPr>
            </a:pPr>
            <a:r>
              <a:rPr lang="en-US" sz="1500" b="1">
                <a:solidFill>
                  <a:schemeClr val="tx1">
                    <a:lumMod val="85000"/>
                    <a:lumOff val="15000"/>
                  </a:schemeClr>
                </a:solidFill>
              </a:rPr>
              <a:t>Industrial Sector Energy Use by Subindustry (2022)</a:t>
            </a:r>
          </a:p>
        </c:rich>
      </c:tx>
      <c:layout>
        <c:manualLayout>
          <c:xMode val="edge"/>
          <c:yMode val="edge"/>
          <c:x val="9.3444251897213379E-2"/>
          <c:y val="3.0801113933199176E-2"/>
        </c:manualLayout>
      </c:layout>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9.7030079253576179E-2"/>
          <c:y val="0.50515638338876656"/>
          <c:w val="0.86587649731897109"/>
          <c:h val="0.3844861101430419"/>
        </c:manualLayout>
      </c:layout>
      <c:barChart>
        <c:barDir val="bar"/>
        <c:grouping val="stacked"/>
        <c:varyColors val="0"/>
        <c:ser>
          <c:idx val="0"/>
          <c:order val="0"/>
          <c:tx>
            <c:strRef>
              <c:f>Graphs!$A$951</c:f>
              <c:strCache>
                <c:ptCount val="1"/>
                <c:pt idx="0">
                  <c:v>Iron &amp; steel</c:v>
                </c:pt>
              </c:strCache>
            </c:strRef>
          </c:tx>
          <c:spPr>
            <a:solidFill>
              <a:srgbClr val="0D0D0D"/>
            </a:solidFill>
            <a:ln>
              <a:solidFill>
                <a:schemeClr val="bg1"/>
              </a:solidFill>
            </a:ln>
            <a:effectLst/>
          </c:spPr>
          <c:invertIfNegative val="0"/>
          <c:cat>
            <c:strRef>
              <c:f>Graphs!$B$950:$D$950</c:f>
              <c:strCache>
                <c:ptCount val="3"/>
                <c:pt idx="0">
                  <c:v>China</c:v>
                </c:pt>
                <c:pt idx="1">
                  <c:v>Indonesia</c:v>
                </c:pt>
                <c:pt idx="2">
                  <c:v>Viet Nam</c:v>
                </c:pt>
              </c:strCache>
            </c:strRef>
          </c:cat>
          <c:val>
            <c:numRef>
              <c:f>Graphs!$B$951:$D$951</c:f>
              <c:numCache>
                <c:formatCode>0%</c:formatCode>
                <c:ptCount val="3"/>
                <c:pt idx="0">
                  <c:v>0.28632453234660893</c:v>
                </c:pt>
                <c:pt idx="1">
                  <c:v>0.24502488133387365</c:v>
                </c:pt>
                <c:pt idx="2">
                  <c:v>0.19406156380116543</c:v>
                </c:pt>
              </c:numCache>
            </c:numRef>
          </c:val>
          <c:extLst>
            <c:ext xmlns:c16="http://schemas.microsoft.com/office/drawing/2014/chart" uri="{C3380CC4-5D6E-409C-BE32-E72D297353CC}">
              <c16:uniqueId val="{00000000-269A-4BBB-BE67-B468DC0C9C3E}"/>
            </c:ext>
          </c:extLst>
        </c:ser>
        <c:ser>
          <c:idx val="1"/>
          <c:order val="1"/>
          <c:tx>
            <c:strRef>
              <c:f>Graphs!$A$952</c:f>
              <c:strCache>
                <c:ptCount val="1"/>
                <c:pt idx="0">
                  <c:v>Chemicals</c:v>
                </c:pt>
              </c:strCache>
            </c:strRef>
          </c:tx>
          <c:spPr>
            <a:solidFill>
              <a:srgbClr val="E97132"/>
            </a:solidFill>
            <a:ln>
              <a:solidFill>
                <a:schemeClr val="bg1"/>
              </a:solidFill>
            </a:ln>
            <a:effectLst/>
          </c:spPr>
          <c:invertIfNegative val="0"/>
          <c:cat>
            <c:strRef>
              <c:f>Graphs!$B$950:$D$950</c:f>
              <c:strCache>
                <c:ptCount val="3"/>
                <c:pt idx="0">
                  <c:v>China</c:v>
                </c:pt>
                <c:pt idx="1">
                  <c:v>Indonesia</c:v>
                </c:pt>
                <c:pt idx="2">
                  <c:v>Viet Nam</c:v>
                </c:pt>
              </c:strCache>
            </c:strRef>
          </c:cat>
          <c:val>
            <c:numRef>
              <c:f>Graphs!$B$952:$D$952</c:f>
              <c:numCache>
                <c:formatCode>0%</c:formatCode>
                <c:ptCount val="3"/>
                <c:pt idx="0">
                  <c:v>0.2841129682654886</c:v>
                </c:pt>
                <c:pt idx="1">
                  <c:v>7.2405312272988076E-2</c:v>
                </c:pt>
                <c:pt idx="2">
                  <c:v>7.4724910699479938E-2</c:v>
                </c:pt>
              </c:numCache>
            </c:numRef>
          </c:val>
          <c:extLst>
            <c:ext xmlns:c16="http://schemas.microsoft.com/office/drawing/2014/chart" uri="{C3380CC4-5D6E-409C-BE32-E72D297353CC}">
              <c16:uniqueId val="{00000001-269A-4BBB-BE67-B468DC0C9C3E}"/>
            </c:ext>
          </c:extLst>
        </c:ser>
        <c:ser>
          <c:idx val="2"/>
          <c:order val="2"/>
          <c:tx>
            <c:strRef>
              <c:f>Graphs!$A$953</c:f>
              <c:strCache>
                <c:ptCount val="1"/>
                <c:pt idx="0">
                  <c:v>Refining &amp; fuel processing</c:v>
                </c:pt>
              </c:strCache>
            </c:strRef>
          </c:tx>
          <c:spPr>
            <a:solidFill>
              <a:schemeClr val="accent3"/>
            </a:solidFill>
            <a:ln>
              <a:solidFill>
                <a:schemeClr val="bg1"/>
              </a:solidFill>
            </a:ln>
            <a:effectLst/>
          </c:spPr>
          <c:invertIfNegative val="0"/>
          <c:cat>
            <c:strRef>
              <c:f>Graphs!$B$950:$D$950</c:f>
              <c:strCache>
                <c:ptCount val="3"/>
                <c:pt idx="0">
                  <c:v>China</c:v>
                </c:pt>
                <c:pt idx="1">
                  <c:v>Indonesia</c:v>
                </c:pt>
                <c:pt idx="2">
                  <c:v>Viet Nam</c:v>
                </c:pt>
              </c:strCache>
            </c:strRef>
          </c:cat>
          <c:val>
            <c:numRef>
              <c:f>Graphs!$B$953:$D$953</c:f>
              <c:numCache>
                <c:formatCode>0%</c:formatCode>
                <c:ptCount val="3"/>
                <c:pt idx="0">
                  <c:v>0.12171050564969366</c:v>
                </c:pt>
                <c:pt idx="1">
                  <c:v>5.3043280326987817E-3</c:v>
                </c:pt>
                <c:pt idx="2">
                  <c:v>5.2287595476829221E-2</c:v>
                </c:pt>
              </c:numCache>
            </c:numRef>
          </c:val>
          <c:extLst>
            <c:ext xmlns:c16="http://schemas.microsoft.com/office/drawing/2014/chart" uri="{C3380CC4-5D6E-409C-BE32-E72D297353CC}">
              <c16:uniqueId val="{00000002-269A-4BBB-BE67-B468DC0C9C3E}"/>
            </c:ext>
          </c:extLst>
        </c:ser>
        <c:ser>
          <c:idx val="3"/>
          <c:order val="3"/>
          <c:tx>
            <c:strRef>
              <c:f>Graphs!$A$954</c:f>
              <c:strCache>
                <c:ptCount val="1"/>
                <c:pt idx="0">
                  <c:v>Non-metallic minerals</c:v>
                </c:pt>
              </c:strCache>
            </c:strRef>
          </c:tx>
          <c:spPr>
            <a:solidFill>
              <a:schemeClr val="accent4"/>
            </a:solidFill>
            <a:ln>
              <a:solidFill>
                <a:schemeClr val="bg1"/>
              </a:solidFill>
            </a:ln>
            <a:effectLst/>
          </c:spPr>
          <c:invertIfNegative val="0"/>
          <c:cat>
            <c:strRef>
              <c:f>Graphs!$B$950:$D$950</c:f>
              <c:strCache>
                <c:ptCount val="3"/>
                <c:pt idx="0">
                  <c:v>China</c:v>
                </c:pt>
                <c:pt idx="1">
                  <c:v>Indonesia</c:v>
                </c:pt>
                <c:pt idx="2">
                  <c:v>Viet Nam</c:v>
                </c:pt>
              </c:strCache>
            </c:strRef>
          </c:cat>
          <c:val>
            <c:numRef>
              <c:f>Graphs!$B$954:$D$954</c:f>
              <c:numCache>
                <c:formatCode>0%</c:formatCode>
                <c:ptCount val="3"/>
                <c:pt idx="0">
                  <c:v>0.12159196600093662</c:v>
                </c:pt>
                <c:pt idx="1">
                  <c:v>0.15052816059753713</c:v>
                </c:pt>
                <c:pt idx="2">
                  <c:v>0.26850341013437967</c:v>
                </c:pt>
              </c:numCache>
            </c:numRef>
          </c:val>
          <c:extLst>
            <c:ext xmlns:c16="http://schemas.microsoft.com/office/drawing/2014/chart" uri="{C3380CC4-5D6E-409C-BE32-E72D297353CC}">
              <c16:uniqueId val="{00000003-269A-4BBB-BE67-B468DC0C9C3E}"/>
            </c:ext>
          </c:extLst>
        </c:ser>
        <c:ser>
          <c:idx val="4"/>
          <c:order val="4"/>
          <c:tx>
            <c:strRef>
              <c:f>Graphs!$A$955</c:f>
              <c:strCache>
                <c:ptCount val="1"/>
                <c:pt idx="0">
                  <c:v>Nonferrous metals</c:v>
                </c:pt>
              </c:strCache>
            </c:strRef>
          </c:tx>
          <c:spPr>
            <a:solidFill>
              <a:schemeClr val="accent5"/>
            </a:solidFill>
            <a:ln>
              <a:solidFill>
                <a:schemeClr val="bg1"/>
              </a:solidFill>
            </a:ln>
            <a:effectLst/>
          </c:spPr>
          <c:invertIfNegative val="0"/>
          <c:cat>
            <c:strRef>
              <c:f>Graphs!$B$950:$D$950</c:f>
              <c:strCache>
                <c:ptCount val="3"/>
                <c:pt idx="0">
                  <c:v>China</c:v>
                </c:pt>
                <c:pt idx="1">
                  <c:v>Indonesia</c:v>
                </c:pt>
                <c:pt idx="2">
                  <c:v>Viet Nam</c:v>
                </c:pt>
              </c:strCache>
            </c:strRef>
          </c:cat>
          <c:val>
            <c:numRef>
              <c:f>Graphs!$B$955:$D$955</c:f>
              <c:numCache>
                <c:formatCode>0%</c:formatCode>
                <c:ptCount val="3"/>
                <c:pt idx="0">
                  <c:v>5.5091419827208596E-2</c:v>
                </c:pt>
                <c:pt idx="1">
                  <c:v>0.15017314260488068</c:v>
                </c:pt>
                <c:pt idx="2">
                  <c:v>6.8015712928307576E-2</c:v>
                </c:pt>
              </c:numCache>
            </c:numRef>
          </c:val>
          <c:extLst>
            <c:ext xmlns:c16="http://schemas.microsoft.com/office/drawing/2014/chart" uri="{C3380CC4-5D6E-409C-BE32-E72D297353CC}">
              <c16:uniqueId val="{00000004-269A-4BBB-BE67-B468DC0C9C3E}"/>
            </c:ext>
          </c:extLst>
        </c:ser>
        <c:ser>
          <c:idx val="5"/>
          <c:order val="5"/>
          <c:tx>
            <c:strRef>
              <c:f>Graphs!$A$956</c:f>
              <c:strCache>
                <c:ptCount val="1"/>
                <c:pt idx="0">
                  <c:v>Food, beverage, &amp; tobacco</c:v>
                </c:pt>
              </c:strCache>
            </c:strRef>
          </c:tx>
          <c:spPr>
            <a:solidFill>
              <a:schemeClr val="accent6"/>
            </a:solidFill>
            <a:ln>
              <a:solidFill>
                <a:schemeClr val="bg1"/>
              </a:solidFill>
            </a:ln>
            <a:effectLst/>
          </c:spPr>
          <c:invertIfNegative val="0"/>
          <c:cat>
            <c:strRef>
              <c:f>Graphs!$B$950:$D$950</c:f>
              <c:strCache>
                <c:ptCount val="3"/>
                <c:pt idx="0">
                  <c:v>China</c:v>
                </c:pt>
                <c:pt idx="1">
                  <c:v>Indonesia</c:v>
                </c:pt>
                <c:pt idx="2">
                  <c:v>Viet Nam</c:v>
                </c:pt>
              </c:strCache>
            </c:strRef>
          </c:cat>
          <c:val>
            <c:numRef>
              <c:f>Graphs!$B$956:$D$956</c:f>
              <c:numCache>
                <c:formatCode>0%</c:formatCode>
                <c:ptCount val="3"/>
                <c:pt idx="0">
                  <c:v>2.1027918310035532E-2</c:v>
                </c:pt>
                <c:pt idx="1">
                  <c:v>0.18234756549725181</c:v>
                </c:pt>
                <c:pt idx="2">
                  <c:v>5.1497306284477642E-2</c:v>
                </c:pt>
              </c:numCache>
            </c:numRef>
          </c:val>
          <c:extLst>
            <c:ext xmlns:c16="http://schemas.microsoft.com/office/drawing/2014/chart" uri="{C3380CC4-5D6E-409C-BE32-E72D297353CC}">
              <c16:uniqueId val="{00000005-269A-4BBB-BE67-B468DC0C9C3E}"/>
            </c:ext>
          </c:extLst>
        </c:ser>
        <c:ser>
          <c:idx val="6"/>
          <c:order val="6"/>
          <c:tx>
            <c:strRef>
              <c:f>Graphs!$A$957</c:f>
              <c:strCache>
                <c:ptCount val="1"/>
                <c:pt idx="0">
                  <c:v>Machinery</c:v>
                </c:pt>
              </c:strCache>
            </c:strRef>
          </c:tx>
          <c:spPr>
            <a:solidFill>
              <a:srgbClr val="FFC000"/>
            </a:solidFill>
            <a:ln>
              <a:solidFill>
                <a:schemeClr val="bg1"/>
              </a:solidFill>
            </a:ln>
            <a:effectLst/>
          </c:spPr>
          <c:invertIfNegative val="0"/>
          <c:cat>
            <c:strRef>
              <c:f>Graphs!$B$950:$D$950</c:f>
              <c:strCache>
                <c:ptCount val="3"/>
                <c:pt idx="0">
                  <c:v>China</c:v>
                </c:pt>
                <c:pt idx="1">
                  <c:v>Indonesia</c:v>
                </c:pt>
                <c:pt idx="2">
                  <c:v>Viet Nam</c:v>
                </c:pt>
              </c:strCache>
            </c:strRef>
          </c:cat>
          <c:val>
            <c:numRef>
              <c:f>Graphs!$B$957:$D$957</c:f>
              <c:numCache>
                <c:formatCode>0%</c:formatCode>
                <c:ptCount val="3"/>
                <c:pt idx="0">
                  <c:v>2.0700123909472019E-2</c:v>
                </c:pt>
                <c:pt idx="1">
                  <c:v>3.2231636026169024E-3</c:v>
                </c:pt>
                <c:pt idx="2">
                  <c:v>7.553820516349845E-3</c:v>
                </c:pt>
              </c:numCache>
            </c:numRef>
          </c:val>
          <c:extLst>
            <c:ext xmlns:c16="http://schemas.microsoft.com/office/drawing/2014/chart" uri="{C3380CC4-5D6E-409C-BE32-E72D297353CC}">
              <c16:uniqueId val="{00000006-269A-4BBB-BE67-B468DC0C9C3E}"/>
            </c:ext>
          </c:extLst>
        </c:ser>
        <c:ser>
          <c:idx val="7"/>
          <c:order val="7"/>
          <c:tx>
            <c:strRef>
              <c:f>Graphs!$A$958</c:f>
              <c:strCache>
                <c:ptCount val="1"/>
                <c:pt idx="0">
                  <c:v>Textiles, leather, &amp; apparel</c:v>
                </c:pt>
              </c:strCache>
            </c:strRef>
          </c:tx>
          <c:spPr>
            <a:solidFill>
              <a:schemeClr val="accent2">
                <a:lumMod val="60000"/>
              </a:schemeClr>
            </a:solidFill>
            <a:ln>
              <a:solidFill>
                <a:schemeClr val="bg1"/>
              </a:solidFill>
            </a:ln>
            <a:effectLst/>
          </c:spPr>
          <c:invertIfNegative val="0"/>
          <c:cat>
            <c:strRef>
              <c:f>Graphs!$B$950:$D$950</c:f>
              <c:strCache>
                <c:ptCount val="3"/>
                <c:pt idx="0">
                  <c:v>China</c:v>
                </c:pt>
                <c:pt idx="1">
                  <c:v>Indonesia</c:v>
                </c:pt>
                <c:pt idx="2">
                  <c:v>Viet Nam</c:v>
                </c:pt>
              </c:strCache>
            </c:strRef>
          </c:cat>
          <c:val>
            <c:numRef>
              <c:f>Graphs!$B$958:$D$958</c:f>
              <c:numCache>
                <c:formatCode>0%</c:formatCode>
                <c:ptCount val="3"/>
                <c:pt idx="0">
                  <c:v>1.9046078637904817E-2</c:v>
                </c:pt>
                <c:pt idx="1">
                  <c:v>6.2259732777757426E-2</c:v>
                </c:pt>
                <c:pt idx="2">
                  <c:v>5.6203315889063424E-2</c:v>
                </c:pt>
              </c:numCache>
            </c:numRef>
          </c:val>
          <c:extLst>
            <c:ext xmlns:c16="http://schemas.microsoft.com/office/drawing/2014/chart" uri="{C3380CC4-5D6E-409C-BE32-E72D297353CC}">
              <c16:uniqueId val="{00000007-269A-4BBB-BE67-B468DC0C9C3E}"/>
            </c:ext>
          </c:extLst>
        </c:ser>
        <c:ser>
          <c:idx val="8"/>
          <c:order val="8"/>
          <c:tx>
            <c:strRef>
              <c:f>Graphs!$A$959</c:f>
              <c:strCache>
                <c:ptCount val="1"/>
                <c:pt idx="0">
                  <c:v>Other metal products</c:v>
                </c:pt>
              </c:strCache>
            </c:strRef>
          </c:tx>
          <c:spPr>
            <a:solidFill>
              <a:schemeClr val="accent3">
                <a:lumMod val="60000"/>
              </a:schemeClr>
            </a:solidFill>
            <a:ln>
              <a:solidFill>
                <a:schemeClr val="bg1"/>
              </a:solidFill>
            </a:ln>
            <a:effectLst/>
          </c:spPr>
          <c:invertIfNegative val="0"/>
          <c:cat>
            <c:strRef>
              <c:f>Graphs!$B$950:$D$950</c:f>
              <c:strCache>
                <c:ptCount val="3"/>
                <c:pt idx="0">
                  <c:v>China</c:v>
                </c:pt>
                <c:pt idx="1">
                  <c:v>Indonesia</c:v>
                </c:pt>
                <c:pt idx="2">
                  <c:v>Viet Nam</c:v>
                </c:pt>
              </c:strCache>
            </c:strRef>
          </c:cat>
          <c:val>
            <c:numRef>
              <c:f>Graphs!$B$959:$D$959</c:f>
              <c:numCache>
                <c:formatCode>0%</c:formatCode>
                <c:ptCount val="3"/>
                <c:pt idx="0">
                  <c:v>1.4769835585001832E-2</c:v>
                </c:pt>
                <c:pt idx="1">
                  <c:v>9.4532903359524842E-3</c:v>
                </c:pt>
                <c:pt idx="2">
                  <c:v>3.7957883594508156E-2</c:v>
                </c:pt>
              </c:numCache>
            </c:numRef>
          </c:val>
          <c:extLst>
            <c:ext xmlns:c16="http://schemas.microsoft.com/office/drawing/2014/chart" uri="{C3380CC4-5D6E-409C-BE32-E72D297353CC}">
              <c16:uniqueId val="{00000008-269A-4BBB-BE67-B468DC0C9C3E}"/>
            </c:ext>
          </c:extLst>
        </c:ser>
        <c:ser>
          <c:idx val="9"/>
          <c:order val="9"/>
          <c:tx>
            <c:strRef>
              <c:f>Graphs!$A$960</c:f>
              <c:strCache>
                <c:ptCount val="1"/>
                <c:pt idx="0">
                  <c:v>Electronics</c:v>
                </c:pt>
              </c:strCache>
            </c:strRef>
          </c:tx>
          <c:spPr>
            <a:solidFill>
              <a:srgbClr val="FF3399"/>
            </a:solidFill>
            <a:ln>
              <a:solidFill>
                <a:schemeClr val="bg1"/>
              </a:solidFill>
            </a:ln>
            <a:effectLst/>
          </c:spPr>
          <c:invertIfNegative val="0"/>
          <c:cat>
            <c:strRef>
              <c:f>Graphs!$B$950:$D$950</c:f>
              <c:strCache>
                <c:ptCount val="3"/>
                <c:pt idx="0">
                  <c:v>China</c:v>
                </c:pt>
                <c:pt idx="1">
                  <c:v>Indonesia</c:v>
                </c:pt>
                <c:pt idx="2">
                  <c:v>Viet Nam</c:v>
                </c:pt>
              </c:strCache>
            </c:strRef>
          </c:cat>
          <c:val>
            <c:numRef>
              <c:f>Graphs!$B$960:$D$960</c:f>
              <c:numCache>
                <c:formatCode>0%</c:formatCode>
                <c:ptCount val="3"/>
                <c:pt idx="0">
                  <c:v>1.3409502597190837E-2</c:v>
                </c:pt>
                <c:pt idx="1">
                  <c:v>1.4623496680671613E-2</c:v>
                </c:pt>
                <c:pt idx="2">
                  <c:v>1.790062278512598E-2</c:v>
                </c:pt>
              </c:numCache>
            </c:numRef>
          </c:val>
          <c:extLst>
            <c:ext xmlns:c16="http://schemas.microsoft.com/office/drawing/2014/chart" uri="{C3380CC4-5D6E-409C-BE32-E72D297353CC}">
              <c16:uniqueId val="{00000009-269A-4BBB-BE67-B468DC0C9C3E}"/>
            </c:ext>
          </c:extLst>
        </c:ser>
        <c:ser>
          <c:idx val="10"/>
          <c:order val="10"/>
          <c:tx>
            <c:strRef>
              <c:f>Graphs!$A$961</c:f>
              <c:strCache>
                <c:ptCount val="1"/>
                <c:pt idx="0">
                  <c:v>Pulp, paper, &amp; printing</c:v>
                </c:pt>
              </c:strCache>
            </c:strRef>
          </c:tx>
          <c:spPr>
            <a:solidFill>
              <a:schemeClr val="accent5">
                <a:lumMod val="60000"/>
              </a:schemeClr>
            </a:solidFill>
            <a:ln>
              <a:solidFill>
                <a:schemeClr val="bg1"/>
              </a:solidFill>
            </a:ln>
            <a:effectLst/>
          </c:spPr>
          <c:invertIfNegative val="0"/>
          <c:cat>
            <c:strRef>
              <c:f>Graphs!$B$950:$D$950</c:f>
              <c:strCache>
                <c:ptCount val="3"/>
                <c:pt idx="0">
                  <c:v>China</c:v>
                </c:pt>
                <c:pt idx="1">
                  <c:v>Indonesia</c:v>
                </c:pt>
                <c:pt idx="2">
                  <c:v>Viet Nam</c:v>
                </c:pt>
              </c:strCache>
            </c:strRef>
          </c:cat>
          <c:val>
            <c:numRef>
              <c:f>Graphs!$B$961:$D$961</c:f>
              <c:numCache>
                <c:formatCode>0%</c:formatCode>
                <c:ptCount val="3"/>
                <c:pt idx="0">
                  <c:v>1.2415926245092577E-2</c:v>
                </c:pt>
                <c:pt idx="1">
                  <c:v>3.6254473837240495E-2</c:v>
                </c:pt>
                <c:pt idx="2">
                  <c:v>5.1394931741863242E-2</c:v>
                </c:pt>
              </c:numCache>
            </c:numRef>
          </c:val>
          <c:extLst>
            <c:ext xmlns:c16="http://schemas.microsoft.com/office/drawing/2014/chart" uri="{C3380CC4-5D6E-409C-BE32-E72D297353CC}">
              <c16:uniqueId val="{0000000A-269A-4BBB-BE67-B468DC0C9C3E}"/>
            </c:ext>
          </c:extLst>
        </c:ser>
        <c:ser>
          <c:idx val="11"/>
          <c:order val="11"/>
          <c:tx>
            <c:strRef>
              <c:f>Graphs!$A$962</c:f>
              <c:strCache>
                <c:ptCount val="1"/>
                <c:pt idx="0">
                  <c:v>Vehicles &amp; transport equipment</c:v>
                </c:pt>
              </c:strCache>
            </c:strRef>
          </c:tx>
          <c:spPr>
            <a:solidFill>
              <a:srgbClr val="DCB7A0"/>
            </a:solidFill>
            <a:ln>
              <a:solidFill>
                <a:schemeClr val="bg1"/>
              </a:solidFill>
            </a:ln>
            <a:effectLst/>
          </c:spPr>
          <c:invertIfNegative val="0"/>
          <c:cat>
            <c:strRef>
              <c:f>Graphs!$B$950:$D$950</c:f>
              <c:strCache>
                <c:ptCount val="3"/>
                <c:pt idx="0">
                  <c:v>China</c:v>
                </c:pt>
                <c:pt idx="1">
                  <c:v>Indonesia</c:v>
                </c:pt>
                <c:pt idx="2">
                  <c:v>Viet Nam</c:v>
                </c:pt>
              </c:strCache>
            </c:strRef>
          </c:cat>
          <c:val>
            <c:numRef>
              <c:f>Graphs!$B$962:$D$962</c:f>
              <c:numCache>
                <c:formatCode>0%</c:formatCode>
                <c:ptCount val="3"/>
                <c:pt idx="0">
                  <c:v>1.1866125815764655E-2</c:v>
                </c:pt>
                <c:pt idx="1">
                  <c:v>2.2883800366919477E-2</c:v>
                </c:pt>
                <c:pt idx="2">
                  <c:v>4.5261516270280518E-3</c:v>
                </c:pt>
              </c:numCache>
            </c:numRef>
          </c:val>
          <c:extLst>
            <c:ext xmlns:c16="http://schemas.microsoft.com/office/drawing/2014/chart" uri="{C3380CC4-5D6E-409C-BE32-E72D297353CC}">
              <c16:uniqueId val="{0000000B-269A-4BBB-BE67-B468DC0C9C3E}"/>
            </c:ext>
          </c:extLst>
        </c:ser>
        <c:ser>
          <c:idx val="12"/>
          <c:order val="12"/>
          <c:tx>
            <c:strRef>
              <c:f>Graphs!$A$963</c:f>
              <c:strCache>
                <c:ptCount val="1"/>
                <c:pt idx="0">
                  <c:v>Plastic &amp; rubber products</c:v>
                </c:pt>
              </c:strCache>
            </c:strRef>
          </c:tx>
          <c:spPr>
            <a:solidFill>
              <a:srgbClr val="0000C4"/>
            </a:solidFill>
            <a:ln>
              <a:solidFill>
                <a:schemeClr val="bg1"/>
              </a:solidFill>
            </a:ln>
            <a:effectLst/>
          </c:spPr>
          <c:invertIfNegative val="0"/>
          <c:cat>
            <c:strRef>
              <c:f>Graphs!$B$950:$D$950</c:f>
              <c:strCache>
                <c:ptCount val="3"/>
                <c:pt idx="0">
                  <c:v>China</c:v>
                </c:pt>
                <c:pt idx="1">
                  <c:v>Indonesia</c:v>
                </c:pt>
                <c:pt idx="2">
                  <c:v>Viet Nam</c:v>
                </c:pt>
              </c:strCache>
            </c:strRef>
          </c:cat>
          <c:val>
            <c:numRef>
              <c:f>Graphs!$B$963:$D$963</c:f>
              <c:numCache>
                <c:formatCode>0%</c:formatCode>
                <c:ptCount val="3"/>
                <c:pt idx="0">
                  <c:v>1.0180556553940351E-2</c:v>
                </c:pt>
                <c:pt idx="1">
                  <c:v>3.3537114361629899E-2</c:v>
                </c:pt>
                <c:pt idx="2">
                  <c:v>6.1969381419622769E-3</c:v>
                </c:pt>
              </c:numCache>
            </c:numRef>
          </c:val>
          <c:extLst>
            <c:ext xmlns:c16="http://schemas.microsoft.com/office/drawing/2014/chart" uri="{C3380CC4-5D6E-409C-BE32-E72D297353CC}">
              <c16:uniqueId val="{0000000C-269A-4BBB-BE67-B468DC0C9C3E}"/>
            </c:ext>
          </c:extLst>
        </c:ser>
        <c:ser>
          <c:idx val="13"/>
          <c:order val="13"/>
          <c:tx>
            <c:strRef>
              <c:f>Graphs!$A$964</c:f>
              <c:strCache>
                <c:ptCount val="1"/>
                <c:pt idx="0">
                  <c:v>Wood &amp; furniture</c:v>
                </c:pt>
              </c:strCache>
            </c:strRef>
          </c:tx>
          <c:spPr>
            <a:solidFill>
              <a:srgbClr val="4EF89F"/>
            </a:solidFill>
            <a:ln>
              <a:solidFill>
                <a:schemeClr val="bg1"/>
              </a:solidFill>
            </a:ln>
            <a:effectLst/>
          </c:spPr>
          <c:invertIfNegative val="0"/>
          <c:cat>
            <c:strRef>
              <c:f>Graphs!$B$950:$D$950</c:f>
              <c:strCache>
                <c:ptCount val="3"/>
                <c:pt idx="0">
                  <c:v>China</c:v>
                </c:pt>
                <c:pt idx="1">
                  <c:v>Indonesia</c:v>
                </c:pt>
                <c:pt idx="2">
                  <c:v>Viet Nam</c:v>
                </c:pt>
              </c:strCache>
            </c:strRef>
          </c:cat>
          <c:val>
            <c:numRef>
              <c:f>Graphs!$B$964:$D$964</c:f>
              <c:numCache>
                <c:formatCode>0%</c:formatCode>
                <c:ptCount val="3"/>
                <c:pt idx="0">
                  <c:v>2.6939433921206539E-3</c:v>
                </c:pt>
                <c:pt idx="1">
                  <c:v>9.9072902315581694E-3</c:v>
                </c:pt>
                <c:pt idx="2">
                  <c:v>5.8981884095364791E-2</c:v>
                </c:pt>
              </c:numCache>
            </c:numRef>
          </c:val>
          <c:extLst>
            <c:ext xmlns:c16="http://schemas.microsoft.com/office/drawing/2014/chart" uri="{C3380CC4-5D6E-409C-BE32-E72D297353CC}">
              <c16:uniqueId val="{0000000D-269A-4BBB-BE67-B468DC0C9C3E}"/>
            </c:ext>
          </c:extLst>
        </c:ser>
        <c:ser>
          <c:idx val="14"/>
          <c:order val="14"/>
          <c:tx>
            <c:strRef>
              <c:f>Graphs!$A$965</c:f>
              <c:strCache>
                <c:ptCount val="1"/>
                <c:pt idx="0">
                  <c:v>Other manufacturing</c:v>
                </c:pt>
              </c:strCache>
            </c:strRef>
          </c:tx>
          <c:spPr>
            <a:solidFill>
              <a:srgbClr val="C00000"/>
            </a:solidFill>
            <a:ln>
              <a:solidFill>
                <a:schemeClr val="bg1"/>
              </a:solidFill>
            </a:ln>
            <a:effectLst/>
          </c:spPr>
          <c:invertIfNegative val="0"/>
          <c:cat>
            <c:strRef>
              <c:f>Graphs!$B$950:$D$950</c:f>
              <c:strCache>
                <c:ptCount val="3"/>
                <c:pt idx="0">
                  <c:v>China</c:v>
                </c:pt>
                <c:pt idx="1">
                  <c:v>Indonesia</c:v>
                </c:pt>
                <c:pt idx="2">
                  <c:v>Viet Nam</c:v>
                </c:pt>
              </c:strCache>
            </c:strRef>
          </c:cat>
          <c:val>
            <c:numRef>
              <c:f>Graphs!$B$965:$D$965</c:f>
              <c:numCache>
                <c:formatCode>0%</c:formatCode>
                <c:ptCount val="3"/>
                <c:pt idx="0">
                  <c:v>5.0585968635407565E-3</c:v>
                </c:pt>
                <c:pt idx="1">
                  <c:v>2.0742474664231492E-3</c:v>
                </c:pt>
                <c:pt idx="2">
                  <c:v>5.0193952284094748E-2</c:v>
                </c:pt>
              </c:numCache>
            </c:numRef>
          </c:val>
          <c:extLst>
            <c:ext xmlns:c16="http://schemas.microsoft.com/office/drawing/2014/chart" uri="{C3380CC4-5D6E-409C-BE32-E72D297353CC}">
              <c16:uniqueId val="{0000000E-269A-4BBB-BE67-B468DC0C9C3E}"/>
            </c:ext>
          </c:extLst>
        </c:ser>
        <c:dLbls>
          <c:showLegendKey val="0"/>
          <c:showVal val="0"/>
          <c:showCatName val="0"/>
          <c:showSerName val="0"/>
          <c:showPercent val="0"/>
          <c:showBubbleSize val="0"/>
        </c:dLbls>
        <c:gapWidth val="75"/>
        <c:overlap val="100"/>
        <c:axId val="610648559"/>
        <c:axId val="610635119"/>
      </c:barChart>
      <c:catAx>
        <c:axId val="61064855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0635119"/>
        <c:crosses val="autoZero"/>
        <c:auto val="1"/>
        <c:lblAlgn val="ctr"/>
        <c:lblOffset val="100"/>
        <c:noMultiLvlLbl val="0"/>
      </c:catAx>
      <c:valAx>
        <c:axId val="610635119"/>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0648559"/>
        <c:crosses val="max"/>
        <c:crossBetween val="between"/>
      </c:valAx>
      <c:spPr>
        <a:noFill/>
        <a:ln>
          <a:noFill/>
        </a:ln>
        <a:effectLst/>
      </c:spPr>
    </c:plotArea>
    <c:legend>
      <c:legendPos val="t"/>
      <c:layout>
        <c:manualLayout>
          <c:xMode val="edge"/>
          <c:yMode val="edge"/>
          <c:x val="6.5823111015823499E-2"/>
          <c:y val="0.14856481481481482"/>
          <c:w val="0.87286167859694352"/>
          <c:h val="0.310479155533870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Use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Graphs!$B$115</c:f>
              <c:strCache>
                <c:ptCount val="1"/>
                <c:pt idx="0">
                  <c:v>Iron &amp; steel</c:v>
                </c:pt>
              </c:strCache>
            </c:strRef>
          </c:tx>
          <c:spPr>
            <a:solidFill>
              <a:schemeClr val="tx1">
                <a:lumMod val="95000"/>
                <a:lumOff val="5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Graphs!$B$116:$B$123</c:f>
              <c:numCache>
                <c:formatCode>0.00</c:formatCode>
                <c:ptCount val="8"/>
                <c:pt idx="0">
                  <c:v>21.322634818288392</c:v>
                </c:pt>
                <c:pt idx="1">
                  <c:v>16.760016811521979</c:v>
                </c:pt>
                <c:pt idx="2">
                  <c:v>8.8254720104882818</c:v>
                </c:pt>
                <c:pt idx="3">
                  <c:v>5.2680891643499903</c:v>
                </c:pt>
                <c:pt idx="4">
                  <c:v>4.9062933646369418</c:v>
                </c:pt>
                <c:pt idx="5">
                  <c:v>5.2168246927736703</c:v>
                </c:pt>
                <c:pt idx="6">
                  <c:v>5.4754935570732224</c:v>
                </c:pt>
                <c:pt idx="7">
                  <c:v>5.4754935570732224</c:v>
                </c:pt>
              </c:numCache>
            </c:numRef>
          </c:val>
          <c:extLst>
            <c:ext xmlns:c16="http://schemas.microsoft.com/office/drawing/2014/chart" uri="{C3380CC4-5D6E-409C-BE32-E72D297353CC}">
              <c16:uniqueId val="{00000000-CA5C-456E-BE26-B5AEB6ABB652}"/>
            </c:ext>
          </c:extLst>
        </c:ser>
        <c:ser>
          <c:idx val="1"/>
          <c:order val="1"/>
          <c:tx>
            <c:strRef>
              <c:f>Graphs!$C$115</c:f>
              <c:strCache>
                <c:ptCount val="1"/>
                <c:pt idx="0">
                  <c:v>Chemicals</c:v>
                </c:pt>
              </c:strCache>
            </c:strRef>
          </c:tx>
          <c:spPr>
            <a:solidFill>
              <a:schemeClr val="accent2"/>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Graphs!$C$116:$C$123</c:f>
              <c:numCache>
                <c:formatCode>0.00</c:formatCode>
                <c:ptCount val="8"/>
                <c:pt idx="0">
                  <c:v>21.157939278955816</c:v>
                </c:pt>
                <c:pt idx="1">
                  <c:v>30.768437284020909</c:v>
                </c:pt>
                <c:pt idx="2">
                  <c:v>19.820185835772914</c:v>
                </c:pt>
                <c:pt idx="3">
                  <c:v>15.899245241306549</c:v>
                </c:pt>
                <c:pt idx="4">
                  <c:v>15.235699301676728</c:v>
                </c:pt>
                <c:pt idx="5">
                  <c:v>15.235699301676728</c:v>
                </c:pt>
                <c:pt idx="6">
                  <c:v>15.675166223555925</c:v>
                </c:pt>
                <c:pt idx="7">
                  <c:v>16.327273058530288</c:v>
                </c:pt>
              </c:numCache>
            </c:numRef>
          </c:val>
          <c:extLst>
            <c:ext xmlns:c16="http://schemas.microsoft.com/office/drawing/2014/chart" uri="{C3380CC4-5D6E-409C-BE32-E72D297353CC}">
              <c16:uniqueId val="{00000001-CA5C-456E-BE26-B5AEB6ABB652}"/>
            </c:ext>
          </c:extLst>
        </c:ser>
        <c:ser>
          <c:idx val="2"/>
          <c:order val="2"/>
          <c:tx>
            <c:strRef>
              <c:f>Graphs!$D$115</c:f>
              <c:strCache>
                <c:ptCount val="1"/>
                <c:pt idx="0">
                  <c:v>Refining &amp; fuel processing</c:v>
                </c:pt>
              </c:strCache>
            </c:strRef>
          </c:tx>
          <c:spPr>
            <a:solidFill>
              <a:schemeClr val="accent3"/>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Graphs!$D$116:$D$123</c:f>
              <c:numCache>
                <c:formatCode>0.00</c:formatCode>
                <c:ptCount val="8"/>
                <c:pt idx="0">
                  <c:v>9.0638012895662374</c:v>
                </c:pt>
                <c:pt idx="1">
                  <c:v>9.3114461335434573</c:v>
                </c:pt>
                <c:pt idx="2">
                  <c:v>8.3803015201891107</c:v>
                </c:pt>
                <c:pt idx="3">
                  <c:v>7.0149830034336595</c:v>
                </c:pt>
                <c:pt idx="4">
                  <c:v>6.9385829541854269</c:v>
                </c:pt>
                <c:pt idx="5">
                  <c:v>6.9385829541854269</c:v>
                </c:pt>
                <c:pt idx="6">
                  <c:v>8.4313997059436225</c:v>
                </c:pt>
                <c:pt idx="7">
                  <c:v>8.4313997059436225</c:v>
                </c:pt>
              </c:numCache>
            </c:numRef>
          </c:val>
          <c:extLst>
            <c:ext xmlns:c16="http://schemas.microsoft.com/office/drawing/2014/chart" uri="{C3380CC4-5D6E-409C-BE32-E72D297353CC}">
              <c16:uniqueId val="{00000002-CA5C-456E-BE26-B5AEB6ABB652}"/>
            </c:ext>
          </c:extLst>
        </c:ser>
        <c:ser>
          <c:idx val="3"/>
          <c:order val="3"/>
          <c:tx>
            <c:strRef>
              <c:f>Graphs!$E$115</c:f>
              <c:strCache>
                <c:ptCount val="1"/>
                <c:pt idx="0">
                  <c:v>Non-metallic minerals</c:v>
                </c:pt>
              </c:strCache>
            </c:strRef>
          </c:tx>
          <c:spPr>
            <a:solidFill>
              <a:schemeClr val="accent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Graphs!$E$116:$E$123</c:f>
              <c:numCache>
                <c:formatCode>0.00</c:formatCode>
                <c:ptCount val="8"/>
                <c:pt idx="0">
                  <c:v>9.0549736225087933</c:v>
                </c:pt>
                <c:pt idx="1">
                  <c:v>6.3957342807903208</c:v>
                </c:pt>
                <c:pt idx="2">
                  <c:v>3.1989863938942982</c:v>
                </c:pt>
                <c:pt idx="3">
                  <c:v>3.048919409581083</c:v>
                </c:pt>
                <c:pt idx="4">
                  <c:v>2.759122717272176</c:v>
                </c:pt>
                <c:pt idx="5">
                  <c:v>3.9661955845730152</c:v>
                </c:pt>
                <c:pt idx="6">
                  <c:v>4.1401407221526529</c:v>
                </c:pt>
                <c:pt idx="7">
                  <c:v>4.1401407221526529</c:v>
                </c:pt>
              </c:numCache>
            </c:numRef>
          </c:val>
          <c:extLst>
            <c:ext xmlns:c16="http://schemas.microsoft.com/office/drawing/2014/chart" uri="{C3380CC4-5D6E-409C-BE32-E72D297353CC}">
              <c16:uniqueId val="{00000003-CA5C-456E-BE26-B5AEB6ABB652}"/>
            </c:ext>
          </c:extLst>
        </c:ser>
        <c:ser>
          <c:idx val="4"/>
          <c:order val="4"/>
          <c:tx>
            <c:strRef>
              <c:f>Graphs!$F$115</c:f>
              <c:strCache>
                <c:ptCount val="1"/>
                <c:pt idx="0">
                  <c:v>Nonferrous metals</c:v>
                </c:pt>
              </c:strCache>
            </c:strRef>
          </c:tx>
          <c:spPr>
            <a:solidFill>
              <a:schemeClr val="accent5"/>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Graphs!$F$116:$F$123</c:f>
              <c:numCache>
                <c:formatCode>0.00</c:formatCode>
                <c:ptCount val="8"/>
                <c:pt idx="0">
                  <c:v>4.1026670574443145</c:v>
                </c:pt>
                <c:pt idx="1">
                  <c:v>4.7180671160609622</c:v>
                </c:pt>
                <c:pt idx="2">
                  <c:v>2.7706849139067988</c:v>
                </c:pt>
                <c:pt idx="3">
                  <c:v>2.6045251070340081</c:v>
                </c:pt>
                <c:pt idx="4">
                  <c:v>2.3979325751869092</c:v>
                </c:pt>
                <c:pt idx="5">
                  <c:v>2.4088416789022649</c:v>
                </c:pt>
                <c:pt idx="6">
                  <c:v>2.4088416789022649</c:v>
                </c:pt>
                <c:pt idx="7">
                  <c:v>2.4088416789022649</c:v>
                </c:pt>
              </c:numCache>
            </c:numRef>
          </c:val>
          <c:extLst>
            <c:ext xmlns:c16="http://schemas.microsoft.com/office/drawing/2014/chart" uri="{C3380CC4-5D6E-409C-BE32-E72D297353CC}">
              <c16:uniqueId val="{00000004-CA5C-456E-BE26-B5AEB6ABB652}"/>
            </c:ext>
          </c:extLst>
        </c:ser>
        <c:ser>
          <c:idx val="5"/>
          <c:order val="5"/>
          <c:tx>
            <c:strRef>
              <c:f>Graphs!$G$115</c:f>
              <c:strCache>
                <c:ptCount val="1"/>
                <c:pt idx="0">
                  <c:v>Food, beverage, &amp; tobacco</c:v>
                </c:pt>
              </c:strCache>
            </c:strRef>
          </c:tx>
          <c:spPr>
            <a:solidFill>
              <a:schemeClr val="accent6"/>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Graphs!$G$116:$G$123</c:f>
              <c:numCache>
                <c:formatCode>0.00</c:formatCode>
                <c:ptCount val="8"/>
                <c:pt idx="0">
                  <c:v>1.5659525205158269</c:v>
                </c:pt>
                <c:pt idx="1">
                  <c:v>1.5659525205158269</c:v>
                </c:pt>
                <c:pt idx="2">
                  <c:v>1.4719953692848771</c:v>
                </c:pt>
                <c:pt idx="3">
                  <c:v>1.0696078952484218</c:v>
                </c:pt>
                <c:pt idx="4">
                  <c:v>1.066113765307438</c:v>
                </c:pt>
                <c:pt idx="5">
                  <c:v>1.066113765307438</c:v>
                </c:pt>
                <c:pt idx="6">
                  <c:v>1.066113765307438</c:v>
                </c:pt>
                <c:pt idx="7">
                  <c:v>1.066113765307438</c:v>
                </c:pt>
              </c:numCache>
            </c:numRef>
          </c:val>
          <c:extLst>
            <c:ext xmlns:c16="http://schemas.microsoft.com/office/drawing/2014/chart" uri="{C3380CC4-5D6E-409C-BE32-E72D297353CC}">
              <c16:uniqueId val="{00000005-CA5C-456E-BE26-B5AEB6ABB652}"/>
            </c:ext>
          </c:extLst>
        </c:ser>
        <c:ser>
          <c:idx val="6"/>
          <c:order val="6"/>
          <c:tx>
            <c:strRef>
              <c:f>Graphs!$H$115</c:f>
              <c:strCache>
                <c:ptCount val="1"/>
                <c:pt idx="0">
                  <c:v>Machinery</c:v>
                </c:pt>
              </c:strCache>
            </c:strRef>
          </c:tx>
          <c:spPr>
            <a:solidFill>
              <a:srgbClr val="FFC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Graphs!$H$116:$H$123</c:f>
              <c:numCache>
                <c:formatCode>0.00</c:formatCode>
                <c:ptCount val="8"/>
                <c:pt idx="0">
                  <c:v>1.541541617819461</c:v>
                </c:pt>
                <c:pt idx="1">
                  <c:v>1.2116824984572367</c:v>
                </c:pt>
                <c:pt idx="2">
                  <c:v>0.82606454332322121</c:v>
                </c:pt>
                <c:pt idx="3">
                  <c:v>0.76299350349067407</c:v>
                </c:pt>
                <c:pt idx="4">
                  <c:v>0.71768583034036137</c:v>
                </c:pt>
                <c:pt idx="5">
                  <c:v>0.71768583034036137</c:v>
                </c:pt>
                <c:pt idx="6">
                  <c:v>0.71768583034036137</c:v>
                </c:pt>
                <c:pt idx="7">
                  <c:v>0.71768583034036137</c:v>
                </c:pt>
              </c:numCache>
            </c:numRef>
          </c:val>
          <c:extLst>
            <c:ext xmlns:c16="http://schemas.microsoft.com/office/drawing/2014/chart" uri="{C3380CC4-5D6E-409C-BE32-E72D297353CC}">
              <c16:uniqueId val="{00000006-CA5C-456E-BE26-B5AEB6ABB652}"/>
            </c:ext>
          </c:extLst>
        </c:ser>
        <c:ser>
          <c:idx val="7"/>
          <c:order val="7"/>
          <c:tx>
            <c:strRef>
              <c:f>Graphs!$I$115</c:f>
              <c:strCache>
                <c:ptCount val="1"/>
                <c:pt idx="0">
                  <c:v>Textiles, leather, &amp; apparel</c:v>
                </c:pt>
              </c:strCache>
            </c:strRef>
          </c:tx>
          <c:spPr>
            <a:solidFill>
              <a:schemeClr val="accent2">
                <a:lumMod val="60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Graphs!$I$116:$I$123</c:f>
              <c:numCache>
                <c:formatCode>0.00</c:formatCode>
                <c:ptCount val="8"/>
                <c:pt idx="0">
                  <c:v>1.4183645955451352</c:v>
                </c:pt>
                <c:pt idx="1">
                  <c:v>1.4183645955451352</c:v>
                </c:pt>
                <c:pt idx="2">
                  <c:v>0.9928552168815945</c:v>
                </c:pt>
                <c:pt idx="3">
                  <c:v>0.90929857309028672</c:v>
                </c:pt>
                <c:pt idx="4">
                  <c:v>0.88464850172059295</c:v>
                </c:pt>
                <c:pt idx="5">
                  <c:v>0.88464850172059295</c:v>
                </c:pt>
                <c:pt idx="6">
                  <c:v>0.88464850172059295</c:v>
                </c:pt>
                <c:pt idx="7">
                  <c:v>0.88464850172059295</c:v>
                </c:pt>
              </c:numCache>
            </c:numRef>
          </c:val>
          <c:extLst>
            <c:ext xmlns:c16="http://schemas.microsoft.com/office/drawing/2014/chart" uri="{C3380CC4-5D6E-409C-BE32-E72D297353CC}">
              <c16:uniqueId val="{00000007-CA5C-456E-BE26-B5AEB6ABB652}"/>
            </c:ext>
          </c:extLst>
        </c:ser>
        <c:ser>
          <c:idx val="8"/>
          <c:order val="8"/>
          <c:tx>
            <c:strRef>
              <c:f>Graphs!$J$115</c:f>
              <c:strCache>
                <c:ptCount val="1"/>
                <c:pt idx="0">
                  <c:v>Other metal products</c:v>
                </c:pt>
              </c:strCache>
            </c:strRef>
          </c:tx>
          <c:spPr>
            <a:solidFill>
              <a:schemeClr val="accent3">
                <a:lumMod val="60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Graphs!$J$116:$J$123</c:f>
              <c:numCache>
                <c:formatCode>0.00</c:formatCode>
                <c:ptCount val="8"/>
                <c:pt idx="0">
                  <c:v>1.0999120750293083</c:v>
                </c:pt>
                <c:pt idx="1">
                  <c:v>0.86455285783330804</c:v>
                </c:pt>
                <c:pt idx="2">
                  <c:v>0.53251052587170322</c:v>
                </c:pt>
                <c:pt idx="3">
                  <c:v>0.44428105088352787</c:v>
                </c:pt>
                <c:pt idx="4">
                  <c:v>0.39551032816410731</c:v>
                </c:pt>
                <c:pt idx="5">
                  <c:v>0.39551032816410731</c:v>
                </c:pt>
                <c:pt idx="6">
                  <c:v>0.39551032816410731</c:v>
                </c:pt>
                <c:pt idx="7">
                  <c:v>0.39551032816410731</c:v>
                </c:pt>
              </c:numCache>
            </c:numRef>
          </c:val>
          <c:extLst>
            <c:ext xmlns:c16="http://schemas.microsoft.com/office/drawing/2014/chart" uri="{C3380CC4-5D6E-409C-BE32-E72D297353CC}">
              <c16:uniqueId val="{00000008-CA5C-456E-BE26-B5AEB6ABB652}"/>
            </c:ext>
          </c:extLst>
        </c:ser>
        <c:ser>
          <c:idx val="9"/>
          <c:order val="9"/>
          <c:tx>
            <c:strRef>
              <c:f>Graphs!$K$115</c:f>
              <c:strCache>
                <c:ptCount val="1"/>
                <c:pt idx="0">
                  <c:v>Electronics</c:v>
                </c:pt>
              </c:strCache>
            </c:strRef>
          </c:tx>
          <c:spPr>
            <a:solidFill>
              <a:srgbClr val="FF3399"/>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Graphs!$K$116:$K$123</c:f>
              <c:numCache>
                <c:formatCode>0.00</c:formatCode>
                <c:ptCount val="8"/>
                <c:pt idx="0">
                  <c:v>0.99860785463071522</c:v>
                </c:pt>
                <c:pt idx="1">
                  <c:v>0.78492571740588313</c:v>
                </c:pt>
                <c:pt idx="2">
                  <c:v>0.49685797911792406</c:v>
                </c:pt>
                <c:pt idx="3">
                  <c:v>0.45628245333878731</c:v>
                </c:pt>
                <c:pt idx="4">
                  <c:v>0.43635813543630764</c:v>
                </c:pt>
                <c:pt idx="5">
                  <c:v>0.43635813543630764</c:v>
                </c:pt>
                <c:pt idx="6">
                  <c:v>0.43635813543630764</c:v>
                </c:pt>
                <c:pt idx="7">
                  <c:v>0.43635813543630764</c:v>
                </c:pt>
              </c:numCache>
            </c:numRef>
          </c:val>
          <c:extLst>
            <c:ext xmlns:c16="http://schemas.microsoft.com/office/drawing/2014/chart" uri="{C3380CC4-5D6E-409C-BE32-E72D297353CC}">
              <c16:uniqueId val="{00000009-CA5C-456E-BE26-B5AEB6ABB652}"/>
            </c:ext>
          </c:extLst>
        </c:ser>
        <c:ser>
          <c:idx val="10"/>
          <c:order val="10"/>
          <c:tx>
            <c:strRef>
              <c:f>Graphs!$L$115</c:f>
              <c:strCache>
                <c:ptCount val="1"/>
                <c:pt idx="0">
                  <c:v>Pulp, paper, &amp; printing</c:v>
                </c:pt>
              </c:strCache>
            </c:strRef>
          </c:tx>
          <c:spPr>
            <a:solidFill>
              <a:schemeClr val="accent5">
                <a:lumMod val="60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Graphs!$L$116:$L$123</c:f>
              <c:numCache>
                <c:formatCode>0.00</c:formatCode>
                <c:ptCount val="8"/>
                <c:pt idx="0">
                  <c:v>0.9246160609613131</c:v>
                </c:pt>
                <c:pt idx="1">
                  <c:v>0.9246160609613131</c:v>
                </c:pt>
                <c:pt idx="2">
                  <c:v>0.74662746922626022</c:v>
                </c:pt>
                <c:pt idx="3">
                  <c:v>0.69525591203047266</c:v>
                </c:pt>
                <c:pt idx="4">
                  <c:v>0.65821892103839419</c:v>
                </c:pt>
                <c:pt idx="5">
                  <c:v>0.65821892103839419</c:v>
                </c:pt>
                <c:pt idx="6">
                  <c:v>0.65821892103839419</c:v>
                </c:pt>
                <c:pt idx="7">
                  <c:v>0.65821892103839419</c:v>
                </c:pt>
              </c:numCache>
            </c:numRef>
          </c:val>
          <c:extLst>
            <c:ext xmlns:c16="http://schemas.microsoft.com/office/drawing/2014/chart" uri="{C3380CC4-5D6E-409C-BE32-E72D297353CC}">
              <c16:uniqueId val="{0000000A-CA5C-456E-BE26-B5AEB6ABB652}"/>
            </c:ext>
          </c:extLst>
        </c:ser>
        <c:ser>
          <c:idx val="11"/>
          <c:order val="11"/>
          <c:tx>
            <c:strRef>
              <c:f>Graphs!$M$115</c:f>
              <c:strCache>
                <c:ptCount val="1"/>
                <c:pt idx="0">
                  <c:v>Vehicles &amp; transport equipment</c:v>
                </c:pt>
              </c:strCache>
            </c:strRef>
          </c:tx>
          <c:spPr>
            <a:solidFill>
              <a:srgbClr val="DCB7A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Graphs!$M$116:$M$123</c:f>
              <c:numCache>
                <c:formatCode>0.00</c:formatCode>
                <c:ptCount val="8"/>
                <c:pt idx="0">
                  <c:v>0.88367233294255576</c:v>
                </c:pt>
                <c:pt idx="1">
                  <c:v>0.69458410192774356</c:v>
                </c:pt>
                <c:pt idx="2">
                  <c:v>0.49046319897372792</c:v>
                </c:pt>
                <c:pt idx="3">
                  <c:v>0.43034069206285164</c:v>
                </c:pt>
                <c:pt idx="4">
                  <c:v>0.40103613545306238</c:v>
                </c:pt>
                <c:pt idx="5">
                  <c:v>0.40103613545306238</c:v>
                </c:pt>
                <c:pt idx="6">
                  <c:v>0.40103613545306238</c:v>
                </c:pt>
                <c:pt idx="7">
                  <c:v>0.40103613545306238</c:v>
                </c:pt>
              </c:numCache>
            </c:numRef>
          </c:val>
          <c:extLst>
            <c:ext xmlns:c16="http://schemas.microsoft.com/office/drawing/2014/chart" uri="{C3380CC4-5D6E-409C-BE32-E72D297353CC}">
              <c16:uniqueId val="{0000000B-CA5C-456E-BE26-B5AEB6ABB652}"/>
            </c:ext>
          </c:extLst>
        </c:ser>
        <c:ser>
          <c:idx val="12"/>
          <c:order val="12"/>
          <c:tx>
            <c:strRef>
              <c:f>Graphs!$N$115</c:f>
              <c:strCache>
                <c:ptCount val="1"/>
                <c:pt idx="0">
                  <c:v>Plastic &amp; rubber products</c:v>
                </c:pt>
              </c:strCache>
            </c:strRef>
          </c:tx>
          <c:spPr>
            <a:solidFill>
              <a:srgbClr val="0000C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Graphs!$N$116:$N$123</c:f>
              <c:numCache>
                <c:formatCode>0.00</c:formatCode>
                <c:ptCount val="8"/>
                <c:pt idx="0">
                  <c:v>0.75814771395076208</c:v>
                </c:pt>
                <c:pt idx="1">
                  <c:v>1.4971824603229336</c:v>
                </c:pt>
                <c:pt idx="2">
                  <c:v>1.4631215593505866</c:v>
                </c:pt>
                <c:pt idx="3">
                  <c:v>1.3894623649162672</c:v>
                </c:pt>
                <c:pt idx="4">
                  <c:v>1.3468276508322856</c:v>
                </c:pt>
                <c:pt idx="5">
                  <c:v>1.3468276508322856</c:v>
                </c:pt>
                <c:pt idx="6">
                  <c:v>1.3468276508322856</c:v>
                </c:pt>
                <c:pt idx="7">
                  <c:v>1.3468276508322856</c:v>
                </c:pt>
              </c:numCache>
            </c:numRef>
          </c:val>
          <c:extLst>
            <c:ext xmlns:c16="http://schemas.microsoft.com/office/drawing/2014/chart" uri="{C3380CC4-5D6E-409C-BE32-E72D297353CC}">
              <c16:uniqueId val="{0000000C-CA5C-456E-BE26-B5AEB6ABB652}"/>
            </c:ext>
          </c:extLst>
        </c:ser>
        <c:ser>
          <c:idx val="13"/>
          <c:order val="13"/>
          <c:tx>
            <c:strRef>
              <c:f>Graphs!$O$115</c:f>
              <c:strCache>
                <c:ptCount val="1"/>
                <c:pt idx="0">
                  <c:v>Wood &amp; furniture</c:v>
                </c:pt>
              </c:strCache>
            </c:strRef>
          </c:tx>
          <c:spPr>
            <a:solidFill>
              <a:srgbClr val="4EF89F"/>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Graphs!$O$116:$O$123</c:f>
              <c:numCache>
                <c:formatCode>0.00</c:formatCode>
                <c:ptCount val="8"/>
                <c:pt idx="0">
                  <c:v>0.20061840562719813</c:v>
                </c:pt>
                <c:pt idx="1">
                  <c:v>0.20061840562719813</c:v>
                </c:pt>
                <c:pt idx="2">
                  <c:v>0.17453801289566234</c:v>
                </c:pt>
                <c:pt idx="3">
                  <c:v>0.16814210185136863</c:v>
                </c:pt>
                <c:pt idx="4">
                  <c:v>0.16272766615214132</c:v>
                </c:pt>
                <c:pt idx="5">
                  <c:v>0.16272766615214132</c:v>
                </c:pt>
                <c:pt idx="6">
                  <c:v>0.16272766615214132</c:v>
                </c:pt>
                <c:pt idx="7">
                  <c:v>0.16272766615214132</c:v>
                </c:pt>
              </c:numCache>
            </c:numRef>
          </c:val>
          <c:extLst>
            <c:ext xmlns:c16="http://schemas.microsoft.com/office/drawing/2014/chart" uri="{C3380CC4-5D6E-409C-BE32-E72D297353CC}">
              <c16:uniqueId val="{0000000D-CA5C-456E-BE26-B5AEB6ABB652}"/>
            </c:ext>
          </c:extLst>
        </c:ser>
        <c:ser>
          <c:idx val="14"/>
          <c:order val="14"/>
          <c:tx>
            <c:strRef>
              <c:f>Graphs!$P$115</c:f>
              <c:strCache>
                <c:ptCount val="1"/>
                <c:pt idx="0">
                  <c:v>Other manufacturing</c:v>
                </c:pt>
              </c:strCache>
            </c:strRef>
          </c:tx>
          <c:spPr>
            <a:solidFill>
              <a:srgbClr val="C00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Graphs!$P$116:$P$123</c:f>
              <c:numCache>
                <c:formatCode>0.00</c:formatCode>
                <c:ptCount val="8"/>
                <c:pt idx="0">
                  <c:v>0.37671453692848766</c:v>
                </c:pt>
                <c:pt idx="1">
                  <c:v>0.37671453692848766</c:v>
                </c:pt>
                <c:pt idx="2">
                  <c:v>0.35222809202813604</c:v>
                </c:pt>
                <c:pt idx="3">
                  <c:v>0.33108394075989916</c:v>
                </c:pt>
                <c:pt idx="4">
                  <c:v>0.32061129764151663</c:v>
                </c:pt>
                <c:pt idx="5">
                  <c:v>0.32061129764151663</c:v>
                </c:pt>
                <c:pt idx="6">
                  <c:v>0.32061129764151663</c:v>
                </c:pt>
                <c:pt idx="7">
                  <c:v>0.32061129764151663</c:v>
                </c:pt>
              </c:numCache>
            </c:numRef>
          </c:val>
          <c:extLst>
            <c:ext xmlns:c16="http://schemas.microsoft.com/office/drawing/2014/chart" uri="{C3380CC4-5D6E-409C-BE32-E72D297353CC}">
              <c16:uniqueId val="{0000000E-CA5C-456E-BE26-B5AEB6ABB652}"/>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678556554967082"/>
              <c:y val="7.9139279523414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r>
              <a:rPr lang="en-US" sz="1500" b="1"/>
              <a:t>Industrial Sector Energy Use by Fuel (2022)</a:t>
            </a:r>
          </a:p>
        </c:rich>
      </c:tx>
      <c:layout>
        <c:manualLayout>
          <c:xMode val="edge"/>
          <c:yMode val="edge"/>
          <c:x val="9.9484191428394445E-2"/>
          <c:y val="2.9697102112306275E-2"/>
        </c:manualLayout>
      </c:layout>
      <c:overlay val="0"/>
      <c:spPr>
        <a:noFill/>
        <a:ln>
          <a:noFill/>
        </a:ln>
        <a:effectLst/>
      </c:spPr>
      <c:txPr>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74889057326406"/>
          <c:y val="0.40443779036371302"/>
          <c:w val="0.85520687797314998"/>
          <c:h val="0.44909123146435798"/>
        </c:manualLayout>
      </c:layout>
      <c:barChart>
        <c:barDir val="bar"/>
        <c:grouping val="stacked"/>
        <c:varyColors val="0"/>
        <c:ser>
          <c:idx val="0"/>
          <c:order val="0"/>
          <c:tx>
            <c:strRef>
              <c:f>Graphs!$B$883</c:f>
              <c:strCache>
                <c:ptCount val="1"/>
                <c:pt idx="0">
                  <c:v>Fossil Feedstocks</c:v>
                </c:pt>
              </c:strCache>
            </c:strRef>
          </c:tx>
          <c:spPr>
            <a:solidFill>
              <a:schemeClr val="accent1"/>
            </a:solidFill>
            <a:ln>
              <a:solidFill>
                <a:schemeClr val="bg1"/>
              </a:solidFill>
            </a:ln>
            <a:effectLst/>
          </c:spPr>
          <c:invertIfNegative val="0"/>
          <c:cat>
            <c:strLit>
              <c:ptCount val="3"/>
              <c:pt idx="0">
                <c:v>China</c:v>
              </c:pt>
              <c:pt idx="1">
                <c:v>Indonesia</c:v>
              </c:pt>
              <c:pt idx="2">
                <c:v>Viet Nam</c:v>
              </c:pt>
            </c:strLit>
          </c:cat>
          <c:val>
            <c:numRef>
              <c:f>Graphs!$B$884:$B$886</c:f>
              <c:numCache>
                <c:formatCode>0%</c:formatCode>
                <c:ptCount val="3"/>
                <c:pt idx="0">
                  <c:v>6.2556736860190407E-2</c:v>
                </c:pt>
                <c:pt idx="1">
                  <c:v>1.5942391136854785E-2</c:v>
                </c:pt>
                <c:pt idx="2">
                  <c:v>2.971618850969306E-2</c:v>
                </c:pt>
              </c:numCache>
            </c:numRef>
          </c:val>
          <c:extLst>
            <c:ext xmlns:c16="http://schemas.microsoft.com/office/drawing/2014/chart" uri="{C3380CC4-5D6E-409C-BE32-E72D297353CC}">
              <c16:uniqueId val="{00000000-3B5B-43B0-9128-D2911805A009}"/>
            </c:ext>
          </c:extLst>
        </c:ser>
        <c:ser>
          <c:idx val="1"/>
          <c:order val="1"/>
          <c:tx>
            <c:strRef>
              <c:f>Graphs!$C$883</c:f>
              <c:strCache>
                <c:ptCount val="1"/>
                <c:pt idx="0">
                  <c:v>Coal and Related Byproducts</c:v>
                </c:pt>
              </c:strCache>
            </c:strRef>
          </c:tx>
          <c:spPr>
            <a:solidFill>
              <a:schemeClr val="tx1">
                <a:lumMod val="85000"/>
                <a:lumOff val="15000"/>
              </a:schemeClr>
            </a:solidFill>
            <a:ln>
              <a:solidFill>
                <a:schemeClr val="bg1"/>
              </a:solidFill>
            </a:ln>
            <a:effectLst/>
          </c:spPr>
          <c:invertIfNegative val="0"/>
          <c:cat>
            <c:strLit>
              <c:ptCount val="3"/>
              <c:pt idx="0">
                <c:v>China</c:v>
              </c:pt>
              <c:pt idx="1">
                <c:v>Indonesia</c:v>
              </c:pt>
              <c:pt idx="2">
                <c:v>Viet Nam</c:v>
              </c:pt>
            </c:strLit>
          </c:cat>
          <c:val>
            <c:numRef>
              <c:f>Graphs!$C$884:$C$886</c:f>
              <c:numCache>
                <c:formatCode>0%</c:formatCode>
                <c:ptCount val="3"/>
                <c:pt idx="0">
                  <c:v>0.40811166372542945</c:v>
                </c:pt>
                <c:pt idx="1">
                  <c:v>0.55869725785144719</c:v>
                </c:pt>
                <c:pt idx="2">
                  <c:v>0.57817120103132247</c:v>
                </c:pt>
              </c:numCache>
            </c:numRef>
          </c:val>
          <c:extLst>
            <c:ext xmlns:c16="http://schemas.microsoft.com/office/drawing/2014/chart" uri="{C3380CC4-5D6E-409C-BE32-E72D297353CC}">
              <c16:uniqueId val="{00000001-3B5B-43B0-9128-D2911805A009}"/>
            </c:ext>
          </c:extLst>
        </c:ser>
        <c:ser>
          <c:idx val="2"/>
          <c:order val="2"/>
          <c:tx>
            <c:strRef>
              <c:f>Graphs!$D$883</c:f>
              <c:strCache>
                <c:ptCount val="1"/>
                <c:pt idx="0">
                  <c:v>Petroleum</c:v>
                </c:pt>
              </c:strCache>
            </c:strRef>
          </c:tx>
          <c:spPr>
            <a:solidFill>
              <a:schemeClr val="bg1">
                <a:lumMod val="50000"/>
              </a:schemeClr>
            </a:solidFill>
            <a:ln>
              <a:solidFill>
                <a:schemeClr val="bg1"/>
              </a:solidFill>
            </a:ln>
            <a:effectLst/>
          </c:spPr>
          <c:invertIfNegative val="0"/>
          <c:cat>
            <c:strLit>
              <c:ptCount val="3"/>
              <c:pt idx="0">
                <c:v>China</c:v>
              </c:pt>
              <c:pt idx="1">
                <c:v>Indonesia</c:v>
              </c:pt>
              <c:pt idx="2">
                <c:v>Viet Nam</c:v>
              </c:pt>
            </c:strLit>
          </c:cat>
          <c:val>
            <c:numRef>
              <c:f>Graphs!$D$884:$D$886</c:f>
              <c:numCache>
                <c:formatCode>0%</c:formatCode>
                <c:ptCount val="3"/>
                <c:pt idx="0">
                  <c:v>0.15593898665145817</c:v>
                </c:pt>
                <c:pt idx="1">
                  <c:v>2.8358194235756692E-2</c:v>
                </c:pt>
                <c:pt idx="2">
                  <c:v>7.6595038856339656E-2</c:v>
                </c:pt>
              </c:numCache>
            </c:numRef>
          </c:val>
          <c:extLst>
            <c:ext xmlns:c16="http://schemas.microsoft.com/office/drawing/2014/chart" uri="{C3380CC4-5D6E-409C-BE32-E72D297353CC}">
              <c16:uniqueId val="{00000002-3B5B-43B0-9128-D2911805A009}"/>
            </c:ext>
          </c:extLst>
        </c:ser>
        <c:ser>
          <c:idx val="3"/>
          <c:order val="3"/>
          <c:tx>
            <c:strRef>
              <c:f>Graphs!$E$883</c:f>
              <c:strCache>
                <c:ptCount val="1"/>
                <c:pt idx="0">
                  <c:v>Natural Gas</c:v>
                </c:pt>
              </c:strCache>
            </c:strRef>
          </c:tx>
          <c:spPr>
            <a:solidFill>
              <a:schemeClr val="accent1">
                <a:lumMod val="40000"/>
                <a:lumOff val="60000"/>
              </a:schemeClr>
            </a:solidFill>
            <a:ln>
              <a:solidFill>
                <a:schemeClr val="bg1"/>
              </a:solidFill>
            </a:ln>
            <a:effectLst/>
          </c:spPr>
          <c:invertIfNegative val="0"/>
          <c:cat>
            <c:strLit>
              <c:ptCount val="3"/>
              <c:pt idx="0">
                <c:v>China</c:v>
              </c:pt>
              <c:pt idx="1">
                <c:v>Indonesia</c:v>
              </c:pt>
              <c:pt idx="2">
                <c:v>Viet Nam</c:v>
              </c:pt>
            </c:strLit>
          </c:cat>
          <c:val>
            <c:numRef>
              <c:f>Graphs!$E$884:$E$886</c:f>
              <c:numCache>
                <c:formatCode>0%</c:formatCode>
                <c:ptCount val="3"/>
                <c:pt idx="0">
                  <c:v>8.0082663279367833E-2</c:v>
                </c:pt>
                <c:pt idx="1">
                  <c:v>5.2728537140004278E-2</c:v>
                </c:pt>
                <c:pt idx="2">
                  <c:v>1.364905117600773E-2</c:v>
                </c:pt>
              </c:numCache>
            </c:numRef>
          </c:val>
          <c:extLst>
            <c:ext xmlns:c16="http://schemas.microsoft.com/office/drawing/2014/chart" uri="{C3380CC4-5D6E-409C-BE32-E72D297353CC}">
              <c16:uniqueId val="{00000003-3B5B-43B0-9128-D2911805A009}"/>
            </c:ext>
          </c:extLst>
        </c:ser>
        <c:ser>
          <c:idx val="4"/>
          <c:order val="4"/>
          <c:tx>
            <c:strRef>
              <c:f>Graphs!$F$883</c:f>
              <c:strCache>
                <c:ptCount val="1"/>
                <c:pt idx="0">
                  <c:v>Bioenergy and Waste</c:v>
                </c:pt>
              </c:strCache>
            </c:strRef>
          </c:tx>
          <c:spPr>
            <a:solidFill>
              <a:srgbClr val="00B050"/>
            </a:solidFill>
            <a:ln>
              <a:solidFill>
                <a:schemeClr val="bg1"/>
              </a:solidFill>
            </a:ln>
            <a:effectLst/>
          </c:spPr>
          <c:invertIfNegative val="0"/>
          <c:cat>
            <c:strLit>
              <c:ptCount val="3"/>
              <c:pt idx="0">
                <c:v>China</c:v>
              </c:pt>
              <c:pt idx="1">
                <c:v>Indonesia</c:v>
              </c:pt>
              <c:pt idx="2">
                <c:v>Viet Nam</c:v>
              </c:pt>
            </c:strLit>
          </c:cat>
          <c:val>
            <c:numRef>
              <c:f>Graphs!$F$884:$F$886</c:f>
              <c:numCache>
                <c:formatCode>0%</c:formatCode>
                <c:ptCount val="3"/>
                <c:pt idx="0">
                  <c:v>0</c:v>
                </c:pt>
                <c:pt idx="1">
                  <c:v>8.5350577000543271E-2</c:v>
                </c:pt>
                <c:pt idx="2">
                  <c:v>0.10403114192814056</c:v>
                </c:pt>
              </c:numCache>
            </c:numRef>
          </c:val>
          <c:extLst>
            <c:ext xmlns:c16="http://schemas.microsoft.com/office/drawing/2014/chart" uri="{C3380CC4-5D6E-409C-BE32-E72D297353CC}">
              <c16:uniqueId val="{00000004-3B5B-43B0-9128-D2911805A009}"/>
            </c:ext>
          </c:extLst>
        </c:ser>
        <c:ser>
          <c:idx val="5"/>
          <c:order val="5"/>
          <c:tx>
            <c:strRef>
              <c:f>Graphs!$G$883</c:f>
              <c:strCache>
                <c:ptCount val="1"/>
                <c:pt idx="0">
                  <c:v>Purchased Heat</c:v>
                </c:pt>
              </c:strCache>
            </c:strRef>
          </c:tx>
          <c:spPr>
            <a:solidFill>
              <a:srgbClr val="C00000"/>
            </a:solidFill>
            <a:ln>
              <a:solidFill>
                <a:schemeClr val="bg1"/>
              </a:solidFill>
            </a:ln>
            <a:effectLst/>
          </c:spPr>
          <c:invertIfNegative val="0"/>
          <c:cat>
            <c:strLit>
              <c:ptCount val="3"/>
              <c:pt idx="0">
                <c:v>China</c:v>
              </c:pt>
              <c:pt idx="1">
                <c:v>Indonesia</c:v>
              </c:pt>
              <c:pt idx="2">
                <c:v>Viet Nam</c:v>
              </c:pt>
            </c:strLit>
          </c:cat>
          <c:val>
            <c:numRef>
              <c:f>Graphs!$G$884:$G$886</c:f>
              <c:numCache>
                <c:formatCode>0%</c:formatCode>
                <c:ptCount val="3"/>
                <c:pt idx="0">
                  <c:v>7.9944209599312324E-2</c:v>
                </c:pt>
                <c:pt idx="1">
                  <c:v>0</c:v>
                </c:pt>
                <c:pt idx="2">
                  <c:v>0</c:v>
                </c:pt>
              </c:numCache>
            </c:numRef>
          </c:val>
          <c:extLst>
            <c:ext xmlns:c16="http://schemas.microsoft.com/office/drawing/2014/chart" uri="{C3380CC4-5D6E-409C-BE32-E72D297353CC}">
              <c16:uniqueId val="{00000005-3B5B-43B0-9128-D2911805A009}"/>
            </c:ext>
          </c:extLst>
        </c:ser>
        <c:ser>
          <c:idx val="6"/>
          <c:order val="6"/>
          <c:tx>
            <c:strRef>
              <c:f>Graphs!$H$883</c:f>
              <c:strCache>
                <c:ptCount val="1"/>
                <c:pt idx="0">
                  <c:v>Electricity</c:v>
                </c:pt>
              </c:strCache>
            </c:strRef>
          </c:tx>
          <c:spPr>
            <a:solidFill>
              <a:srgbClr val="FFC000"/>
            </a:solidFill>
            <a:ln>
              <a:solidFill>
                <a:schemeClr val="bg1"/>
              </a:solidFill>
            </a:ln>
            <a:effectLst/>
          </c:spPr>
          <c:invertIfNegative val="0"/>
          <c:cat>
            <c:strLit>
              <c:ptCount val="3"/>
              <c:pt idx="0">
                <c:v>China</c:v>
              </c:pt>
              <c:pt idx="1">
                <c:v>Indonesia</c:v>
              </c:pt>
              <c:pt idx="2">
                <c:v>Viet Nam</c:v>
              </c:pt>
            </c:strLit>
          </c:cat>
          <c:val>
            <c:numRef>
              <c:f>Graphs!$H$884:$H$886</c:f>
              <c:numCache>
                <c:formatCode>0%</c:formatCode>
                <c:ptCount val="3"/>
                <c:pt idx="0">
                  <c:v>0.21336573988424229</c:v>
                </c:pt>
                <c:pt idx="1">
                  <c:v>0.25892304263539356</c:v>
                </c:pt>
                <c:pt idx="2">
                  <c:v>0.19783737849849656</c:v>
                </c:pt>
              </c:numCache>
            </c:numRef>
          </c:val>
          <c:extLst>
            <c:ext xmlns:c16="http://schemas.microsoft.com/office/drawing/2014/chart" uri="{C3380CC4-5D6E-409C-BE32-E72D297353CC}">
              <c16:uniqueId val="{00000006-3B5B-43B0-9128-D2911805A009}"/>
            </c:ext>
          </c:extLst>
        </c:ser>
        <c:dLbls>
          <c:showLegendKey val="0"/>
          <c:showVal val="0"/>
          <c:showCatName val="0"/>
          <c:showSerName val="0"/>
          <c:showPercent val="0"/>
          <c:showBubbleSize val="0"/>
        </c:dLbls>
        <c:gapWidth val="75"/>
        <c:overlap val="100"/>
        <c:axId val="446734815"/>
        <c:axId val="446729055"/>
      </c:barChart>
      <c:catAx>
        <c:axId val="446734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6729055"/>
        <c:crosses val="autoZero"/>
        <c:auto val="1"/>
        <c:lblAlgn val="ctr"/>
        <c:lblOffset val="100"/>
        <c:noMultiLvlLbl val="0"/>
      </c:catAx>
      <c:valAx>
        <c:axId val="44672905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6734815"/>
        <c:crosses val="max"/>
        <c:crossBetween val="between"/>
      </c:valAx>
      <c:spPr>
        <a:noFill/>
        <a:ln>
          <a:noFill/>
        </a:ln>
        <a:effectLst/>
      </c:spPr>
    </c:plotArea>
    <c:legend>
      <c:legendPos val="t"/>
      <c:layout>
        <c:manualLayout>
          <c:xMode val="edge"/>
          <c:yMode val="edge"/>
          <c:x val="0.10167463763442028"/>
          <c:y val="0.15890431780006159"/>
          <c:w val="0.87775483734180737"/>
          <c:h val="0.214135106712420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Industrial Secto</a:t>
            </a:r>
            <a:r>
              <a:rPr lang="en-US" sz="1600" baseline="0"/>
              <a:t>r Electricity Demand</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'Time Series Graphs'!$B$53</c:f>
              <c:strCache>
                <c:ptCount val="1"/>
                <c:pt idx="0">
                  <c:v>Direct use of Electricity by Industry</c:v>
                </c:pt>
              </c:strCache>
            </c:strRef>
          </c:tx>
          <c:spPr>
            <a:solidFill>
              <a:srgbClr val="FFC000"/>
            </a:solidFill>
            <a:ln>
              <a:noFill/>
            </a:ln>
            <a:effectLst/>
          </c:spPr>
          <c:cat>
            <c:numRef>
              <c:f>'Time Series Graphs'!$A$54:$A$60</c:f>
              <c:numCache>
                <c:formatCode>General</c:formatCode>
                <c:ptCount val="7"/>
                <c:pt idx="0">
                  <c:v>2022</c:v>
                </c:pt>
                <c:pt idx="1">
                  <c:v>2025</c:v>
                </c:pt>
                <c:pt idx="2">
                  <c:v>2030</c:v>
                </c:pt>
                <c:pt idx="3">
                  <c:v>2035</c:v>
                </c:pt>
                <c:pt idx="4">
                  <c:v>2040</c:v>
                </c:pt>
                <c:pt idx="5">
                  <c:v>2045</c:v>
                </c:pt>
                <c:pt idx="6">
                  <c:v>2050</c:v>
                </c:pt>
              </c:numCache>
            </c:numRef>
          </c:cat>
          <c:val>
            <c:numRef>
              <c:f>'Time Series Graphs'!$B$54:$B$60</c:f>
              <c:numCache>
                <c:formatCode>0</c:formatCode>
                <c:ptCount val="7"/>
                <c:pt idx="0">
                  <c:v>4413.7206405216893</c:v>
                </c:pt>
                <c:pt idx="1">
                  <c:v>4432.8521471952727</c:v>
                </c:pt>
                <c:pt idx="2">
                  <c:v>4842.4140807550457</c:v>
                </c:pt>
                <c:pt idx="3">
                  <c:v>4992.7456590095162</c:v>
                </c:pt>
                <c:pt idx="4">
                  <c:v>5013.2320214341862</c:v>
                </c:pt>
                <c:pt idx="5">
                  <c:v>5007.6032986303126</c:v>
                </c:pt>
                <c:pt idx="6">
                  <c:v>5047.3389466244071</c:v>
                </c:pt>
              </c:numCache>
            </c:numRef>
          </c:val>
          <c:extLst>
            <c:ext xmlns:c16="http://schemas.microsoft.com/office/drawing/2014/chart" uri="{C3380CC4-5D6E-409C-BE32-E72D297353CC}">
              <c16:uniqueId val="{00000000-B99F-428E-B7C6-6D86F1F294E5}"/>
            </c:ext>
          </c:extLst>
        </c:ser>
        <c:ser>
          <c:idx val="1"/>
          <c:order val="1"/>
          <c:tx>
            <c:strRef>
              <c:f>'Time Series Graphs'!$C$53</c:f>
              <c:strCache>
                <c:ptCount val="1"/>
                <c:pt idx="0">
                  <c:v>Electricity for Green H2 for Industry</c:v>
                </c:pt>
              </c:strCache>
            </c:strRef>
          </c:tx>
          <c:spPr>
            <a:solidFill>
              <a:srgbClr val="92D050"/>
            </a:solidFill>
            <a:ln>
              <a:noFill/>
            </a:ln>
            <a:effectLst/>
          </c:spPr>
          <c:cat>
            <c:numRef>
              <c:f>'Time Series Graphs'!$A$54:$A$60</c:f>
              <c:numCache>
                <c:formatCode>General</c:formatCode>
                <c:ptCount val="7"/>
                <c:pt idx="0">
                  <c:v>2022</c:v>
                </c:pt>
                <c:pt idx="1">
                  <c:v>2025</c:v>
                </c:pt>
                <c:pt idx="2">
                  <c:v>2030</c:v>
                </c:pt>
                <c:pt idx="3">
                  <c:v>2035</c:v>
                </c:pt>
                <c:pt idx="4">
                  <c:v>2040</c:v>
                </c:pt>
                <c:pt idx="5">
                  <c:v>2045</c:v>
                </c:pt>
                <c:pt idx="6">
                  <c:v>2050</c:v>
                </c:pt>
              </c:numCache>
            </c:numRef>
          </c:cat>
          <c:val>
            <c:numRef>
              <c:f>'Time Series Graphs'!$C$54:$C$60</c:f>
              <c:numCache>
                <c:formatCode>0</c:formatCode>
                <c:ptCount val="7"/>
                <c:pt idx="0">
                  <c:v>0</c:v>
                </c:pt>
                <c:pt idx="1">
                  <c:v>0</c:v>
                </c:pt>
                <c:pt idx="2">
                  <c:v>362.52983167200205</c:v>
                </c:pt>
                <c:pt idx="3">
                  <c:v>807.76211617238698</c:v>
                </c:pt>
                <c:pt idx="4">
                  <c:v>1436.7648773524209</c:v>
                </c:pt>
                <c:pt idx="5">
                  <c:v>2197.4342699739786</c:v>
                </c:pt>
                <c:pt idx="6">
                  <c:v>3491.9061621464753</c:v>
                </c:pt>
              </c:numCache>
            </c:numRef>
          </c:val>
          <c:extLst>
            <c:ext xmlns:c16="http://schemas.microsoft.com/office/drawing/2014/chart" uri="{C3380CC4-5D6E-409C-BE32-E72D297353CC}">
              <c16:uniqueId val="{00000001-B99F-428E-B7C6-6D86F1F294E5}"/>
            </c:ext>
          </c:extLst>
        </c:ser>
        <c:ser>
          <c:idx val="2"/>
          <c:order val="2"/>
          <c:tx>
            <c:strRef>
              <c:f>'Time Series Graphs'!$D$53</c:f>
              <c:strCache>
                <c:ptCount val="1"/>
                <c:pt idx="0">
                  <c:v>Electricity for Rest of Economy (BAU Projection)</c:v>
                </c:pt>
              </c:strCache>
            </c:strRef>
          </c:tx>
          <c:spPr>
            <a:solidFill>
              <a:schemeClr val="bg1">
                <a:lumMod val="65000"/>
              </a:schemeClr>
            </a:solidFill>
            <a:ln w="38100">
              <a:noFill/>
              <a:prstDash val="dash"/>
            </a:ln>
            <a:effectLst/>
          </c:spPr>
          <c:cat>
            <c:numRef>
              <c:f>'Time Series Graphs'!$A$54:$A$60</c:f>
              <c:numCache>
                <c:formatCode>General</c:formatCode>
                <c:ptCount val="7"/>
                <c:pt idx="0">
                  <c:v>2022</c:v>
                </c:pt>
                <c:pt idx="1">
                  <c:v>2025</c:v>
                </c:pt>
                <c:pt idx="2">
                  <c:v>2030</c:v>
                </c:pt>
                <c:pt idx="3">
                  <c:v>2035</c:v>
                </c:pt>
                <c:pt idx="4">
                  <c:v>2040</c:v>
                </c:pt>
                <c:pt idx="5">
                  <c:v>2045</c:v>
                </c:pt>
                <c:pt idx="6">
                  <c:v>2050</c:v>
                </c:pt>
              </c:numCache>
            </c:numRef>
          </c:cat>
          <c:val>
            <c:numRef>
              <c:f>'Time Series Graphs'!$D$54:$D$60</c:f>
              <c:numCache>
                <c:formatCode>0</c:formatCode>
                <c:ptCount val="7"/>
                <c:pt idx="0">
                  <c:v>4413.7529999999988</c:v>
                </c:pt>
                <c:pt idx="1">
                  <c:v>5048.3826239180044</c:v>
                </c:pt>
                <c:pt idx="2">
                  <c:v>5683.0598699636757</c:v>
                </c:pt>
                <c:pt idx="3">
                  <c:v>6317.7371160093489</c:v>
                </c:pt>
                <c:pt idx="4">
                  <c:v>6952.4143620550203</c:v>
                </c:pt>
                <c:pt idx="5">
                  <c:v>7587.0916081006926</c:v>
                </c:pt>
                <c:pt idx="6">
                  <c:v>8221.7688541463649</c:v>
                </c:pt>
              </c:numCache>
            </c:numRef>
          </c:val>
          <c:extLst>
            <c:ext xmlns:c16="http://schemas.microsoft.com/office/drawing/2014/chart" uri="{C3380CC4-5D6E-409C-BE32-E72D297353CC}">
              <c16:uniqueId val="{0000001D-B99F-428E-B7C6-6D86F1F294E5}"/>
            </c:ext>
          </c:extLst>
        </c:ser>
        <c:dLbls>
          <c:showLegendKey val="0"/>
          <c:showVal val="0"/>
          <c:showCatName val="0"/>
          <c:showSerName val="0"/>
          <c:showPercent val="0"/>
          <c:showBubbleSize val="0"/>
        </c:dLbls>
        <c:axId val="1694765103"/>
        <c:axId val="1694743983"/>
      </c:areaChart>
      <c:catAx>
        <c:axId val="169476510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694743983"/>
        <c:crosses val="autoZero"/>
        <c:auto val="1"/>
        <c:lblAlgn val="ctr"/>
        <c:lblOffset val="100"/>
        <c:noMultiLvlLbl val="0"/>
      </c:catAx>
      <c:valAx>
        <c:axId val="16947439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t>Terawatt-Hours</a:t>
                </a:r>
                <a:r>
                  <a:rPr lang="en-US" sz="1400" baseline="0"/>
                  <a:t> per Year</a:t>
                </a:r>
                <a:endParaRPr lang="en-US" sz="140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694765103"/>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CO2</a:t>
            </a:r>
            <a:r>
              <a:rPr lang="en-US" sz="1600" baseline="0"/>
              <a:t> Emissions from  Industrial Sector and from Electricity Purchased by Industry</a:t>
            </a:r>
            <a:endParaRPr lang="en-US" sz="1600"/>
          </a:p>
        </c:rich>
      </c:tx>
      <c:layout>
        <c:manualLayout>
          <c:xMode val="edge"/>
          <c:yMode val="edge"/>
          <c:x val="0.22861413195093022"/>
          <c:y val="8.5840448965825364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6001779943109198E-2"/>
          <c:y val="0.18100996357526145"/>
          <c:w val="0.91463123658915291"/>
          <c:h val="0.7653397558210977"/>
        </c:manualLayout>
      </c:layout>
      <c:areaChart>
        <c:grouping val="stacked"/>
        <c:varyColors val="0"/>
        <c:ser>
          <c:idx val="0"/>
          <c:order val="0"/>
          <c:tx>
            <c:strRef>
              <c:f>'Time Series Graphs'!$B$97</c:f>
              <c:strCache>
                <c:ptCount val="1"/>
                <c:pt idx="0">
                  <c:v>Fossil Feedstocks</c:v>
                </c:pt>
              </c:strCache>
            </c:strRef>
          </c:tx>
          <c:spPr>
            <a:solidFill>
              <a:schemeClr val="accent1"/>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Graphs'!$B$98:$B$104</c:f>
              <c:numCache>
                <c:formatCode>0</c:formatCode>
                <c:ptCount val="7"/>
                <c:pt idx="0">
                  <c:v>291.54782646400002</c:v>
                </c:pt>
                <c:pt idx="1">
                  <c:v>305.73662289608075</c:v>
                </c:pt>
                <c:pt idx="2">
                  <c:v>283.12972237906558</c:v>
                </c:pt>
                <c:pt idx="3">
                  <c:v>253.6617441109683</c:v>
                </c:pt>
                <c:pt idx="4">
                  <c:v>195.31723019026174</c:v>
                </c:pt>
                <c:pt idx="5">
                  <c:v>123.93043808470853</c:v>
                </c:pt>
                <c:pt idx="6">
                  <c:v>0</c:v>
                </c:pt>
              </c:numCache>
            </c:numRef>
          </c:val>
          <c:extLst>
            <c:ext xmlns:c16="http://schemas.microsoft.com/office/drawing/2014/chart" uri="{C3380CC4-5D6E-409C-BE32-E72D297353CC}">
              <c16:uniqueId val="{00000000-8FF1-40A2-A441-E03C46BFFCCE}"/>
            </c:ext>
          </c:extLst>
        </c:ser>
        <c:ser>
          <c:idx val="1"/>
          <c:order val="1"/>
          <c:tx>
            <c:strRef>
              <c:f>'Time Series Graphs'!$C$97</c:f>
              <c:strCache>
                <c:ptCount val="1"/>
                <c:pt idx="0">
                  <c:v>Coal</c:v>
                </c:pt>
              </c:strCache>
            </c:strRef>
          </c:tx>
          <c:spPr>
            <a:solidFill>
              <a:schemeClr val="tx1"/>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Graphs'!$C$98:$C$104</c:f>
              <c:numCache>
                <c:formatCode>0</c:formatCode>
                <c:ptCount val="7"/>
                <c:pt idx="0">
                  <c:v>1046.5249307939796</c:v>
                </c:pt>
                <c:pt idx="1">
                  <c:v>1041.5160984306399</c:v>
                </c:pt>
                <c:pt idx="2">
                  <c:v>588.28333310231869</c:v>
                </c:pt>
                <c:pt idx="3">
                  <c:v>336.72839408526443</c:v>
                </c:pt>
                <c:pt idx="4">
                  <c:v>165.58528552965484</c:v>
                </c:pt>
                <c:pt idx="5">
                  <c:v>75.473144100037459</c:v>
                </c:pt>
                <c:pt idx="6">
                  <c:v>-4.117889563065708E-15</c:v>
                </c:pt>
              </c:numCache>
            </c:numRef>
          </c:val>
          <c:extLst>
            <c:ext xmlns:c16="http://schemas.microsoft.com/office/drawing/2014/chart" uri="{C3380CC4-5D6E-409C-BE32-E72D297353CC}">
              <c16:uniqueId val="{00000001-8FF1-40A2-A441-E03C46BFFCCE}"/>
            </c:ext>
          </c:extLst>
        </c:ser>
        <c:ser>
          <c:idx val="2"/>
          <c:order val="2"/>
          <c:tx>
            <c:strRef>
              <c:f>'Time Series Graphs'!$D$97</c:f>
              <c:strCache>
                <c:ptCount val="1"/>
                <c:pt idx="0">
                  <c:v>Coke</c:v>
                </c:pt>
              </c:strCache>
            </c:strRef>
          </c:tx>
          <c:spPr>
            <a:solidFill>
              <a:srgbClr val="762700"/>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Graphs'!$D$98:$D$104</c:f>
              <c:numCache>
                <c:formatCode>0</c:formatCode>
                <c:ptCount val="7"/>
                <c:pt idx="0">
                  <c:v>1401.9053298733043</c:v>
                </c:pt>
                <c:pt idx="1">
                  <c:v>1379.2213816118665</c:v>
                </c:pt>
                <c:pt idx="2">
                  <c:v>690.97161539741614</c:v>
                </c:pt>
                <c:pt idx="3">
                  <c:v>356.37521646703277</c:v>
                </c:pt>
                <c:pt idx="4">
                  <c:v>157.45083073249671</c:v>
                </c:pt>
                <c:pt idx="5">
                  <c:v>64.144604907176301</c:v>
                </c:pt>
                <c:pt idx="6">
                  <c:v>2.6076720181670496E-16</c:v>
                </c:pt>
              </c:numCache>
            </c:numRef>
          </c:val>
          <c:extLst>
            <c:ext xmlns:c16="http://schemas.microsoft.com/office/drawing/2014/chart" uri="{C3380CC4-5D6E-409C-BE32-E72D297353CC}">
              <c16:uniqueId val="{00000002-8FF1-40A2-A441-E03C46BFFCCE}"/>
            </c:ext>
          </c:extLst>
        </c:ser>
        <c:ser>
          <c:idx val="3"/>
          <c:order val="3"/>
          <c:tx>
            <c:strRef>
              <c:f>'Time Series Graphs'!$E$97</c:f>
              <c:strCache>
                <c:ptCount val="1"/>
                <c:pt idx="0">
                  <c:v>Coal/Coke Byproducts</c:v>
                </c:pt>
              </c:strCache>
            </c:strRef>
          </c:tx>
          <c:spPr>
            <a:solidFill>
              <a:srgbClr val="B45A00"/>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Graphs'!$E$98:$E$104</c:f>
              <c:numCache>
                <c:formatCode>0</c:formatCode>
                <c:ptCount val="7"/>
                <c:pt idx="0">
                  <c:v>253.85728628269021</c:v>
                </c:pt>
                <c:pt idx="1">
                  <c:v>250.18622565996401</c:v>
                </c:pt>
                <c:pt idx="2">
                  <c:v>131.59224854452813</c:v>
                </c:pt>
                <c:pt idx="3">
                  <c:v>72.872903232838894</c:v>
                </c:pt>
                <c:pt idx="4">
                  <c:v>36.185960635478068</c:v>
                </c:pt>
                <c:pt idx="5">
                  <c:v>16.739092989180101</c:v>
                </c:pt>
                <c:pt idx="6">
                  <c:v>8.6668752107907471E-18</c:v>
                </c:pt>
              </c:numCache>
            </c:numRef>
          </c:val>
          <c:extLst>
            <c:ext xmlns:c16="http://schemas.microsoft.com/office/drawing/2014/chart" uri="{C3380CC4-5D6E-409C-BE32-E72D297353CC}">
              <c16:uniqueId val="{00000003-8FF1-40A2-A441-E03C46BFFCCE}"/>
            </c:ext>
          </c:extLst>
        </c:ser>
        <c:ser>
          <c:idx val="4"/>
          <c:order val="4"/>
          <c:tx>
            <c:strRef>
              <c:f>'Time Series Graphs'!$F$97</c:f>
              <c:strCache>
                <c:ptCount val="1"/>
                <c:pt idx="0">
                  <c:v>Petroleum</c:v>
                </c:pt>
              </c:strCache>
            </c:strRef>
          </c:tx>
          <c:spPr>
            <a:solidFill>
              <a:srgbClr val="7030A0"/>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Graphs'!$F$98:$F$104</c:f>
              <c:numCache>
                <c:formatCode>0</c:formatCode>
                <c:ptCount val="7"/>
                <c:pt idx="0">
                  <c:v>814.06065220380538</c:v>
                </c:pt>
                <c:pt idx="1">
                  <c:v>826.1891699737206</c:v>
                </c:pt>
                <c:pt idx="2">
                  <c:v>546.13691441032643</c:v>
                </c:pt>
                <c:pt idx="3">
                  <c:v>373.91605217116421</c:v>
                </c:pt>
                <c:pt idx="4">
                  <c:v>227.99260104754021</c:v>
                </c:pt>
                <c:pt idx="5">
                  <c:v>127.97886889474218</c:v>
                </c:pt>
                <c:pt idx="6">
                  <c:v>-6.8974728491544307E-17</c:v>
                </c:pt>
              </c:numCache>
            </c:numRef>
          </c:val>
          <c:extLst>
            <c:ext xmlns:c16="http://schemas.microsoft.com/office/drawing/2014/chart" uri="{C3380CC4-5D6E-409C-BE32-E72D297353CC}">
              <c16:uniqueId val="{00000004-8FF1-40A2-A441-E03C46BFFCCE}"/>
            </c:ext>
          </c:extLst>
        </c:ser>
        <c:ser>
          <c:idx val="5"/>
          <c:order val="5"/>
          <c:tx>
            <c:strRef>
              <c:f>'Time Series Graphs'!$G$97</c:f>
              <c:strCache>
                <c:ptCount val="1"/>
                <c:pt idx="0">
                  <c:v>Natural Gas</c:v>
                </c:pt>
              </c:strCache>
            </c:strRef>
          </c:tx>
          <c:spPr>
            <a:solidFill>
              <a:srgbClr val="FF3399"/>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Graphs'!$G$98:$G$104</c:f>
              <c:numCache>
                <c:formatCode>0</c:formatCode>
                <c:ptCount val="7"/>
                <c:pt idx="0">
                  <c:v>299.92378409889028</c:v>
                </c:pt>
                <c:pt idx="1">
                  <c:v>302.20891136054939</c:v>
                </c:pt>
                <c:pt idx="2">
                  <c:v>177.16699205201414</c:v>
                </c:pt>
                <c:pt idx="3">
                  <c:v>104.31244349481103</c:v>
                </c:pt>
                <c:pt idx="4">
                  <c:v>51.605107437327959</c:v>
                </c:pt>
                <c:pt idx="5">
                  <c:v>23.613720431211437</c:v>
                </c:pt>
                <c:pt idx="6">
                  <c:v>-2.6715649732828938E-15</c:v>
                </c:pt>
              </c:numCache>
            </c:numRef>
          </c:val>
          <c:extLst>
            <c:ext xmlns:c16="http://schemas.microsoft.com/office/drawing/2014/chart" uri="{C3380CC4-5D6E-409C-BE32-E72D297353CC}">
              <c16:uniqueId val="{00000005-8FF1-40A2-A441-E03C46BFFCCE}"/>
            </c:ext>
          </c:extLst>
        </c:ser>
        <c:ser>
          <c:idx val="6"/>
          <c:order val="6"/>
          <c:tx>
            <c:strRef>
              <c:f>'Time Series Graphs'!$H$97</c:f>
              <c:strCache>
                <c:ptCount val="1"/>
                <c:pt idx="0">
                  <c:v>Fossil Fuels w/ Carbon Capture</c:v>
                </c:pt>
              </c:strCache>
            </c:strRef>
          </c:tx>
          <c:spPr>
            <a:solidFill>
              <a:srgbClr val="FF6600"/>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Graphs'!$H$98:$H$104</c:f>
              <c:numCache>
                <c:formatCode>0</c:formatCode>
                <c:ptCount val="7"/>
                <c:pt idx="0">
                  <c:v>0</c:v>
                </c:pt>
                <c:pt idx="1">
                  <c:v>0</c:v>
                </c:pt>
                <c:pt idx="2">
                  <c:v>23.159030677925138</c:v>
                </c:pt>
                <c:pt idx="3">
                  <c:v>32.400806648164277</c:v>
                </c:pt>
                <c:pt idx="4">
                  <c:v>35.980009521515782</c:v>
                </c:pt>
                <c:pt idx="5">
                  <c:v>41.064358189607468</c:v>
                </c:pt>
                <c:pt idx="6">
                  <c:v>49.493860721511567</c:v>
                </c:pt>
              </c:numCache>
            </c:numRef>
          </c:val>
          <c:extLst>
            <c:ext xmlns:c16="http://schemas.microsoft.com/office/drawing/2014/chart" uri="{C3380CC4-5D6E-409C-BE32-E72D297353CC}">
              <c16:uniqueId val="{00000006-8FF1-40A2-A441-E03C46BFFCCE}"/>
            </c:ext>
          </c:extLst>
        </c:ser>
        <c:ser>
          <c:idx val="7"/>
          <c:order val="7"/>
          <c:tx>
            <c:strRef>
              <c:f>'Time Series Graphs'!$I$97</c:f>
              <c:strCache>
                <c:ptCount val="1"/>
                <c:pt idx="0">
                  <c:v>Cement Calcination</c:v>
                </c:pt>
              </c:strCache>
            </c:strRef>
          </c:tx>
          <c:spPr>
            <a:solidFill>
              <a:schemeClr val="bg1">
                <a:lumMod val="65000"/>
              </a:schemeClr>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Graphs'!$I$98:$I$104</c:f>
              <c:numCache>
                <c:formatCode>0</c:formatCode>
                <c:ptCount val="7"/>
                <c:pt idx="0">
                  <c:v>979</c:v>
                </c:pt>
                <c:pt idx="1">
                  <c:v>948.1953589256002</c:v>
                </c:pt>
                <c:pt idx="2">
                  <c:v>623.58415678738891</c:v>
                </c:pt>
                <c:pt idx="3">
                  <c:v>415.06200657331595</c:v>
                </c:pt>
                <c:pt idx="4">
                  <c:v>260.78184402662134</c:v>
                </c:pt>
                <c:pt idx="5">
                  <c:v>145.77310879471074</c:v>
                </c:pt>
                <c:pt idx="6">
                  <c:v>48.879772461524176</c:v>
                </c:pt>
              </c:numCache>
            </c:numRef>
          </c:val>
          <c:extLst>
            <c:ext xmlns:c16="http://schemas.microsoft.com/office/drawing/2014/chart" uri="{C3380CC4-5D6E-409C-BE32-E72D297353CC}">
              <c16:uniqueId val="{00000007-8FF1-40A2-A441-E03C46BFFCCE}"/>
            </c:ext>
          </c:extLst>
        </c:ser>
        <c:ser>
          <c:idx val="8"/>
          <c:order val="8"/>
          <c:tx>
            <c:strRef>
              <c:f>'Time Series Graphs'!$J$97</c:f>
              <c:strCache>
                <c:ptCount val="1"/>
                <c:pt idx="0">
                  <c:v>Fugitive Methane</c:v>
                </c:pt>
              </c:strCache>
            </c:strRef>
          </c:tx>
          <c:spPr>
            <a:solidFill>
              <a:schemeClr val="accent3">
                <a:lumMod val="60000"/>
                <a:lumOff val="40000"/>
              </a:schemeClr>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Graphs'!$J$98:$J$104</c:f>
              <c:numCache>
                <c:formatCode>0</c:formatCode>
                <c:ptCount val="7"/>
                <c:pt idx="0">
                  <c:v>521.38599714100735</c:v>
                </c:pt>
                <c:pt idx="1">
                  <c:v>517.6884517502624</c:v>
                </c:pt>
                <c:pt idx="2">
                  <c:v>327.10905604345811</c:v>
                </c:pt>
                <c:pt idx="3">
                  <c:v>218.470842821411</c:v>
                </c:pt>
                <c:pt idx="4">
                  <c:v>139.08554799405104</c:v>
                </c:pt>
                <c:pt idx="5">
                  <c:v>101.38054431502491</c:v>
                </c:pt>
                <c:pt idx="6">
                  <c:v>74.586411862148211</c:v>
                </c:pt>
              </c:numCache>
            </c:numRef>
          </c:val>
          <c:extLst>
            <c:ext xmlns:c16="http://schemas.microsoft.com/office/drawing/2014/chart" uri="{C3380CC4-5D6E-409C-BE32-E72D297353CC}">
              <c16:uniqueId val="{00000008-8FF1-40A2-A441-E03C46BFFCCE}"/>
            </c:ext>
          </c:extLst>
        </c:ser>
        <c:ser>
          <c:idx val="9"/>
          <c:order val="9"/>
          <c:tx>
            <c:strRef>
              <c:f>'Time Series Graphs'!$K$97</c:f>
              <c:strCache>
                <c:ptCount val="1"/>
                <c:pt idx="0">
                  <c:v>Electricity (on-target)</c:v>
                </c:pt>
              </c:strCache>
            </c:strRef>
          </c:tx>
          <c:spPr>
            <a:solidFill>
              <a:srgbClr val="FFC000"/>
            </a:solidFill>
            <a:ln w="25400">
              <a:noFill/>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Graphs'!$K$98:$K$104</c:f>
              <c:numCache>
                <c:formatCode>0</c:formatCode>
                <c:ptCount val="7"/>
                <c:pt idx="0">
                  <c:v>2928.9570261316371</c:v>
                </c:pt>
                <c:pt idx="1">
                  <c:v>2626.4756660841335</c:v>
                </c:pt>
                <c:pt idx="2">
                  <c:v>2467.1535301211434</c:v>
                </c:pt>
                <c:pt idx="3">
                  <c:v>2062.0889688937282</c:v>
                </c:pt>
                <c:pt idx="4">
                  <c:v>1528.6555326867647</c:v>
                </c:pt>
                <c:pt idx="5">
                  <c:v>853.80045256571657</c:v>
                </c:pt>
                <c:pt idx="6">
                  <c:v>0</c:v>
                </c:pt>
              </c:numCache>
            </c:numRef>
          </c:val>
          <c:extLst>
            <c:ext xmlns:c16="http://schemas.microsoft.com/office/drawing/2014/chart" uri="{C3380CC4-5D6E-409C-BE32-E72D297353CC}">
              <c16:uniqueId val="{00000009-8FF1-40A2-A441-E03C46BFFCCE}"/>
            </c:ext>
          </c:extLst>
        </c:ser>
        <c:ser>
          <c:idx val="10"/>
          <c:order val="10"/>
          <c:tx>
            <c:strRef>
              <c:f>'Time Series Graphs'!$L$97</c:f>
              <c:strCache>
                <c:ptCount val="1"/>
                <c:pt idx="0">
                  <c:v>Electricity (off-target)</c:v>
                </c:pt>
              </c:strCache>
            </c:strRef>
          </c:tx>
          <c:spPr>
            <a:noFill/>
            <a:ln w="38100">
              <a:solidFill>
                <a:schemeClr val="tx1"/>
              </a:solidFill>
              <a:prstDash val="dash"/>
            </a:ln>
            <a:effectLst/>
          </c:spPr>
          <c:cat>
            <c:numRef>
              <c:f>'Time Series Graphs'!$A$98:$A$104</c:f>
              <c:numCache>
                <c:formatCode>General</c:formatCode>
                <c:ptCount val="7"/>
                <c:pt idx="0">
                  <c:v>2022</c:v>
                </c:pt>
                <c:pt idx="1">
                  <c:v>2025</c:v>
                </c:pt>
                <c:pt idx="2">
                  <c:v>2030</c:v>
                </c:pt>
                <c:pt idx="3">
                  <c:v>2035</c:v>
                </c:pt>
                <c:pt idx="4">
                  <c:v>2040</c:v>
                </c:pt>
                <c:pt idx="5">
                  <c:v>2045</c:v>
                </c:pt>
                <c:pt idx="6">
                  <c:v>2050</c:v>
                </c:pt>
              </c:numCache>
            </c:numRef>
          </c:cat>
          <c:val>
            <c:numRef>
              <c:f>'Time Series Graphs'!$L$98:$L$104</c:f>
              <c:numCache>
                <c:formatCode>0</c:formatCode>
                <c:ptCount val="7"/>
                <c:pt idx="0">
                  <c:v>0</c:v>
                </c:pt>
                <c:pt idx="1">
                  <c:v>315.17707993009572</c:v>
                </c:pt>
                <c:pt idx="2">
                  <c:v>986.86141204845705</c:v>
                </c:pt>
                <c:pt idx="3">
                  <c:v>1787.1437730412313</c:v>
                </c:pt>
                <c:pt idx="4">
                  <c:v>2751.579958836176</c:v>
                </c:pt>
                <c:pt idx="5">
                  <c:v>3927.4820818022954</c:v>
                </c:pt>
                <c:pt idx="6">
                  <c:v>5666.6662882040609</c:v>
                </c:pt>
              </c:numCache>
            </c:numRef>
          </c:val>
          <c:extLst>
            <c:ext xmlns:c16="http://schemas.microsoft.com/office/drawing/2014/chart" uri="{C3380CC4-5D6E-409C-BE32-E72D297353CC}">
              <c16:uniqueId val="{00000000-40A4-40E7-8057-B4AEC6774F1B}"/>
            </c:ext>
          </c:extLst>
        </c:ser>
        <c:dLbls>
          <c:showLegendKey val="0"/>
          <c:showVal val="0"/>
          <c:showCatName val="0"/>
          <c:showSerName val="0"/>
          <c:showPercent val="0"/>
          <c:showBubbleSize val="0"/>
        </c:dLbls>
        <c:axId val="50182831"/>
        <c:axId val="50193391"/>
      </c:areaChart>
      <c:catAx>
        <c:axId val="501828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50193391"/>
        <c:crosses val="autoZero"/>
        <c:auto val="1"/>
        <c:lblAlgn val="ctr"/>
        <c:lblOffset val="100"/>
        <c:noMultiLvlLbl val="0"/>
      </c:catAx>
      <c:valAx>
        <c:axId val="5019339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t>Million Metric Tonnes CO2 per</a:t>
                </a:r>
                <a:r>
                  <a:rPr lang="en-US" sz="1400" baseline="0"/>
                  <a:t> Year</a:t>
                </a:r>
                <a:endParaRPr lang="en-US" sz="140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50182831"/>
        <c:crosses val="autoZero"/>
        <c:crossBetween val="midCat"/>
      </c:valAx>
      <c:spPr>
        <a:noFill/>
        <a:ln>
          <a:noFill/>
        </a:ln>
        <a:effectLst/>
      </c:spPr>
    </c:plotArea>
    <c:legend>
      <c:legendPos val="t"/>
      <c:layout>
        <c:manualLayout>
          <c:xMode val="edge"/>
          <c:yMode val="edge"/>
          <c:x val="0.10877524992176678"/>
          <c:y val="5.8470094570542877E-2"/>
          <c:w val="0.81285826567272079"/>
          <c:h val="0.1211216058526082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Annual Industrial Energy Expenditures by Energy Type</a:t>
            </a:r>
          </a:p>
        </c:rich>
      </c:tx>
      <c:layout>
        <c:manualLayout>
          <c:xMode val="edge"/>
          <c:yMode val="edge"/>
          <c:x val="0.32585225687663888"/>
          <c:y val="1.07300561207281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6001779943109198E-2"/>
          <c:y val="0.22747458840372226"/>
          <c:w val="0.91463123658915291"/>
          <c:h val="0.71726604628966839"/>
        </c:manualLayout>
      </c:layout>
      <c:areaChart>
        <c:grouping val="stacked"/>
        <c:varyColors val="0"/>
        <c:ser>
          <c:idx val="0"/>
          <c:order val="0"/>
          <c:tx>
            <c:strRef>
              <c:f>'Time Series Graphs'!$B$141</c:f>
              <c:strCache>
                <c:ptCount val="1"/>
                <c:pt idx="0">
                  <c:v>Fossil Feedstocks</c:v>
                </c:pt>
              </c:strCache>
            </c:strRef>
          </c:tx>
          <c:spPr>
            <a:solidFill>
              <a:srgbClr val="156082"/>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Graphs'!$B$142:$B$148</c:f>
              <c:numCache>
                <c:formatCode>0</c:formatCode>
                <c:ptCount val="7"/>
                <c:pt idx="0">
                  <c:v>27.712755965472951</c:v>
                </c:pt>
                <c:pt idx="1">
                  <c:v>29.825623207726178</c:v>
                </c:pt>
                <c:pt idx="2">
                  <c:v>28.799682570544551</c:v>
                </c:pt>
                <c:pt idx="3">
                  <c:v>26.858910634169391</c:v>
                </c:pt>
                <c:pt idx="4">
                  <c:v>21.494752130683139</c:v>
                </c:pt>
                <c:pt idx="5">
                  <c:v>14.154861249248953</c:v>
                </c:pt>
                <c:pt idx="6">
                  <c:v>0</c:v>
                </c:pt>
              </c:numCache>
            </c:numRef>
          </c:val>
          <c:extLst>
            <c:ext xmlns:c16="http://schemas.microsoft.com/office/drawing/2014/chart" uri="{C3380CC4-5D6E-409C-BE32-E72D297353CC}">
              <c16:uniqueId val="{00000000-722C-413D-9CE5-4E421E4AD96F}"/>
            </c:ext>
          </c:extLst>
        </c:ser>
        <c:ser>
          <c:idx val="1"/>
          <c:order val="1"/>
          <c:tx>
            <c:strRef>
              <c:f>'Time Series Graphs'!$C$141</c:f>
              <c:strCache>
                <c:ptCount val="1"/>
                <c:pt idx="0">
                  <c:v>Coal</c:v>
                </c:pt>
              </c:strCache>
            </c:strRef>
          </c:tx>
          <c:spPr>
            <a:solidFill>
              <a:schemeClr val="tx1"/>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Graphs'!$C$142:$C$148</c:f>
              <c:numCache>
                <c:formatCode>0</c:formatCode>
                <c:ptCount val="7"/>
                <c:pt idx="0">
                  <c:v>38.878111985514025</c:v>
                </c:pt>
                <c:pt idx="1">
                  <c:v>39.382964448186677</c:v>
                </c:pt>
                <c:pt idx="2">
                  <c:v>22.89525674893105</c:v>
                </c:pt>
                <c:pt idx="3">
                  <c:v>13.477353505653966</c:v>
                </c:pt>
                <c:pt idx="4">
                  <c:v>6.8105312715369495</c:v>
                </c:pt>
                <c:pt idx="5">
                  <c:v>3.1876609013943678</c:v>
                </c:pt>
                <c:pt idx="6">
                  <c:v>-1.7847486923343906E-16</c:v>
                </c:pt>
              </c:numCache>
            </c:numRef>
          </c:val>
          <c:extLst>
            <c:ext xmlns:c16="http://schemas.microsoft.com/office/drawing/2014/chart" uri="{C3380CC4-5D6E-409C-BE32-E72D297353CC}">
              <c16:uniqueId val="{00000001-722C-413D-9CE5-4E421E4AD96F}"/>
            </c:ext>
          </c:extLst>
        </c:ser>
        <c:ser>
          <c:idx val="2"/>
          <c:order val="2"/>
          <c:tx>
            <c:strRef>
              <c:f>'Time Series Graphs'!$D$141</c:f>
              <c:strCache>
                <c:ptCount val="1"/>
                <c:pt idx="0">
                  <c:v>Coke</c:v>
                </c:pt>
              </c:strCache>
            </c:strRef>
          </c:tx>
          <c:spPr>
            <a:solidFill>
              <a:srgbClr val="76270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Graphs'!$D$142:$D$148</c:f>
              <c:numCache>
                <c:formatCode>0</c:formatCode>
                <c:ptCount val="7"/>
                <c:pt idx="0">
                  <c:v>43.37513021971759</c:v>
                </c:pt>
                <c:pt idx="1">
                  <c:v>43.43530892262892</c:v>
                </c:pt>
                <c:pt idx="2">
                  <c:v>22.396785882396319</c:v>
                </c:pt>
                <c:pt idx="3">
                  <c:v>11.879519971694855</c:v>
                </c:pt>
                <c:pt idx="4">
                  <c:v>5.3935005035534846</c:v>
                </c:pt>
                <c:pt idx="5">
                  <c:v>2.2563492592289585</c:v>
                </c:pt>
                <c:pt idx="6">
                  <c:v>9.4128656745045811E-18</c:v>
                </c:pt>
              </c:numCache>
            </c:numRef>
          </c:val>
          <c:extLst>
            <c:ext xmlns:c16="http://schemas.microsoft.com/office/drawing/2014/chart" uri="{C3380CC4-5D6E-409C-BE32-E72D297353CC}">
              <c16:uniqueId val="{00000002-722C-413D-9CE5-4E421E4AD96F}"/>
            </c:ext>
          </c:extLst>
        </c:ser>
        <c:ser>
          <c:idx val="3"/>
          <c:order val="3"/>
          <c:tx>
            <c:strRef>
              <c:f>'Time Series Graphs'!$E$141</c:f>
              <c:strCache>
                <c:ptCount val="1"/>
                <c:pt idx="0">
                  <c:v>Coal/Coke Byproducts</c:v>
                </c:pt>
              </c:strCache>
            </c:strRef>
          </c:tx>
          <c:spPr>
            <a:solidFill>
              <a:srgbClr val="B45A0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Graphs'!$E$142:$E$148</c:f>
              <c:numCache>
                <c:formatCode>0</c:formatCode>
                <c:ptCount val="7"/>
                <c:pt idx="0">
                  <c:v>19.056713406575177</c:v>
                </c:pt>
                <c:pt idx="1">
                  <c:v>19.11650934847291</c:v>
                </c:pt>
                <c:pt idx="2">
                  <c:v>10.348849316225936</c:v>
                </c:pt>
                <c:pt idx="3">
                  <c:v>5.8937774756363446</c:v>
                </c:pt>
                <c:pt idx="4">
                  <c:v>3.007475779201088</c:v>
                </c:pt>
                <c:pt idx="5">
                  <c:v>1.4286122737999551</c:v>
                </c:pt>
                <c:pt idx="6">
                  <c:v>7.5904531248493316E-19</c:v>
                </c:pt>
              </c:numCache>
            </c:numRef>
          </c:val>
          <c:extLst>
            <c:ext xmlns:c16="http://schemas.microsoft.com/office/drawing/2014/chart" uri="{C3380CC4-5D6E-409C-BE32-E72D297353CC}">
              <c16:uniqueId val="{00000003-722C-413D-9CE5-4E421E4AD96F}"/>
            </c:ext>
          </c:extLst>
        </c:ser>
        <c:ser>
          <c:idx val="4"/>
          <c:order val="4"/>
          <c:tx>
            <c:strRef>
              <c:f>'Time Series Graphs'!$F$141</c:f>
              <c:strCache>
                <c:ptCount val="1"/>
                <c:pt idx="0">
                  <c:v>Petroleum</c:v>
                </c:pt>
              </c:strCache>
            </c:strRef>
          </c:tx>
          <c:spPr>
            <a:solidFill>
              <a:srgbClr val="7030A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Graphs'!$F$142:$F$148</c:f>
              <c:numCache>
                <c:formatCode>0</c:formatCode>
                <c:ptCount val="7"/>
                <c:pt idx="0">
                  <c:v>87.2870817207329</c:v>
                </c:pt>
                <c:pt idx="1">
                  <c:v>92.29548384680318</c:v>
                </c:pt>
                <c:pt idx="2">
                  <c:v>55.792414970681229</c:v>
                </c:pt>
                <c:pt idx="3">
                  <c:v>32.691633666020536</c:v>
                </c:pt>
                <c:pt idx="4">
                  <c:v>14.857574916043404</c:v>
                </c:pt>
                <c:pt idx="5">
                  <c:v>6.8286230726429684</c:v>
                </c:pt>
                <c:pt idx="6">
                  <c:v>-1.8859444934494797E-17</c:v>
                </c:pt>
              </c:numCache>
            </c:numRef>
          </c:val>
          <c:extLst>
            <c:ext xmlns:c16="http://schemas.microsoft.com/office/drawing/2014/chart" uri="{C3380CC4-5D6E-409C-BE32-E72D297353CC}">
              <c16:uniqueId val="{00000004-722C-413D-9CE5-4E421E4AD96F}"/>
            </c:ext>
          </c:extLst>
        </c:ser>
        <c:ser>
          <c:idx val="5"/>
          <c:order val="5"/>
          <c:tx>
            <c:strRef>
              <c:f>'Time Series Graphs'!$G$141</c:f>
              <c:strCache>
                <c:ptCount val="1"/>
                <c:pt idx="0">
                  <c:v>Natural Gas</c:v>
                </c:pt>
              </c:strCache>
            </c:strRef>
          </c:tx>
          <c:spPr>
            <a:solidFill>
              <a:srgbClr val="FF3399"/>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Graphs'!$G$142:$G$148</c:f>
              <c:numCache>
                <c:formatCode>0</c:formatCode>
                <c:ptCount val="7"/>
                <c:pt idx="0">
                  <c:v>74.549183929656337</c:v>
                </c:pt>
                <c:pt idx="1">
                  <c:v>77.978782848250887</c:v>
                </c:pt>
                <c:pt idx="2">
                  <c:v>48.510273099449364</c:v>
                </c:pt>
                <c:pt idx="3">
                  <c:v>30.208114311938772</c:v>
                </c:pt>
                <c:pt idx="4">
                  <c:v>15.758870424591661</c:v>
                </c:pt>
                <c:pt idx="5">
                  <c:v>7.5836845434434546</c:v>
                </c:pt>
                <c:pt idx="6">
                  <c:v>-9.001503379690622E-16</c:v>
                </c:pt>
              </c:numCache>
            </c:numRef>
          </c:val>
          <c:extLst>
            <c:ext xmlns:c16="http://schemas.microsoft.com/office/drawing/2014/chart" uri="{C3380CC4-5D6E-409C-BE32-E72D297353CC}">
              <c16:uniqueId val="{00000005-722C-413D-9CE5-4E421E4AD96F}"/>
            </c:ext>
          </c:extLst>
        </c:ser>
        <c:ser>
          <c:idx val="6"/>
          <c:order val="6"/>
          <c:tx>
            <c:strRef>
              <c:f>'Time Series Graphs'!$H$141</c:f>
              <c:strCache>
                <c:ptCount val="1"/>
                <c:pt idx="0">
                  <c:v>Bioenergy and Waste</c:v>
                </c:pt>
              </c:strCache>
            </c:strRef>
          </c:tx>
          <c:spPr>
            <a:solidFill>
              <a:srgbClr val="3B7D23"/>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Graphs'!$H$142:$H$148</c:f>
              <c:numCache>
                <c:formatCode>0</c:formatCode>
                <c:ptCount val="7"/>
                <c:pt idx="0">
                  <c:v>0</c:v>
                </c:pt>
                <c:pt idx="1">
                  <c:v>0</c:v>
                </c:pt>
                <c:pt idx="2">
                  <c:v>0.24945596864696704</c:v>
                </c:pt>
                <c:pt idx="3">
                  <c:v>0.77064657406543169</c:v>
                </c:pt>
                <c:pt idx="4">
                  <c:v>1.8606194582160078</c:v>
                </c:pt>
                <c:pt idx="5">
                  <c:v>3.3771626759349287</c:v>
                </c:pt>
                <c:pt idx="6">
                  <c:v>6.0230984915298027</c:v>
                </c:pt>
              </c:numCache>
            </c:numRef>
          </c:val>
          <c:extLst>
            <c:ext xmlns:c16="http://schemas.microsoft.com/office/drawing/2014/chart" uri="{C3380CC4-5D6E-409C-BE32-E72D297353CC}">
              <c16:uniqueId val="{00000006-722C-413D-9CE5-4E421E4AD96F}"/>
            </c:ext>
          </c:extLst>
        </c:ser>
        <c:ser>
          <c:idx val="7"/>
          <c:order val="7"/>
          <c:tx>
            <c:strRef>
              <c:f>'Time Series Graphs'!$I$141</c:f>
              <c:strCache>
                <c:ptCount val="1"/>
                <c:pt idx="0">
                  <c:v>Purchased Heat</c:v>
                </c:pt>
              </c:strCache>
            </c:strRef>
          </c:tx>
          <c:spPr>
            <a:solidFill>
              <a:srgbClr val="C0000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Graphs'!$I$142:$I$148</c:f>
              <c:numCache>
                <c:formatCode>0</c:formatCode>
                <c:ptCount val="7"/>
                <c:pt idx="0">
                  <c:v>103.79119287184345</c:v>
                </c:pt>
                <c:pt idx="1">
                  <c:v>108.46351541925993</c:v>
                </c:pt>
                <c:pt idx="2">
                  <c:v>102.02830836628814</c:v>
                </c:pt>
                <c:pt idx="3">
                  <c:v>99.41596501731415</c:v>
                </c:pt>
                <c:pt idx="4">
                  <c:v>97.64751447762977</c:v>
                </c:pt>
                <c:pt idx="5">
                  <c:v>99.359629396512091</c:v>
                </c:pt>
                <c:pt idx="6">
                  <c:v>103.03437395349235</c:v>
                </c:pt>
              </c:numCache>
            </c:numRef>
          </c:val>
          <c:extLst>
            <c:ext xmlns:c16="http://schemas.microsoft.com/office/drawing/2014/chart" uri="{C3380CC4-5D6E-409C-BE32-E72D297353CC}">
              <c16:uniqueId val="{00000007-722C-413D-9CE5-4E421E4AD96F}"/>
            </c:ext>
          </c:extLst>
        </c:ser>
        <c:ser>
          <c:idx val="8"/>
          <c:order val="8"/>
          <c:tx>
            <c:strRef>
              <c:f>'Time Series Graphs'!$J$141</c:f>
              <c:strCache>
                <c:ptCount val="1"/>
                <c:pt idx="0">
                  <c:v>Direct Use of Electricity</c:v>
                </c:pt>
              </c:strCache>
            </c:strRef>
          </c:tx>
          <c:spPr>
            <a:solidFill>
              <a:srgbClr val="FFC00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Graphs'!$J$142:$J$148</c:f>
              <c:numCache>
                <c:formatCode>0</c:formatCode>
                <c:ptCount val="7"/>
                <c:pt idx="0">
                  <c:v>428.14245240809367</c:v>
                </c:pt>
                <c:pt idx="1">
                  <c:v>432.8480261668102</c:v>
                </c:pt>
                <c:pt idx="2">
                  <c:v>478.02834319615533</c:v>
                </c:pt>
                <c:pt idx="3">
                  <c:v>498.21813258586934</c:v>
                </c:pt>
                <c:pt idx="4">
                  <c:v>505.63389897645084</c:v>
                </c:pt>
                <c:pt idx="5">
                  <c:v>510.43162075631164</c:v>
                </c:pt>
                <c:pt idx="6">
                  <c:v>519.88993691138444</c:v>
                </c:pt>
              </c:numCache>
            </c:numRef>
          </c:val>
          <c:extLst>
            <c:ext xmlns:c16="http://schemas.microsoft.com/office/drawing/2014/chart" uri="{C3380CC4-5D6E-409C-BE32-E72D297353CC}">
              <c16:uniqueId val="{00000008-722C-413D-9CE5-4E421E4AD96F}"/>
            </c:ext>
          </c:extLst>
        </c:ser>
        <c:ser>
          <c:idx val="9"/>
          <c:order val="9"/>
          <c:tx>
            <c:strRef>
              <c:f>'Time Series Graphs'!$K$141</c:f>
              <c:strCache>
                <c:ptCount val="1"/>
                <c:pt idx="0">
                  <c:v>Electricity for Green H2</c:v>
                </c:pt>
              </c:strCache>
            </c:strRef>
          </c:tx>
          <c:spPr>
            <a:solidFill>
              <a:srgbClr val="92D05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Graphs'!$K$142:$K$148</c:f>
              <c:numCache>
                <c:formatCode>0</c:formatCode>
                <c:ptCount val="7"/>
                <c:pt idx="0">
                  <c:v>0</c:v>
                </c:pt>
                <c:pt idx="1">
                  <c:v>0</c:v>
                </c:pt>
                <c:pt idx="2">
                  <c:v>35.890424623188508</c:v>
                </c:pt>
                <c:pt idx="3">
                  <c:v>70.881068989271768</c:v>
                </c:pt>
                <c:pt idx="4">
                  <c:v>109.91242518752004</c:v>
                </c:pt>
                <c:pt idx="5">
                  <c:v>143.382471409825</c:v>
                </c:pt>
                <c:pt idx="6">
                  <c:v>188.56278190568412</c:v>
                </c:pt>
              </c:numCache>
            </c:numRef>
          </c:val>
          <c:extLst>
            <c:ext xmlns:c16="http://schemas.microsoft.com/office/drawing/2014/chart" uri="{C3380CC4-5D6E-409C-BE32-E72D297353CC}">
              <c16:uniqueId val="{00000009-722C-413D-9CE5-4E421E4AD96F}"/>
            </c:ext>
          </c:extLst>
        </c:ser>
        <c:ser>
          <c:idx val="10"/>
          <c:order val="10"/>
          <c:tx>
            <c:strRef>
              <c:f>'Time Series Graphs'!$L$141</c:f>
              <c:strCache>
                <c:ptCount val="1"/>
                <c:pt idx="0">
                  <c:v>Blue Hydrogen</c:v>
                </c:pt>
              </c:strCache>
            </c:strRef>
          </c:tx>
          <c:spPr>
            <a:solidFill>
              <a:srgbClr val="00B0F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Graphs'!$L$142:$L$148</c:f>
              <c:numCache>
                <c:formatCode>0</c:formatCode>
                <c:ptCount val="7"/>
                <c:pt idx="0">
                  <c:v>0</c:v>
                </c:pt>
                <c:pt idx="1">
                  <c:v>0</c:v>
                </c:pt>
                <c:pt idx="2">
                  <c:v>1.9644111848952068</c:v>
                </c:pt>
                <c:pt idx="3">
                  <c:v>5.2304586633507277</c:v>
                </c:pt>
                <c:pt idx="4">
                  <c:v>10.713269282893371</c:v>
                </c:pt>
                <c:pt idx="5">
                  <c:v>16.151583295416479</c:v>
                </c:pt>
                <c:pt idx="6">
                  <c:v>23.231305995961616</c:v>
                </c:pt>
              </c:numCache>
            </c:numRef>
          </c:val>
          <c:extLst>
            <c:ext xmlns:c16="http://schemas.microsoft.com/office/drawing/2014/chart" uri="{C3380CC4-5D6E-409C-BE32-E72D297353CC}">
              <c16:uniqueId val="{0000000A-722C-413D-9CE5-4E421E4AD96F}"/>
            </c:ext>
          </c:extLst>
        </c:ser>
        <c:ser>
          <c:idx val="11"/>
          <c:order val="11"/>
          <c:tx>
            <c:strRef>
              <c:f>'Time Series Graphs'!$M$141</c:f>
              <c:strCache>
                <c:ptCount val="1"/>
                <c:pt idx="0">
                  <c:v>Fossil Fuels w/ Carbon Capture</c:v>
                </c:pt>
              </c:strCache>
            </c:strRef>
          </c:tx>
          <c:spPr>
            <a:solidFill>
              <a:srgbClr val="FF660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Graphs'!$M$142:$M$148</c:f>
              <c:numCache>
                <c:formatCode>0</c:formatCode>
                <c:ptCount val="7"/>
                <c:pt idx="0">
                  <c:v>0</c:v>
                </c:pt>
                <c:pt idx="1">
                  <c:v>0</c:v>
                </c:pt>
                <c:pt idx="2">
                  <c:v>13.374639635747013</c:v>
                </c:pt>
                <c:pt idx="3">
                  <c:v>19.182213574183631</c:v>
                </c:pt>
                <c:pt idx="4">
                  <c:v>21.018120467978981</c:v>
                </c:pt>
                <c:pt idx="5">
                  <c:v>23.129325973473374</c:v>
                </c:pt>
                <c:pt idx="6">
                  <c:v>25.915772704742512</c:v>
                </c:pt>
              </c:numCache>
            </c:numRef>
          </c:val>
          <c:extLst>
            <c:ext xmlns:c16="http://schemas.microsoft.com/office/drawing/2014/chart" uri="{C3380CC4-5D6E-409C-BE32-E72D297353CC}">
              <c16:uniqueId val="{0000000B-722C-413D-9CE5-4E421E4AD96F}"/>
            </c:ext>
          </c:extLst>
        </c:ser>
        <c:ser>
          <c:idx val="12"/>
          <c:order val="12"/>
          <c:tx>
            <c:strRef>
              <c:f>'Time Series Graphs'!$N$141</c:f>
              <c:strCache>
                <c:ptCount val="1"/>
                <c:pt idx="0">
                  <c:v>Carbon Pricing</c:v>
                </c:pt>
              </c:strCache>
            </c:strRef>
          </c:tx>
          <c:spPr>
            <a:solidFill>
              <a:srgbClr val="808080"/>
            </a:solidFill>
            <a:ln w="25400">
              <a:noFill/>
            </a:ln>
            <a:effectLst/>
          </c:spPr>
          <c:cat>
            <c:numRef>
              <c:f>'Time Series Graphs'!$A$142:$A$148</c:f>
              <c:numCache>
                <c:formatCode>General</c:formatCode>
                <c:ptCount val="7"/>
                <c:pt idx="0">
                  <c:v>2022</c:v>
                </c:pt>
                <c:pt idx="1">
                  <c:v>2025</c:v>
                </c:pt>
                <c:pt idx="2">
                  <c:v>2030</c:v>
                </c:pt>
                <c:pt idx="3">
                  <c:v>2035</c:v>
                </c:pt>
                <c:pt idx="4">
                  <c:v>2040</c:v>
                </c:pt>
                <c:pt idx="5">
                  <c:v>2045</c:v>
                </c:pt>
                <c:pt idx="6">
                  <c:v>2050</c:v>
                </c:pt>
              </c:numCache>
            </c:numRef>
          </c:cat>
          <c:val>
            <c:numRef>
              <c:f>'Time Series Graphs'!$N$142:$N$148</c:f>
              <c:numCache>
                <c:formatCode>0</c:formatCode>
                <c:ptCount val="7"/>
                <c:pt idx="0">
                  <c:v>51.023556416088191</c:v>
                </c:pt>
                <c:pt idx="1">
                  <c:v>50.79693229268122</c:v>
                </c:pt>
                <c:pt idx="2">
                  <c:v>30.818716202636125</c:v>
                </c:pt>
                <c:pt idx="3">
                  <c:v>29.63549215944747</c:v>
                </c:pt>
                <c:pt idx="4">
                  <c:v>21.689993407629004</c:v>
                </c:pt>
                <c:pt idx="5">
                  <c:v>14.334494926383865</c:v>
                </c:pt>
                <c:pt idx="6">
                  <c:v>2.4746930360755783</c:v>
                </c:pt>
              </c:numCache>
            </c:numRef>
          </c:val>
          <c:extLst>
            <c:ext xmlns:c16="http://schemas.microsoft.com/office/drawing/2014/chart" uri="{C3380CC4-5D6E-409C-BE32-E72D297353CC}">
              <c16:uniqueId val="{0000000C-722C-413D-9CE5-4E421E4AD96F}"/>
            </c:ext>
          </c:extLst>
        </c:ser>
        <c:dLbls>
          <c:showLegendKey val="0"/>
          <c:showVal val="0"/>
          <c:showCatName val="0"/>
          <c:showSerName val="0"/>
          <c:showPercent val="0"/>
          <c:showBubbleSize val="0"/>
        </c:dLbls>
        <c:axId val="50182831"/>
        <c:axId val="50193391"/>
      </c:areaChart>
      <c:catAx>
        <c:axId val="501828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50193391"/>
        <c:crosses val="autoZero"/>
        <c:auto val="1"/>
        <c:lblAlgn val="ctr"/>
        <c:lblOffset val="100"/>
        <c:noMultiLvlLbl val="0"/>
      </c:catAx>
      <c:valAx>
        <c:axId val="5019339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t>Billion 2021 USD per</a:t>
                </a:r>
                <a:r>
                  <a:rPr lang="en-US" sz="1400" baseline="0"/>
                  <a:t> Y</a:t>
                </a:r>
                <a:r>
                  <a:rPr lang="en-US" sz="1400"/>
                  <a:t>ear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50182831"/>
        <c:crosses val="autoZero"/>
        <c:crossBetween val="midCat"/>
      </c:valAx>
      <c:spPr>
        <a:noFill/>
        <a:ln>
          <a:noFill/>
        </a:ln>
        <a:effectLst/>
      </c:spPr>
    </c:plotArea>
    <c:legend>
      <c:legendPos val="t"/>
      <c:layout>
        <c:manualLayout>
          <c:xMode val="edge"/>
          <c:yMode val="edge"/>
          <c:x val="2.9829417461010782E-2"/>
          <c:y val="6.8865500182833397E-2"/>
          <c:w val="0.97017055447336309"/>
          <c:h val="0.1334308670088118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Use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Graphs!$B$115</c:f>
              <c:strCache>
                <c:ptCount val="1"/>
                <c:pt idx="0">
                  <c:v>Iron &amp; steel</c:v>
                </c:pt>
              </c:strCache>
            </c:strRef>
          </c:tx>
          <c:spPr>
            <a:solidFill>
              <a:schemeClr val="tx1">
                <a:lumMod val="95000"/>
                <a:lumOff val="5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Graphs!$B$116:$B$123</c:f>
              <c:numCache>
                <c:formatCode>0.00</c:formatCode>
                <c:ptCount val="8"/>
                <c:pt idx="0">
                  <c:v>21.322634818288392</c:v>
                </c:pt>
                <c:pt idx="1">
                  <c:v>16.760016811521979</c:v>
                </c:pt>
                <c:pt idx="2">
                  <c:v>8.8254720104882818</c:v>
                </c:pt>
                <c:pt idx="3">
                  <c:v>5.2680891643499903</c:v>
                </c:pt>
                <c:pt idx="4">
                  <c:v>4.9062933646369418</c:v>
                </c:pt>
                <c:pt idx="5">
                  <c:v>5.2168246927736703</c:v>
                </c:pt>
                <c:pt idx="6">
                  <c:v>5.4754935570732224</c:v>
                </c:pt>
                <c:pt idx="7">
                  <c:v>5.4754935570732224</c:v>
                </c:pt>
              </c:numCache>
            </c:numRef>
          </c:val>
          <c:extLst>
            <c:ext xmlns:c16="http://schemas.microsoft.com/office/drawing/2014/chart" uri="{C3380CC4-5D6E-409C-BE32-E72D297353CC}">
              <c16:uniqueId val="{00000000-58AA-41B3-AEE2-6567A0C865E1}"/>
            </c:ext>
          </c:extLst>
        </c:ser>
        <c:ser>
          <c:idx val="1"/>
          <c:order val="1"/>
          <c:tx>
            <c:strRef>
              <c:f>Graphs!$C$115</c:f>
              <c:strCache>
                <c:ptCount val="1"/>
                <c:pt idx="0">
                  <c:v>Chemicals</c:v>
                </c:pt>
              </c:strCache>
            </c:strRef>
          </c:tx>
          <c:spPr>
            <a:solidFill>
              <a:schemeClr val="accent2"/>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Graphs!$C$116:$C$123</c:f>
              <c:numCache>
                <c:formatCode>0.00</c:formatCode>
                <c:ptCount val="8"/>
                <c:pt idx="0">
                  <c:v>21.157939278955816</c:v>
                </c:pt>
                <c:pt idx="1">
                  <c:v>30.768437284020909</c:v>
                </c:pt>
                <c:pt idx="2">
                  <c:v>19.820185835772914</c:v>
                </c:pt>
                <c:pt idx="3">
                  <c:v>15.899245241306549</c:v>
                </c:pt>
                <c:pt idx="4">
                  <c:v>15.235699301676728</c:v>
                </c:pt>
                <c:pt idx="5">
                  <c:v>15.235699301676728</c:v>
                </c:pt>
                <c:pt idx="6">
                  <c:v>15.675166223555925</c:v>
                </c:pt>
                <c:pt idx="7">
                  <c:v>16.327273058530288</c:v>
                </c:pt>
              </c:numCache>
            </c:numRef>
          </c:val>
          <c:extLst>
            <c:ext xmlns:c16="http://schemas.microsoft.com/office/drawing/2014/chart" uri="{C3380CC4-5D6E-409C-BE32-E72D297353CC}">
              <c16:uniqueId val="{00000001-58AA-41B3-AEE2-6567A0C865E1}"/>
            </c:ext>
          </c:extLst>
        </c:ser>
        <c:ser>
          <c:idx val="2"/>
          <c:order val="2"/>
          <c:tx>
            <c:strRef>
              <c:f>Graphs!$D$115</c:f>
              <c:strCache>
                <c:ptCount val="1"/>
                <c:pt idx="0">
                  <c:v>Refining &amp; fuel processing</c:v>
                </c:pt>
              </c:strCache>
            </c:strRef>
          </c:tx>
          <c:spPr>
            <a:solidFill>
              <a:schemeClr val="accent3"/>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Graphs!$D$116:$D$123</c:f>
              <c:numCache>
                <c:formatCode>0.00</c:formatCode>
                <c:ptCount val="8"/>
                <c:pt idx="0">
                  <c:v>9.0638012895662374</c:v>
                </c:pt>
                <c:pt idx="1">
                  <c:v>9.3114461335434573</c:v>
                </c:pt>
                <c:pt idx="2">
                  <c:v>8.3803015201891107</c:v>
                </c:pt>
                <c:pt idx="3">
                  <c:v>7.0149830034336595</c:v>
                </c:pt>
                <c:pt idx="4">
                  <c:v>6.9385829541854269</c:v>
                </c:pt>
                <c:pt idx="5">
                  <c:v>6.9385829541854269</c:v>
                </c:pt>
                <c:pt idx="6">
                  <c:v>8.4313997059436225</c:v>
                </c:pt>
                <c:pt idx="7">
                  <c:v>8.4313997059436225</c:v>
                </c:pt>
              </c:numCache>
            </c:numRef>
          </c:val>
          <c:extLst>
            <c:ext xmlns:c16="http://schemas.microsoft.com/office/drawing/2014/chart" uri="{C3380CC4-5D6E-409C-BE32-E72D297353CC}">
              <c16:uniqueId val="{00000002-58AA-41B3-AEE2-6567A0C865E1}"/>
            </c:ext>
          </c:extLst>
        </c:ser>
        <c:ser>
          <c:idx val="3"/>
          <c:order val="3"/>
          <c:tx>
            <c:strRef>
              <c:f>Graphs!$E$115</c:f>
              <c:strCache>
                <c:ptCount val="1"/>
                <c:pt idx="0">
                  <c:v>Non-metallic minerals</c:v>
                </c:pt>
              </c:strCache>
            </c:strRef>
          </c:tx>
          <c:spPr>
            <a:solidFill>
              <a:schemeClr val="accent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Graphs!$E$116:$E$123</c:f>
              <c:numCache>
                <c:formatCode>0.00</c:formatCode>
                <c:ptCount val="8"/>
                <c:pt idx="0">
                  <c:v>9.0549736225087933</c:v>
                </c:pt>
                <c:pt idx="1">
                  <c:v>6.3957342807903208</c:v>
                </c:pt>
                <c:pt idx="2">
                  <c:v>3.1989863938942982</c:v>
                </c:pt>
                <c:pt idx="3">
                  <c:v>3.048919409581083</c:v>
                </c:pt>
                <c:pt idx="4">
                  <c:v>2.759122717272176</c:v>
                </c:pt>
                <c:pt idx="5">
                  <c:v>3.9661955845730152</c:v>
                </c:pt>
                <c:pt idx="6">
                  <c:v>4.1401407221526529</c:v>
                </c:pt>
                <c:pt idx="7">
                  <c:v>4.1401407221526529</c:v>
                </c:pt>
              </c:numCache>
            </c:numRef>
          </c:val>
          <c:extLst>
            <c:ext xmlns:c16="http://schemas.microsoft.com/office/drawing/2014/chart" uri="{C3380CC4-5D6E-409C-BE32-E72D297353CC}">
              <c16:uniqueId val="{00000003-58AA-41B3-AEE2-6567A0C865E1}"/>
            </c:ext>
          </c:extLst>
        </c:ser>
        <c:ser>
          <c:idx val="4"/>
          <c:order val="4"/>
          <c:tx>
            <c:strRef>
              <c:f>Graphs!$F$115</c:f>
              <c:strCache>
                <c:ptCount val="1"/>
                <c:pt idx="0">
                  <c:v>Nonferrous metals</c:v>
                </c:pt>
              </c:strCache>
            </c:strRef>
          </c:tx>
          <c:spPr>
            <a:solidFill>
              <a:schemeClr val="accent5"/>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Graphs!$F$116:$F$123</c:f>
              <c:numCache>
                <c:formatCode>0.00</c:formatCode>
                <c:ptCount val="8"/>
                <c:pt idx="0">
                  <c:v>4.1026670574443145</c:v>
                </c:pt>
                <c:pt idx="1">
                  <c:v>4.7180671160609622</c:v>
                </c:pt>
                <c:pt idx="2">
                  <c:v>2.7706849139067988</c:v>
                </c:pt>
                <c:pt idx="3">
                  <c:v>2.6045251070340081</c:v>
                </c:pt>
                <c:pt idx="4">
                  <c:v>2.3979325751869092</c:v>
                </c:pt>
                <c:pt idx="5">
                  <c:v>2.4088416789022649</c:v>
                </c:pt>
                <c:pt idx="6">
                  <c:v>2.4088416789022649</c:v>
                </c:pt>
                <c:pt idx="7">
                  <c:v>2.4088416789022649</c:v>
                </c:pt>
              </c:numCache>
            </c:numRef>
          </c:val>
          <c:extLst>
            <c:ext xmlns:c16="http://schemas.microsoft.com/office/drawing/2014/chart" uri="{C3380CC4-5D6E-409C-BE32-E72D297353CC}">
              <c16:uniqueId val="{00000004-58AA-41B3-AEE2-6567A0C865E1}"/>
            </c:ext>
          </c:extLst>
        </c:ser>
        <c:ser>
          <c:idx val="5"/>
          <c:order val="5"/>
          <c:tx>
            <c:strRef>
              <c:f>Graphs!$G$115</c:f>
              <c:strCache>
                <c:ptCount val="1"/>
                <c:pt idx="0">
                  <c:v>Food, beverage, &amp; tobacco</c:v>
                </c:pt>
              </c:strCache>
            </c:strRef>
          </c:tx>
          <c:spPr>
            <a:solidFill>
              <a:schemeClr val="accent6"/>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Graphs!$G$116:$G$123</c:f>
              <c:numCache>
                <c:formatCode>0.00</c:formatCode>
                <c:ptCount val="8"/>
                <c:pt idx="0">
                  <c:v>1.5659525205158269</c:v>
                </c:pt>
                <c:pt idx="1">
                  <c:v>1.5659525205158269</c:v>
                </c:pt>
                <c:pt idx="2">
                  <c:v>1.4719953692848771</c:v>
                </c:pt>
                <c:pt idx="3">
                  <c:v>1.0696078952484218</c:v>
                </c:pt>
                <c:pt idx="4">
                  <c:v>1.066113765307438</c:v>
                </c:pt>
                <c:pt idx="5">
                  <c:v>1.066113765307438</c:v>
                </c:pt>
                <c:pt idx="6">
                  <c:v>1.066113765307438</c:v>
                </c:pt>
                <c:pt idx="7">
                  <c:v>1.066113765307438</c:v>
                </c:pt>
              </c:numCache>
            </c:numRef>
          </c:val>
          <c:extLst>
            <c:ext xmlns:c16="http://schemas.microsoft.com/office/drawing/2014/chart" uri="{C3380CC4-5D6E-409C-BE32-E72D297353CC}">
              <c16:uniqueId val="{00000005-58AA-41B3-AEE2-6567A0C865E1}"/>
            </c:ext>
          </c:extLst>
        </c:ser>
        <c:ser>
          <c:idx val="6"/>
          <c:order val="6"/>
          <c:tx>
            <c:strRef>
              <c:f>Graphs!$H$115</c:f>
              <c:strCache>
                <c:ptCount val="1"/>
                <c:pt idx="0">
                  <c:v>Machinery</c:v>
                </c:pt>
              </c:strCache>
            </c:strRef>
          </c:tx>
          <c:spPr>
            <a:solidFill>
              <a:srgbClr val="FFC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Graphs!$H$116:$H$123</c:f>
              <c:numCache>
                <c:formatCode>0.00</c:formatCode>
                <c:ptCount val="8"/>
                <c:pt idx="0">
                  <c:v>1.541541617819461</c:v>
                </c:pt>
                <c:pt idx="1">
                  <c:v>1.2116824984572367</c:v>
                </c:pt>
                <c:pt idx="2">
                  <c:v>0.82606454332322121</c:v>
                </c:pt>
                <c:pt idx="3">
                  <c:v>0.76299350349067407</c:v>
                </c:pt>
                <c:pt idx="4">
                  <c:v>0.71768583034036137</c:v>
                </c:pt>
                <c:pt idx="5">
                  <c:v>0.71768583034036137</c:v>
                </c:pt>
                <c:pt idx="6">
                  <c:v>0.71768583034036137</c:v>
                </c:pt>
                <c:pt idx="7">
                  <c:v>0.71768583034036137</c:v>
                </c:pt>
              </c:numCache>
            </c:numRef>
          </c:val>
          <c:extLst>
            <c:ext xmlns:c16="http://schemas.microsoft.com/office/drawing/2014/chart" uri="{C3380CC4-5D6E-409C-BE32-E72D297353CC}">
              <c16:uniqueId val="{00000006-58AA-41B3-AEE2-6567A0C865E1}"/>
            </c:ext>
          </c:extLst>
        </c:ser>
        <c:ser>
          <c:idx val="7"/>
          <c:order val="7"/>
          <c:tx>
            <c:strRef>
              <c:f>Graphs!$I$115</c:f>
              <c:strCache>
                <c:ptCount val="1"/>
                <c:pt idx="0">
                  <c:v>Textiles, leather, &amp; apparel</c:v>
                </c:pt>
              </c:strCache>
            </c:strRef>
          </c:tx>
          <c:spPr>
            <a:solidFill>
              <a:schemeClr val="accent2">
                <a:lumMod val="60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Graphs!$I$116:$I$123</c:f>
              <c:numCache>
                <c:formatCode>0.00</c:formatCode>
                <c:ptCount val="8"/>
                <c:pt idx="0">
                  <c:v>1.4183645955451352</c:v>
                </c:pt>
                <c:pt idx="1">
                  <c:v>1.4183645955451352</c:v>
                </c:pt>
                <c:pt idx="2">
                  <c:v>0.9928552168815945</c:v>
                </c:pt>
                <c:pt idx="3">
                  <c:v>0.90929857309028672</c:v>
                </c:pt>
                <c:pt idx="4">
                  <c:v>0.88464850172059295</c:v>
                </c:pt>
                <c:pt idx="5">
                  <c:v>0.88464850172059295</c:v>
                </c:pt>
                <c:pt idx="6">
                  <c:v>0.88464850172059295</c:v>
                </c:pt>
                <c:pt idx="7">
                  <c:v>0.88464850172059295</c:v>
                </c:pt>
              </c:numCache>
            </c:numRef>
          </c:val>
          <c:extLst>
            <c:ext xmlns:c16="http://schemas.microsoft.com/office/drawing/2014/chart" uri="{C3380CC4-5D6E-409C-BE32-E72D297353CC}">
              <c16:uniqueId val="{00000007-58AA-41B3-AEE2-6567A0C865E1}"/>
            </c:ext>
          </c:extLst>
        </c:ser>
        <c:ser>
          <c:idx val="8"/>
          <c:order val="8"/>
          <c:tx>
            <c:strRef>
              <c:f>Graphs!$J$115</c:f>
              <c:strCache>
                <c:ptCount val="1"/>
                <c:pt idx="0">
                  <c:v>Other metal products</c:v>
                </c:pt>
              </c:strCache>
            </c:strRef>
          </c:tx>
          <c:spPr>
            <a:solidFill>
              <a:schemeClr val="accent3">
                <a:lumMod val="60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Graphs!$J$116:$J$123</c:f>
              <c:numCache>
                <c:formatCode>0.00</c:formatCode>
                <c:ptCount val="8"/>
                <c:pt idx="0">
                  <c:v>1.0999120750293083</c:v>
                </c:pt>
                <c:pt idx="1">
                  <c:v>0.86455285783330804</c:v>
                </c:pt>
                <c:pt idx="2">
                  <c:v>0.53251052587170322</c:v>
                </c:pt>
                <c:pt idx="3">
                  <c:v>0.44428105088352787</c:v>
                </c:pt>
                <c:pt idx="4">
                  <c:v>0.39551032816410731</c:v>
                </c:pt>
                <c:pt idx="5">
                  <c:v>0.39551032816410731</c:v>
                </c:pt>
                <c:pt idx="6">
                  <c:v>0.39551032816410731</c:v>
                </c:pt>
                <c:pt idx="7">
                  <c:v>0.39551032816410731</c:v>
                </c:pt>
              </c:numCache>
            </c:numRef>
          </c:val>
          <c:extLst>
            <c:ext xmlns:c16="http://schemas.microsoft.com/office/drawing/2014/chart" uri="{C3380CC4-5D6E-409C-BE32-E72D297353CC}">
              <c16:uniqueId val="{00000008-58AA-41B3-AEE2-6567A0C865E1}"/>
            </c:ext>
          </c:extLst>
        </c:ser>
        <c:ser>
          <c:idx val="9"/>
          <c:order val="9"/>
          <c:tx>
            <c:strRef>
              <c:f>Graphs!$K$115</c:f>
              <c:strCache>
                <c:ptCount val="1"/>
                <c:pt idx="0">
                  <c:v>Electronics</c:v>
                </c:pt>
              </c:strCache>
            </c:strRef>
          </c:tx>
          <c:spPr>
            <a:solidFill>
              <a:srgbClr val="FF3399"/>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Graphs!$K$116:$K$123</c:f>
              <c:numCache>
                <c:formatCode>0.00</c:formatCode>
                <c:ptCount val="8"/>
                <c:pt idx="0">
                  <c:v>0.99860785463071522</c:v>
                </c:pt>
                <c:pt idx="1">
                  <c:v>0.78492571740588313</c:v>
                </c:pt>
                <c:pt idx="2">
                  <c:v>0.49685797911792406</c:v>
                </c:pt>
                <c:pt idx="3">
                  <c:v>0.45628245333878731</c:v>
                </c:pt>
                <c:pt idx="4">
                  <c:v>0.43635813543630764</c:v>
                </c:pt>
                <c:pt idx="5">
                  <c:v>0.43635813543630764</c:v>
                </c:pt>
                <c:pt idx="6">
                  <c:v>0.43635813543630764</c:v>
                </c:pt>
                <c:pt idx="7">
                  <c:v>0.43635813543630764</c:v>
                </c:pt>
              </c:numCache>
            </c:numRef>
          </c:val>
          <c:extLst>
            <c:ext xmlns:c16="http://schemas.microsoft.com/office/drawing/2014/chart" uri="{C3380CC4-5D6E-409C-BE32-E72D297353CC}">
              <c16:uniqueId val="{00000009-58AA-41B3-AEE2-6567A0C865E1}"/>
            </c:ext>
          </c:extLst>
        </c:ser>
        <c:ser>
          <c:idx val="10"/>
          <c:order val="10"/>
          <c:tx>
            <c:strRef>
              <c:f>Graphs!$L$115</c:f>
              <c:strCache>
                <c:ptCount val="1"/>
                <c:pt idx="0">
                  <c:v>Pulp, paper, &amp; printing</c:v>
                </c:pt>
              </c:strCache>
            </c:strRef>
          </c:tx>
          <c:spPr>
            <a:solidFill>
              <a:schemeClr val="accent5">
                <a:lumMod val="60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Graphs!$L$116:$L$123</c:f>
              <c:numCache>
                <c:formatCode>0.00</c:formatCode>
                <c:ptCount val="8"/>
                <c:pt idx="0">
                  <c:v>0.9246160609613131</c:v>
                </c:pt>
                <c:pt idx="1">
                  <c:v>0.9246160609613131</c:v>
                </c:pt>
                <c:pt idx="2">
                  <c:v>0.74662746922626022</c:v>
                </c:pt>
                <c:pt idx="3">
                  <c:v>0.69525591203047266</c:v>
                </c:pt>
                <c:pt idx="4">
                  <c:v>0.65821892103839419</c:v>
                </c:pt>
                <c:pt idx="5">
                  <c:v>0.65821892103839419</c:v>
                </c:pt>
                <c:pt idx="6">
                  <c:v>0.65821892103839419</c:v>
                </c:pt>
                <c:pt idx="7">
                  <c:v>0.65821892103839419</c:v>
                </c:pt>
              </c:numCache>
            </c:numRef>
          </c:val>
          <c:extLst>
            <c:ext xmlns:c16="http://schemas.microsoft.com/office/drawing/2014/chart" uri="{C3380CC4-5D6E-409C-BE32-E72D297353CC}">
              <c16:uniqueId val="{0000000A-58AA-41B3-AEE2-6567A0C865E1}"/>
            </c:ext>
          </c:extLst>
        </c:ser>
        <c:ser>
          <c:idx val="11"/>
          <c:order val="11"/>
          <c:tx>
            <c:strRef>
              <c:f>Graphs!$M$115</c:f>
              <c:strCache>
                <c:ptCount val="1"/>
                <c:pt idx="0">
                  <c:v>Vehicles &amp; transport equipment</c:v>
                </c:pt>
              </c:strCache>
            </c:strRef>
          </c:tx>
          <c:spPr>
            <a:solidFill>
              <a:srgbClr val="DCB7A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Graphs!$M$116:$M$123</c:f>
              <c:numCache>
                <c:formatCode>0.00</c:formatCode>
                <c:ptCount val="8"/>
                <c:pt idx="0">
                  <c:v>0.88367233294255576</c:v>
                </c:pt>
                <c:pt idx="1">
                  <c:v>0.69458410192774356</c:v>
                </c:pt>
                <c:pt idx="2">
                  <c:v>0.49046319897372792</c:v>
                </c:pt>
                <c:pt idx="3">
                  <c:v>0.43034069206285164</c:v>
                </c:pt>
                <c:pt idx="4">
                  <c:v>0.40103613545306238</c:v>
                </c:pt>
                <c:pt idx="5">
                  <c:v>0.40103613545306238</c:v>
                </c:pt>
                <c:pt idx="6">
                  <c:v>0.40103613545306238</c:v>
                </c:pt>
                <c:pt idx="7">
                  <c:v>0.40103613545306238</c:v>
                </c:pt>
              </c:numCache>
            </c:numRef>
          </c:val>
          <c:extLst>
            <c:ext xmlns:c16="http://schemas.microsoft.com/office/drawing/2014/chart" uri="{C3380CC4-5D6E-409C-BE32-E72D297353CC}">
              <c16:uniqueId val="{0000000B-58AA-41B3-AEE2-6567A0C865E1}"/>
            </c:ext>
          </c:extLst>
        </c:ser>
        <c:ser>
          <c:idx val="12"/>
          <c:order val="12"/>
          <c:tx>
            <c:strRef>
              <c:f>Graphs!$N$115</c:f>
              <c:strCache>
                <c:ptCount val="1"/>
                <c:pt idx="0">
                  <c:v>Plastic &amp; rubber products</c:v>
                </c:pt>
              </c:strCache>
            </c:strRef>
          </c:tx>
          <c:spPr>
            <a:solidFill>
              <a:srgbClr val="0000C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Graphs!$N$116:$N$123</c:f>
              <c:numCache>
                <c:formatCode>0.00</c:formatCode>
                <c:ptCount val="8"/>
                <c:pt idx="0">
                  <c:v>0.75814771395076208</c:v>
                </c:pt>
                <c:pt idx="1">
                  <c:v>1.4971824603229336</c:v>
                </c:pt>
                <c:pt idx="2">
                  <c:v>1.4631215593505866</c:v>
                </c:pt>
                <c:pt idx="3">
                  <c:v>1.3894623649162672</c:v>
                </c:pt>
                <c:pt idx="4">
                  <c:v>1.3468276508322856</c:v>
                </c:pt>
                <c:pt idx="5">
                  <c:v>1.3468276508322856</c:v>
                </c:pt>
                <c:pt idx="6">
                  <c:v>1.3468276508322856</c:v>
                </c:pt>
                <c:pt idx="7">
                  <c:v>1.3468276508322856</c:v>
                </c:pt>
              </c:numCache>
            </c:numRef>
          </c:val>
          <c:extLst>
            <c:ext xmlns:c16="http://schemas.microsoft.com/office/drawing/2014/chart" uri="{C3380CC4-5D6E-409C-BE32-E72D297353CC}">
              <c16:uniqueId val="{0000000C-58AA-41B3-AEE2-6567A0C865E1}"/>
            </c:ext>
          </c:extLst>
        </c:ser>
        <c:ser>
          <c:idx val="13"/>
          <c:order val="13"/>
          <c:tx>
            <c:strRef>
              <c:f>Graphs!$O$115</c:f>
              <c:strCache>
                <c:ptCount val="1"/>
                <c:pt idx="0">
                  <c:v>Wood &amp; furniture</c:v>
                </c:pt>
              </c:strCache>
            </c:strRef>
          </c:tx>
          <c:spPr>
            <a:solidFill>
              <a:srgbClr val="4EF89F"/>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Graphs!$O$116:$O$123</c:f>
              <c:numCache>
                <c:formatCode>0.00</c:formatCode>
                <c:ptCount val="8"/>
                <c:pt idx="0">
                  <c:v>0.20061840562719813</c:v>
                </c:pt>
                <c:pt idx="1">
                  <c:v>0.20061840562719813</c:v>
                </c:pt>
                <c:pt idx="2">
                  <c:v>0.17453801289566234</c:v>
                </c:pt>
                <c:pt idx="3">
                  <c:v>0.16814210185136863</c:v>
                </c:pt>
                <c:pt idx="4">
                  <c:v>0.16272766615214132</c:v>
                </c:pt>
                <c:pt idx="5">
                  <c:v>0.16272766615214132</c:v>
                </c:pt>
                <c:pt idx="6">
                  <c:v>0.16272766615214132</c:v>
                </c:pt>
                <c:pt idx="7">
                  <c:v>0.16272766615214132</c:v>
                </c:pt>
              </c:numCache>
            </c:numRef>
          </c:val>
          <c:extLst>
            <c:ext xmlns:c16="http://schemas.microsoft.com/office/drawing/2014/chart" uri="{C3380CC4-5D6E-409C-BE32-E72D297353CC}">
              <c16:uniqueId val="{0000000D-58AA-41B3-AEE2-6567A0C865E1}"/>
            </c:ext>
          </c:extLst>
        </c:ser>
        <c:ser>
          <c:idx val="14"/>
          <c:order val="14"/>
          <c:tx>
            <c:strRef>
              <c:f>Graphs!$P$115</c:f>
              <c:strCache>
                <c:ptCount val="1"/>
                <c:pt idx="0">
                  <c:v>Other manufacturing</c:v>
                </c:pt>
              </c:strCache>
            </c:strRef>
          </c:tx>
          <c:spPr>
            <a:solidFill>
              <a:srgbClr val="C00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Graphs!$P$116:$P$123</c:f>
              <c:numCache>
                <c:formatCode>0.00</c:formatCode>
                <c:ptCount val="8"/>
                <c:pt idx="0">
                  <c:v>0.37671453692848766</c:v>
                </c:pt>
                <c:pt idx="1">
                  <c:v>0.37671453692848766</c:v>
                </c:pt>
                <c:pt idx="2">
                  <c:v>0.35222809202813604</c:v>
                </c:pt>
                <c:pt idx="3">
                  <c:v>0.33108394075989916</c:v>
                </c:pt>
                <c:pt idx="4">
                  <c:v>0.32061129764151663</c:v>
                </c:pt>
                <c:pt idx="5">
                  <c:v>0.32061129764151663</c:v>
                </c:pt>
                <c:pt idx="6">
                  <c:v>0.32061129764151663</c:v>
                </c:pt>
                <c:pt idx="7">
                  <c:v>0.32061129764151663</c:v>
                </c:pt>
              </c:numCache>
            </c:numRef>
          </c:val>
          <c:extLst>
            <c:ext xmlns:c16="http://schemas.microsoft.com/office/drawing/2014/chart" uri="{C3380CC4-5D6E-409C-BE32-E72D297353CC}">
              <c16:uniqueId val="{0000000E-58AA-41B3-AEE2-6567A0C865E1}"/>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678556554967082"/>
              <c:y val="7.9139279523414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Use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Graphs!$B$115</c:f>
              <c:strCache>
                <c:ptCount val="1"/>
                <c:pt idx="0">
                  <c:v>Iron &amp; steel</c:v>
                </c:pt>
              </c:strCache>
            </c:strRef>
          </c:tx>
          <c:spPr>
            <a:solidFill>
              <a:schemeClr val="tx1">
                <a:lumMod val="95000"/>
                <a:lumOff val="5000"/>
              </a:schemeClr>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Graphs!$B$116:$B$123</c:f>
              <c:numCache>
                <c:formatCode>0.00</c:formatCode>
                <c:ptCount val="8"/>
                <c:pt idx="0">
                  <c:v>21.322634818288392</c:v>
                </c:pt>
                <c:pt idx="1">
                  <c:v>16.760016811521979</c:v>
                </c:pt>
                <c:pt idx="2">
                  <c:v>8.8254720104882818</c:v>
                </c:pt>
                <c:pt idx="3">
                  <c:v>5.2680891643499903</c:v>
                </c:pt>
                <c:pt idx="4">
                  <c:v>4.9062933646369418</c:v>
                </c:pt>
                <c:pt idx="5">
                  <c:v>5.2168246927736703</c:v>
                </c:pt>
                <c:pt idx="6">
                  <c:v>5.4754935570732224</c:v>
                </c:pt>
                <c:pt idx="7">
                  <c:v>5.4754935570732224</c:v>
                </c:pt>
              </c:numCache>
            </c:numRef>
          </c:val>
          <c:extLst>
            <c:ext xmlns:c16="http://schemas.microsoft.com/office/drawing/2014/chart" uri="{C3380CC4-5D6E-409C-BE32-E72D297353CC}">
              <c16:uniqueId val="{00000000-4486-41AB-BB5A-5FCA5F8A9FC5}"/>
            </c:ext>
          </c:extLst>
        </c:ser>
        <c:ser>
          <c:idx val="1"/>
          <c:order val="1"/>
          <c:tx>
            <c:strRef>
              <c:f>Graphs!$C$115</c:f>
              <c:strCache>
                <c:ptCount val="1"/>
                <c:pt idx="0">
                  <c:v>Chemicals</c:v>
                </c:pt>
              </c:strCache>
            </c:strRef>
          </c:tx>
          <c:spPr>
            <a:solidFill>
              <a:srgbClr val="4EA72E"/>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Graphs!$C$116:$C$123</c:f>
              <c:numCache>
                <c:formatCode>0.00</c:formatCode>
                <c:ptCount val="8"/>
                <c:pt idx="0">
                  <c:v>21.157939278955816</c:v>
                </c:pt>
                <c:pt idx="1">
                  <c:v>30.768437284020909</c:v>
                </c:pt>
                <c:pt idx="2">
                  <c:v>19.820185835772914</c:v>
                </c:pt>
                <c:pt idx="3">
                  <c:v>15.899245241306549</c:v>
                </c:pt>
                <c:pt idx="4">
                  <c:v>15.235699301676728</c:v>
                </c:pt>
                <c:pt idx="5">
                  <c:v>15.235699301676728</c:v>
                </c:pt>
                <c:pt idx="6">
                  <c:v>15.675166223555925</c:v>
                </c:pt>
                <c:pt idx="7">
                  <c:v>16.327273058530288</c:v>
                </c:pt>
              </c:numCache>
            </c:numRef>
          </c:val>
          <c:extLst>
            <c:ext xmlns:c16="http://schemas.microsoft.com/office/drawing/2014/chart" uri="{C3380CC4-5D6E-409C-BE32-E72D297353CC}">
              <c16:uniqueId val="{00000001-4486-41AB-BB5A-5FCA5F8A9FC5}"/>
            </c:ext>
          </c:extLst>
        </c:ser>
        <c:ser>
          <c:idx val="2"/>
          <c:order val="2"/>
          <c:tx>
            <c:strRef>
              <c:f>Graphs!$D$115</c:f>
              <c:strCache>
                <c:ptCount val="1"/>
                <c:pt idx="0">
                  <c:v>Refining &amp; fuel processing</c:v>
                </c:pt>
              </c:strCache>
            </c:strRef>
          </c:tx>
          <c:spPr>
            <a:solidFill>
              <a:srgbClr val="A02B93"/>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Graphs!$D$116:$D$123</c:f>
              <c:numCache>
                <c:formatCode>0.00</c:formatCode>
                <c:ptCount val="8"/>
                <c:pt idx="0">
                  <c:v>9.0638012895662374</c:v>
                </c:pt>
                <c:pt idx="1">
                  <c:v>9.3114461335434573</c:v>
                </c:pt>
                <c:pt idx="2">
                  <c:v>8.3803015201891107</c:v>
                </c:pt>
                <c:pt idx="3">
                  <c:v>7.0149830034336595</c:v>
                </c:pt>
                <c:pt idx="4">
                  <c:v>6.9385829541854269</c:v>
                </c:pt>
                <c:pt idx="5">
                  <c:v>6.9385829541854269</c:v>
                </c:pt>
                <c:pt idx="6">
                  <c:v>8.4313997059436225</c:v>
                </c:pt>
                <c:pt idx="7">
                  <c:v>8.4313997059436225</c:v>
                </c:pt>
              </c:numCache>
            </c:numRef>
          </c:val>
          <c:extLst>
            <c:ext xmlns:c16="http://schemas.microsoft.com/office/drawing/2014/chart" uri="{C3380CC4-5D6E-409C-BE32-E72D297353CC}">
              <c16:uniqueId val="{00000002-4486-41AB-BB5A-5FCA5F8A9FC5}"/>
            </c:ext>
          </c:extLst>
        </c:ser>
        <c:ser>
          <c:idx val="3"/>
          <c:order val="3"/>
          <c:tx>
            <c:strRef>
              <c:f>Graphs!$E$115</c:f>
              <c:strCache>
                <c:ptCount val="1"/>
                <c:pt idx="0">
                  <c:v>Non-metallic minerals</c:v>
                </c:pt>
              </c:strCache>
            </c:strRef>
          </c:tx>
          <c:spPr>
            <a:solidFill>
              <a:schemeClr val="accent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Graphs!$E$116:$E$123</c:f>
              <c:numCache>
                <c:formatCode>0.00</c:formatCode>
                <c:ptCount val="8"/>
                <c:pt idx="0">
                  <c:v>9.0549736225087933</c:v>
                </c:pt>
                <c:pt idx="1">
                  <c:v>6.3957342807903208</c:v>
                </c:pt>
                <c:pt idx="2">
                  <c:v>3.1989863938942982</c:v>
                </c:pt>
                <c:pt idx="3">
                  <c:v>3.048919409581083</c:v>
                </c:pt>
                <c:pt idx="4">
                  <c:v>2.759122717272176</c:v>
                </c:pt>
                <c:pt idx="5">
                  <c:v>3.9661955845730152</c:v>
                </c:pt>
                <c:pt idx="6">
                  <c:v>4.1401407221526529</c:v>
                </c:pt>
                <c:pt idx="7">
                  <c:v>4.1401407221526529</c:v>
                </c:pt>
              </c:numCache>
            </c:numRef>
          </c:val>
          <c:extLst>
            <c:ext xmlns:c16="http://schemas.microsoft.com/office/drawing/2014/chart" uri="{C3380CC4-5D6E-409C-BE32-E72D297353CC}">
              <c16:uniqueId val="{00000003-4486-41AB-BB5A-5FCA5F8A9FC5}"/>
            </c:ext>
          </c:extLst>
        </c:ser>
        <c:ser>
          <c:idx val="4"/>
          <c:order val="4"/>
          <c:tx>
            <c:strRef>
              <c:f>Graphs!$F$115</c:f>
              <c:strCache>
                <c:ptCount val="1"/>
                <c:pt idx="0">
                  <c:v>Nonferrous metals</c:v>
                </c:pt>
              </c:strCache>
            </c:strRef>
          </c:tx>
          <c:spPr>
            <a:solidFill>
              <a:srgbClr val="E97132"/>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Graphs!$F$116:$F$123</c:f>
              <c:numCache>
                <c:formatCode>0.00</c:formatCode>
                <c:ptCount val="8"/>
                <c:pt idx="0">
                  <c:v>4.1026670574443145</c:v>
                </c:pt>
                <c:pt idx="1">
                  <c:v>4.7180671160609622</c:v>
                </c:pt>
                <c:pt idx="2">
                  <c:v>2.7706849139067988</c:v>
                </c:pt>
                <c:pt idx="3">
                  <c:v>2.6045251070340081</c:v>
                </c:pt>
                <c:pt idx="4">
                  <c:v>2.3979325751869092</c:v>
                </c:pt>
                <c:pt idx="5">
                  <c:v>2.4088416789022649</c:v>
                </c:pt>
                <c:pt idx="6">
                  <c:v>2.4088416789022649</c:v>
                </c:pt>
                <c:pt idx="7">
                  <c:v>2.4088416789022649</c:v>
                </c:pt>
              </c:numCache>
            </c:numRef>
          </c:val>
          <c:extLst>
            <c:ext xmlns:c16="http://schemas.microsoft.com/office/drawing/2014/chart" uri="{C3380CC4-5D6E-409C-BE32-E72D297353CC}">
              <c16:uniqueId val="{00000004-4486-41AB-BB5A-5FCA5F8A9FC5}"/>
            </c:ext>
          </c:extLst>
        </c:ser>
        <c:ser>
          <c:idx val="5"/>
          <c:order val="5"/>
          <c:tx>
            <c:strRef>
              <c:f>Graphs!$G$115</c:f>
              <c:strCache>
                <c:ptCount val="1"/>
                <c:pt idx="0">
                  <c:v>Food, beverage, &amp; tobacco</c:v>
                </c:pt>
              </c:strCache>
            </c:strRef>
          </c:tx>
          <c:spPr>
            <a:solidFill>
              <a:srgbClr val="99401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Graphs!$G$116:$G$123</c:f>
              <c:numCache>
                <c:formatCode>0.00</c:formatCode>
                <c:ptCount val="8"/>
                <c:pt idx="0">
                  <c:v>1.5659525205158269</c:v>
                </c:pt>
                <c:pt idx="1">
                  <c:v>1.5659525205158269</c:v>
                </c:pt>
                <c:pt idx="2">
                  <c:v>1.4719953692848771</c:v>
                </c:pt>
                <c:pt idx="3">
                  <c:v>1.0696078952484218</c:v>
                </c:pt>
                <c:pt idx="4">
                  <c:v>1.066113765307438</c:v>
                </c:pt>
                <c:pt idx="5">
                  <c:v>1.066113765307438</c:v>
                </c:pt>
                <c:pt idx="6">
                  <c:v>1.066113765307438</c:v>
                </c:pt>
                <c:pt idx="7">
                  <c:v>1.066113765307438</c:v>
                </c:pt>
              </c:numCache>
            </c:numRef>
          </c:val>
          <c:extLst>
            <c:ext xmlns:c16="http://schemas.microsoft.com/office/drawing/2014/chart" uri="{C3380CC4-5D6E-409C-BE32-E72D297353CC}">
              <c16:uniqueId val="{00000005-4486-41AB-BB5A-5FCA5F8A9FC5}"/>
            </c:ext>
          </c:extLst>
        </c:ser>
        <c:ser>
          <c:idx val="6"/>
          <c:order val="6"/>
          <c:tx>
            <c:strRef>
              <c:f>Graphs!$H$115</c:f>
              <c:strCache>
                <c:ptCount val="1"/>
                <c:pt idx="0">
                  <c:v>Machinery</c:v>
                </c:pt>
              </c:strCache>
            </c:strRef>
          </c:tx>
          <c:spPr>
            <a:solidFill>
              <a:srgbClr val="601A58"/>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Graphs!$H$116:$H$123</c:f>
              <c:numCache>
                <c:formatCode>0.00</c:formatCode>
                <c:ptCount val="8"/>
                <c:pt idx="0">
                  <c:v>1.541541617819461</c:v>
                </c:pt>
                <c:pt idx="1">
                  <c:v>1.2116824984572367</c:v>
                </c:pt>
                <c:pt idx="2">
                  <c:v>0.82606454332322121</c:v>
                </c:pt>
                <c:pt idx="3">
                  <c:v>0.76299350349067407</c:v>
                </c:pt>
                <c:pt idx="4">
                  <c:v>0.71768583034036137</c:v>
                </c:pt>
                <c:pt idx="5">
                  <c:v>0.71768583034036137</c:v>
                </c:pt>
                <c:pt idx="6">
                  <c:v>0.71768583034036137</c:v>
                </c:pt>
                <c:pt idx="7">
                  <c:v>0.71768583034036137</c:v>
                </c:pt>
              </c:numCache>
            </c:numRef>
          </c:val>
          <c:extLst>
            <c:ext xmlns:c16="http://schemas.microsoft.com/office/drawing/2014/chart" uri="{C3380CC4-5D6E-409C-BE32-E72D297353CC}">
              <c16:uniqueId val="{00000006-4486-41AB-BB5A-5FCA5F8A9FC5}"/>
            </c:ext>
          </c:extLst>
        </c:ser>
        <c:ser>
          <c:idx val="7"/>
          <c:order val="7"/>
          <c:tx>
            <c:strRef>
              <c:f>Graphs!$I$115</c:f>
              <c:strCache>
                <c:ptCount val="1"/>
                <c:pt idx="0">
                  <c:v>Textiles, leather, &amp; apparel</c:v>
                </c:pt>
              </c:strCache>
            </c:strRef>
          </c:tx>
          <c:spPr>
            <a:solidFill>
              <a:srgbClr val="0000C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Graphs!$I$116:$I$123</c:f>
              <c:numCache>
                <c:formatCode>0.00</c:formatCode>
                <c:ptCount val="8"/>
                <c:pt idx="0">
                  <c:v>1.4183645955451352</c:v>
                </c:pt>
                <c:pt idx="1">
                  <c:v>1.4183645955451352</c:v>
                </c:pt>
                <c:pt idx="2">
                  <c:v>0.9928552168815945</c:v>
                </c:pt>
                <c:pt idx="3">
                  <c:v>0.90929857309028672</c:v>
                </c:pt>
                <c:pt idx="4">
                  <c:v>0.88464850172059295</c:v>
                </c:pt>
                <c:pt idx="5">
                  <c:v>0.88464850172059295</c:v>
                </c:pt>
                <c:pt idx="6">
                  <c:v>0.88464850172059295</c:v>
                </c:pt>
                <c:pt idx="7">
                  <c:v>0.88464850172059295</c:v>
                </c:pt>
              </c:numCache>
            </c:numRef>
          </c:val>
          <c:extLst>
            <c:ext xmlns:c16="http://schemas.microsoft.com/office/drawing/2014/chart" uri="{C3380CC4-5D6E-409C-BE32-E72D297353CC}">
              <c16:uniqueId val="{00000007-4486-41AB-BB5A-5FCA5F8A9FC5}"/>
            </c:ext>
          </c:extLst>
        </c:ser>
        <c:ser>
          <c:idx val="8"/>
          <c:order val="8"/>
          <c:tx>
            <c:strRef>
              <c:f>Graphs!$J$115</c:f>
              <c:strCache>
                <c:ptCount val="1"/>
                <c:pt idx="0">
                  <c:v>Other metal products</c:v>
                </c:pt>
              </c:strCache>
            </c:strRef>
          </c:tx>
          <c:spPr>
            <a:solidFill>
              <a:srgbClr val="DCB7A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Graphs!$J$116:$J$123</c:f>
              <c:numCache>
                <c:formatCode>0.00</c:formatCode>
                <c:ptCount val="8"/>
                <c:pt idx="0">
                  <c:v>1.0999120750293083</c:v>
                </c:pt>
                <c:pt idx="1">
                  <c:v>0.86455285783330804</c:v>
                </c:pt>
                <c:pt idx="2">
                  <c:v>0.53251052587170322</c:v>
                </c:pt>
                <c:pt idx="3">
                  <c:v>0.44428105088352787</c:v>
                </c:pt>
                <c:pt idx="4">
                  <c:v>0.39551032816410731</c:v>
                </c:pt>
                <c:pt idx="5">
                  <c:v>0.39551032816410731</c:v>
                </c:pt>
                <c:pt idx="6">
                  <c:v>0.39551032816410731</c:v>
                </c:pt>
                <c:pt idx="7">
                  <c:v>0.39551032816410731</c:v>
                </c:pt>
              </c:numCache>
            </c:numRef>
          </c:val>
          <c:extLst>
            <c:ext xmlns:c16="http://schemas.microsoft.com/office/drawing/2014/chart" uri="{C3380CC4-5D6E-409C-BE32-E72D297353CC}">
              <c16:uniqueId val="{00000008-4486-41AB-BB5A-5FCA5F8A9FC5}"/>
            </c:ext>
          </c:extLst>
        </c:ser>
        <c:ser>
          <c:idx val="9"/>
          <c:order val="9"/>
          <c:tx>
            <c:strRef>
              <c:f>Graphs!$K$115</c:f>
              <c:strCache>
                <c:ptCount val="1"/>
                <c:pt idx="0">
                  <c:v>Electronics</c:v>
                </c:pt>
              </c:strCache>
            </c:strRef>
          </c:tx>
          <c:spPr>
            <a:solidFill>
              <a:srgbClr val="FF3399"/>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Graphs!$K$116:$K$123</c:f>
              <c:numCache>
                <c:formatCode>0.00</c:formatCode>
                <c:ptCount val="8"/>
                <c:pt idx="0">
                  <c:v>0.99860785463071522</c:v>
                </c:pt>
                <c:pt idx="1">
                  <c:v>0.78492571740588313</c:v>
                </c:pt>
                <c:pt idx="2">
                  <c:v>0.49685797911792406</c:v>
                </c:pt>
                <c:pt idx="3">
                  <c:v>0.45628245333878731</c:v>
                </c:pt>
                <c:pt idx="4">
                  <c:v>0.43635813543630764</c:v>
                </c:pt>
                <c:pt idx="5">
                  <c:v>0.43635813543630764</c:v>
                </c:pt>
                <c:pt idx="6">
                  <c:v>0.43635813543630764</c:v>
                </c:pt>
                <c:pt idx="7">
                  <c:v>0.43635813543630764</c:v>
                </c:pt>
              </c:numCache>
            </c:numRef>
          </c:val>
          <c:extLst>
            <c:ext xmlns:c16="http://schemas.microsoft.com/office/drawing/2014/chart" uri="{C3380CC4-5D6E-409C-BE32-E72D297353CC}">
              <c16:uniqueId val="{00000009-4486-41AB-BB5A-5FCA5F8A9FC5}"/>
            </c:ext>
          </c:extLst>
        </c:ser>
        <c:ser>
          <c:idx val="10"/>
          <c:order val="10"/>
          <c:tx>
            <c:strRef>
              <c:f>Graphs!$L$115</c:f>
              <c:strCache>
                <c:ptCount val="1"/>
                <c:pt idx="0">
                  <c:v>Pulp, paper, &amp; printing</c:v>
                </c:pt>
              </c:strCache>
            </c:strRef>
          </c:tx>
          <c:spPr>
            <a:solidFill>
              <a:srgbClr val="0F4016"/>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Graphs!$L$116:$L$123</c:f>
              <c:numCache>
                <c:formatCode>0.00</c:formatCode>
                <c:ptCount val="8"/>
                <c:pt idx="0">
                  <c:v>0.9246160609613131</c:v>
                </c:pt>
                <c:pt idx="1">
                  <c:v>0.9246160609613131</c:v>
                </c:pt>
                <c:pt idx="2">
                  <c:v>0.74662746922626022</c:v>
                </c:pt>
                <c:pt idx="3">
                  <c:v>0.69525591203047266</c:v>
                </c:pt>
                <c:pt idx="4">
                  <c:v>0.65821892103839419</c:v>
                </c:pt>
                <c:pt idx="5">
                  <c:v>0.65821892103839419</c:v>
                </c:pt>
                <c:pt idx="6">
                  <c:v>0.65821892103839419</c:v>
                </c:pt>
                <c:pt idx="7">
                  <c:v>0.65821892103839419</c:v>
                </c:pt>
              </c:numCache>
            </c:numRef>
          </c:val>
          <c:extLst>
            <c:ext xmlns:c16="http://schemas.microsoft.com/office/drawing/2014/chart" uri="{C3380CC4-5D6E-409C-BE32-E72D297353CC}">
              <c16:uniqueId val="{0000000A-4486-41AB-BB5A-5FCA5F8A9FC5}"/>
            </c:ext>
          </c:extLst>
        </c:ser>
        <c:ser>
          <c:idx val="11"/>
          <c:order val="11"/>
          <c:tx>
            <c:strRef>
              <c:f>Graphs!$M$115</c:f>
              <c:strCache>
                <c:ptCount val="1"/>
                <c:pt idx="0">
                  <c:v>Vehicles &amp; transport equipment</c:v>
                </c:pt>
              </c:strCache>
            </c:strRef>
          </c:tx>
          <c:spPr>
            <a:solidFill>
              <a:srgbClr val="4EF89F"/>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Graphs!$M$116:$M$123</c:f>
              <c:numCache>
                <c:formatCode>0.00</c:formatCode>
                <c:ptCount val="8"/>
                <c:pt idx="0">
                  <c:v>0.88367233294255576</c:v>
                </c:pt>
                <c:pt idx="1">
                  <c:v>0.69458410192774356</c:v>
                </c:pt>
                <c:pt idx="2">
                  <c:v>0.49046319897372792</c:v>
                </c:pt>
                <c:pt idx="3">
                  <c:v>0.43034069206285164</c:v>
                </c:pt>
                <c:pt idx="4">
                  <c:v>0.40103613545306238</c:v>
                </c:pt>
                <c:pt idx="5">
                  <c:v>0.40103613545306238</c:v>
                </c:pt>
                <c:pt idx="6">
                  <c:v>0.40103613545306238</c:v>
                </c:pt>
                <c:pt idx="7">
                  <c:v>0.40103613545306238</c:v>
                </c:pt>
              </c:numCache>
            </c:numRef>
          </c:val>
          <c:extLst>
            <c:ext xmlns:c16="http://schemas.microsoft.com/office/drawing/2014/chart" uri="{C3380CC4-5D6E-409C-BE32-E72D297353CC}">
              <c16:uniqueId val="{0000000B-4486-41AB-BB5A-5FCA5F8A9FC5}"/>
            </c:ext>
          </c:extLst>
        </c:ser>
        <c:ser>
          <c:idx val="12"/>
          <c:order val="12"/>
          <c:tx>
            <c:strRef>
              <c:f>Graphs!$N$115</c:f>
              <c:strCache>
                <c:ptCount val="1"/>
                <c:pt idx="0">
                  <c:v>Plastic &amp; rubber products</c:v>
                </c:pt>
              </c:strCache>
            </c:strRef>
          </c:tx>
          <c:spPr>
            <a:solidFill>
              <a:srgbClr val="196B2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Graphs!$N$116:$N$123</c:f>
              <c:numCache>
                <c:formatCode>0.00</c:formatCode>
                <c:ptCount val="8"/>
                <c:pt idx="0">
                  <c:v>0.75814771395076208</c:v>
                </c:pt>
                <c:pt idx="1">
                  <c:v>1.4971824603229336</c:v>
                </c:pt>
                <c:pt idx="2">
                  <c:v>1.4631215593505866</c:v>
                </c:pt>
                <c:pt idx="3">
                  <c:v>1.3894623649162672</c:v>
                </c:pt>
                <c:pt idx="4">
                  <c:v>1.3468276508322856</c:v>
                </c:pt>
                <c:pt idx="5">
                  <c:v>1.3468276508322856</c:v>
                </c:pt>
                <c:pt idx="6">
                  <c:v>1.3468276508322856</c:v>
                </c:pt>
                <c:pt idx="7">
                  <c:v>1.3468276508322856</c:v>
                </c:pt>
              </c:numCache>
            </c:numRef>
          </c:val>
          <c:extLst>
            <c:ext xmlns:c16="http://schemas.microsoft.com/office/drawing/2014/chart" uri="{C3380CC4-5D6E-409C-BE32-E72D297353CC}">
              <c16:uniqueId val="{0000000C-4486-41AB-BB5A-5FCA5F8A9FC5}"/>
            </c:ext>
          </c:extLst>
        </c:ser>
        <c:ser>
          <c:idx val="13"/>
          <c:order val="13"/>
          <c:tx>
            <c:strRef>
              <c:f>Graphs!$O$115</c:f>
              <c:strCache>
                <c:ptCount val="1"/>
                <c:pt idx="0">
                  <c:v>Wood &amp; furniture</c:v>
                </c:pt>
              </c:strCache>
            </c:strRef>
          </c:tx>
          <c:spPr>
            <a:solidFill>
              <a:srgbClr val="FFC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Graphs!$O$116:$O$123</c:f>
              <c:numCache>
                <c:formatCode>0.00</c:formatCode>
                <c:ptCount val="8"/>
                <c:pt idx="0">
                  <c:v>0.20061840562719813</c:v>
                </c:pt>
                <c:pt idx="1">
                  <c:v>0.20061840562719813</c:v>
                </c:pt>
                <c:pt idx="2">
                  <c:v>0.17453801289566234</c:v>
                </c:pt>
                <c:pt idx="3">
                  <c:v>0.16814210185136863</c:v>
                </c:pt>
                <c:pt idx="4">
                  <c:v>0.16272766615214132</c:v>
                </c:pt>
                <c:pt idx="5">
                  <c:v>0.16272766615214132</c:v>
                </c:pt>
                <c:pt idx="6">
                  <c:v>0.16272766615214132</c:v>
                </c:pt>
                <c:pt idx="7">
                  <c:v>0.16272766615214132</c:v>
                </c:pt>
              </c:numCache>
            </c:numRef>
          </c:val>
          <c:extLst>
            <c:ext xmlns:c16="http://schemas.microsoft.com/office/drawing/2014/chart" uri="{C3380CC4-5D6E-409C-BE32-E72D297353CC}">
              <c16:uniqueId val="{0000000D-4486-41AB-BB5A-5FCA5F8A9FC5}"/>
            </c:ext>
          </c:extLst>
        </c:ser>
        <c:ser>
          <c:idx val="14"/>
          <c:order val="14"/>
          <c:tx>
            <c:strRef>
              <c:f>Graphs!$P$115</c:f>
              <c:strCache>
                <c:ptCount val="1"/>
                <c:pt idx="0">
                  <c:v>Other manufacturing</c:v>
                </c:pt>
              </c:strCache>
            </c:strRef>
          </c:tx>
          <c:spPr>
            <a:solidFill>
              <a:srgbClr val="C00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Graphs!$P$116:$P$123</c:f>
              <c:numCache>
                <c:formatCode>0.00</c:formatCode>
                <c:ptCount val="8"/>
                <c:pt idx="0">
                  <c:v>0.37671453692848766</c:v>
                </c:pt>
                <c:pt idx="1">
                  <c:v>0.37671453692848766</c:v>
                </c:pt>
                <c:pt idx="2">
                  <c:v>0.35222809202813604</c:v>
                </c:pt>
                <c:pt idx="3">
                  <c:v>0.33108394075989916</c:v>
                </c:pt>
                <c:pt idx="4">
                  <c:v>0.32061129764151663</c:v>
                </c:pt>
                <c:pt idx="5">
                  <c:v>0.32061129764151663</c:v>
                </c:pt>
                <c:pt idx="6">
                  <c:v>0.32061129764151663</c:v>
                </c:pt>
                <c:pt idx="7">
                  <c:v>0.32061129764151663</c:v>
                </c:pt>
              </c:numCache>
            </c:numRef>
          </c:val>
          <c:extLst>
            <c:ext xmlns:c16="http://schemas.microsoft.com/office/drawing/2014/chart" uri="{C3380CC4-5D6E-409C-BE32-E72D297353CC}">
              <c16:uniqueId val="{0000000E-4486-41AB-BB5A-5FCA5F8A9FC5}"/>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678556554967082"/>
              <c:y val="7.9139279523414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Use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Graphs!$B$115</c:f>
              <c:strCache>
                <c:ptCount val="1"/>
                <c:pt idx="0">
                  <c:v>Iron &amp; steel</c:v>
                </c:pt>
              </c:strCache>
            </c:strRef>
          </c:tx>
          <c:spPr>
            <a:solidFill>
              <a:srgbClr val="0F9ED5"/>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Graphs!$B$116:$B$123</c:f>
              <c:numCache>
                <c:formatCode>0.00</c:formatCode>
                <c:ptCount val="8"/>
                <c:pt idx="0">
                  <c:v>21.322634818288392</c:v>
                </c:pt>
                <c:pt idx="1">
                  <c:v>16.760016811521979</c:v>
                </c:pt>
                <c:pt idx="2">
                  <c:v>8.8254720104882818</c:v>
                </c:pt>
                <c:pt idx="3">
                  <c:v>5.2680891643499903</c:v>
                </c:pt>
                <c:pt idx="4">
                  <c:v>4.9062933646369418</c:v>
                </c:pt>
                <c:pt idx="5">
                  <c:v>5.2168246927736703</c:v>
                </c:pt>
                <c:pt idx="6">
                  <c:v>5.4754935570732224</c:v>
                </c:pt>
                <c:pt idx="7">
                  <c:v>5.4754935570732224</c:v>
                </c:pt>
              </c:numCache>
            </c:numRef>
          </c:val>
          <c:extLst>
            <c:ext xmlns:c16="http://schemas.microsoft.com/office/drawing/2014/chart" uri="{C3380CC4-5D6E-409C-BE32-E72D297353CC}">
              <c16:uniqueId val="{00000000-4C8A-4332-8110-BE3AC66CB88D}"/>
            </c:ext>
          </c:extLst>
        </c:ser>
        <c:ser>
          <c:idx val="1"/>
          <c:order val="1"/>
          <c:tx>
            <c:strRef>
              <c:f>Graphs!$C$115</c:f>
              <c:strCache>
                <c:ptCount val="1"/>
                <c:pt idx="0">
                  <c:v>Chemicals</c:v>
                </c:pt>
              </c:strCache>
            </c:strRef>
          </c:tx>
          <c:spPr>
            <a:solidFill>
              <a:schemeClr val="tx1"/>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Graphs!$C$116:$C$123</c:f>
              <c:numCache>
                <c:formatCode>0.00</c:formatCode>
                <c:ptCount val="8"/>
                <c:pt idx="0">
                  <c:v>21.157939278955816</c:v>
                </c:pt>
                <c:pt idx="1">
                  <c:v>30.768437284020909</c:v>
                </c:pt>
                <c:pt idx="2">
                  <c:v>19.820185835772914</c:v>
                </c:pt>
                <c:pt idx="3">
                  <c:v>15.899245241306549</c:v>
                </c:pt>
                <c:pt idx="4">
                  <c:v>15.235699301676728</c:v>
                </c:pt>
                <c:pt idx="5">
                  <c:v>15.235699301676728</c:v>
                </c:pt>
                <c:pt idx="6">
                  <c:v>15.675166223555925</c:v>
                </c:pt>
                <c:pt idx="7">
                  <c:v>16.327273058530288</c:v>
                </c:pt>
              </c:numCache>
            </c:numRef>
          </c:val>
          <c:extLst>
            <c:ext xmlns:c16="http://schemas.microsoft.com/office/drawing/2014/chart" uri="{C3380CC4-5D6E-409C-BE32-E72D297353CC}">
              <c16:uniqueId val="{00000001-4C8A-4332-8110-BE3AC66CB88D}"/>
            </c:ext>
          </c:extLst>
        </c:ser>
        <c:ser>
          <c:idx val="2"/>
          <c:order val="2"/>
          <c:tx>
            <c:strRef>
              <c:f>Graphs!$D$115</c:f>
              <c:strCache>
                <c:ptCount val="1"/>
                <c:pt idx="0">
                  <c:v>Refining &amp; fuel processing</c:v>
                </c:pt>
              </c:strCache>
            </c:strRef>
          </c:tx>
          <c:spPr>
            <a:solidFill>
              <a:srgbClr val="E97132"/>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Graphs!$D$116:$D$123</c:f>
              <c:numCache>
                <c:formatCode>0.00</c:formatCode>
                <c:ptCount val="8"/>
                <c:pt idx="0">
                  <c:v>9.0638012895662374</c:v>
                </c:pt>
                <c:pt idx="1">
                  <c:v>9.3114461335434573</c:v>
                </c:pt>
                <c:pt idx="2">
                  <c:v>8.3803015201891107</c:v>
                </c:pt>
                <c:pt idx="3">
                  <c:v>7.0149830034336595</c:v>
                </c:pt>
                <c:pt idx="4">
                  <c:v>6.9385829541854269</c:v>
                </c:pt>
                <c:pt idx="5">
                  <c:v>6.9385829541854269</c:v>
                </c:pt>
                <c:pt idx="6">
                  <c:v>8.4313997059436225</c:v>
                </c:pt>
                <c:pt idx="7">
                  <c:v>8.4313997059436225</c:v>
                </c:pt>
              </c:numCache>
            </c:numRef>
          </c:val>
          <c:extLst>
            <c:ext xmlns:c16="http://schemas.microsoft.com/office/drawing/2014/chart" uri="{C3380CC4-5D6E-409C-BE32-E72D297353CC}">
              <c16:uniqueId val="{00000002-4C8A-4332-8110-BE3AC66CB88D}"/>
            </c:ext>
          </c:extLst>
        </c:ser>
        <c:ser>
          <c:idx val="3"/>
          <c:order val="3"/>
          <c:tx>
            <c:strRef>
              <c:f>Graphs!$E$115</c:f>
              <c:strCache>
                <c:ptCount val="1"/>
                <c:pt idx="0">
                  <c:v>Non-metallic minerals</c:v>
                </c:pt>
              </c:strCache>
            </c:strRef>
          </c:tx>
          <c:spPr>
            <a:solidFill>
              <a:srgbClr val="A02B93"/>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Graphs!$E$116:$E$123</c:f>
              <c:numCache>
                <c:formatCode>0.00</c:formatCode>
                <c:ptCount val="8"/>
                <c:pt idx="0">
                  <c:v>9.0549736225087933</c:v>
                </c:pt>
                <c:pt idx="1">
                  <c:v>6.3957342807903208</c:v>
                </c:pt>
                <c:pt idx="2">
                  <c:v>3.1989863938942982</c:v>
                </c:pt>
                <c:pt idx="3">
                  <c:v>3.048919409581083</c:v>
                </c:pt>
                <c:pt idx="4">
                  <c:v>2.759122717272176</c:v>
                </c:pt>
                <c:pt idx="5">
                  <c:v>3.9661955845730152</c:v>
                </c:pt>
                <c:pt idx="6">
                  <c:v>4.1401407221526529</c:v>
                </c:pt>
                <c:pt idx="7">
                  <c:v>4.1401407221526529</c:v>
                </c:pt>
              </c:numCache>
            </c:numRef>
          </c:val>
          <c:extLst>
            <c:ext xmlns:c16="http://schemas.microsoft.com/office/drawing/2014/chart" uri="{C3380CC4-5D6E-409C-BE32-E72D297353CC}">
              <c16:uniqueId val="{00000003-4C8A-4332-8110-BE3AC66CB88D}"/>
            </c:ext>
          </c:extLst>
        </c:ser>
        <c:ser>
          <c:idx val="4"/>
          <c:order val="4"/>
          <c:tx>
            <c:strRef>
              <c:f>Graphs!$F$115</c:f>
              <c:strCache>
                <c:ptCount val="1"/>
                <c:pt idx="0">
                  <c:v>Nonferrous metals</c:v>
                </c:pt>
              </c:strCache>
            </c:strRef>
          </c:tx>
          <c:spPr>
            <a:solidFill>
              <a:srgbClr val="4EF89F"/>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Graphs!$F$116:$F$123</c:f>
              <c:numCache>
                <c:formatCode>0.00</c:formatCode>
                <c:ptCount val="8"/>
                <c:pt idx="0">
                  <c:v>4.1026670574443145</c:v>
                </c:pt>
                <c:pt idx="1">
                  <c:v>4.7180671160609622</c:v>
                </c:pt>
                <c:pt idx="2">
                  <c:v>2.7706849139067988</c:v>
                </c:pt>
                <c:pt idx="3">
                  <c:v>2.6045251070340081</c:v>
                </c:pt>
                <c:pt idx="4">
                  <c:v>2.3979325751869092</c:v>
                </c:pt>
                <c:pt idx="5">
                  <c:v>2.4088416789022649</c:v>
                </c:pt>
                <c:pt idx="6">
                  <c:v>2.4088416789022649</c:v>
                </c:pt>
                <c:pt idx="7">
                  <c:v>2.4088416789022649</c:v>
                </c:pt>
              </c:numCache>
            </c:numRef>
          </c:val>
          <c:extLst>
            <c:ext xmlns:c16="http://schemas.microsoft.com/office/drawing/2014/chart" uri="{C3380CC4-5D6E-409C-BE32-E72D297353CC}">
              <c16:uniqueId val="{00000004-4C8A-4332-8110-BE3AC66CB88D}"/>
            </c:ext>
          </c:extLst>
        </c:ser>
        <c:ser>
          <c:idx val="5"/>
          <c:order val="5"/>
          <c:tx>
            <c:strRef>
              <c:f>Graphs!$G$115</c:f>
              <c:strCache>
                <c:ptCount val="1"/>
                <c:pt idx="0">
                  <c:v>Food, beverage, &amp; tobacco</c:v>
                </c:pt>
              </c:strCache>
            </c:strRef>
          </c:tx>
          <c:spPr>
            <a:solidFill>
              <a:srgbClr val="99401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Graphs!$G$116:$G$123</c:f>
              <c:numCache>
                <c:formatCode>0.00</c:formatCode>
                <c:ptCount val="8"/>
                <c:pt idx="0">
                  <c:v>1.5659525205158269</c:v>
                </c:pt>
                <c:pt idx="1">
                  <c:v>1.5659525205158269</c:v>
                </c:pt>
                <c:pt idx="2">
                  <c:v>1.4719953692848771</c:v>
                </c:pt>
                <c:pt idx="3">
                  <c:v>1.0696078952484218</c:v>
                </c:pt>
                <c:pt idx="4">
                  <c:v>1.066113765307438</c:v>
                </c:pt>
                <c:pt idx="5">
                  <c:v>1.066113765307438</c:v>
                </c:pt>
                <c:pt idx="6">
                  <c:v>1.066113765307438</c:v>
                </c:pt>
                <c:pt idx="7">
                  <c:v>1.066113765307438</c:v>
                </c:pt>
              </c:numCache>
            </c:numRef>
          </c:val>
          <c:extLst>
            <c:ext xmlns:c16="http://schemas.microsoft.com/office/drawing/2014/chart" uri="{C3380CC4-5D6E-409C-BE32-E72D297353CC}">
              <c16:uniqueId val="{00000005-4C8A-4332-8110-BE3AC66CB88D}"/>
            </c:ext>
          </c:extLst>
        </c:ser>
        <c:ser>
          <c:idx val="6"/>
          <c:order val="6"/>
          <c:tx>
            <c:strRef>
              <c:f>Graphs!$H$115</c:f>
              <c:strCache>
                <c:ptCount val="1"/>
                <c:pt idx="0">
                  <c:v>Machinery</c:v>
                </c:pt>
              </c:strCache>
            </c:strRef>
          </c:tx>
          <c:spPr>
            <a:solidFill>
              <a:srgbClr val="196B2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Graphs!$H$116:$H$123</c:f>
              <c:numCache>
                <c:formatCode>0.00</c:formatCode>
                <c:ptCount val="8"/>
                <c:pt idx="0">
                  <c:v>1.541541617819461</c:v>
                </c:pt>
                <c:pt idx="1">
                  <c:v>1.2116824984572367</c:v>
                </c:pt>
                <c:pt idx="2">
                  <c:v>0.82606454332322121</c:v>
                </c:pt>
                <c:pt idx="3">
                  <c:v>0.76299350349067407</c:v>
                </c:pt>
                <c:pt idx="4">
                  <c:v>0.71768583034036137</c:v>
                </c:pt>
                <c:pt idx="5">
                  <c:v>0.71768583034036137</c:v>
                </c:pt>
                <c:pt idx="6">
                  <c:v>0.71768583034036137</c:v>
                </c:pt>
                <c:pt idx="7">
                  <c:v>0.71768583034036137</c:v>
                </c:pt>
              </c:numCache>
            </c:numRef>
          </c:val>
          <c:extLst>
            <c:ext xmlns:c16="http://schemas.microsoft.com/office/drawing/2014/chart" uri="{C3380CC4-5D6E-409C-BE32-E72D297353CC}">
              <c16:uniqueId val="{00000006-4C8A-4332-8110-BE3AC66CB88D}"/>
            </c:ext>
          </c:extLst>
        </c:ser>
        <c:ser>
          <c:idx val="7"/>
          <c:order val="7"/>
          <c:tx>
            <c:strRef>
              <c:f>Graphs!$I$115</c:f>
              <c:strCache>
                <c:ptCount val="1"/>
                <c:pt idx="0">
                  <c:v>Textiles, leather, &amp; apparel</c:v>
                </c:pt>
              </c:strCache>
            </c:strRef>
          </c:tx>
          <c:spPr>
            <a:solidFill>
              <a:srgbClr val="4EA72E"/>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Graphs!$I$116:$I$123</c:f>
              <c:numCache>
                <c:formatCode>0.00</c:formatCode>
                <c:ptCount val="8"/>
                <c:pt idx="0">
                  <c:v>1.4183645955451352</c:v>
                </c:pt>
                <c:pt idx="1">
                  <c:v>1.4183645955451352</c:v>
                </c:pt>
                <c:pt idx="2">
                  <c:v>0.9928552168815945</c:v>
                </c:pt>
                <c:pt idx="3">
                  <c:v>0.90929857309028672</c:v>
                </c:pt>
                <c:pt idx="4">
                  <c:v>0.88464850172059295</c:v>
                </c:pt>
                <c:pt idx="5">
                  <c:v>0.88464850172059295</c:v>
                </c:pt>
                <c:pt idx="6">
                  <c:v>0.88464850172059295</c:v>
                </c:pt>
                <c:pt idx="7">
                  <c:v>0.88464850172059295</c:v>
                </c:pt>
              </c:numCache>
            </c:numRef>
          </c:val>
          <c:extLst>
            <c:ext xmlns:c16="http://schemas.microsoft.com/office/drawing/2014/chart" uri="{C3380CC4-5D6E-409C-BE32-E72D297353CC}">
              <c16:uniqueId val="{00000007-4C8A-4332-8110-BE3AC66CB88D}"/>
            </c:ext>
          </c:extLst>
        </c:ser>
        <c:ser>
          <c:idx val="8"/>
          <c:order val="8"/>
          <c:tx>
            <c:strRef>
              <c:f>Graphs!$J$115</c:f>
              <c:strCache>
                <c:ptCount val="1"/>
                <c:pt idx="0">
                  <c:v>Other metal products</c:v>
                </c:pt>
              </c:strCache>
            </c:strRef>
          </c:tx>
          <c:spPr>
            <a:solidFill>
              <a:srgbClr val="601A58"/>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Graphs!$J$116:$J$123</c:f>
              <c:numCache>
                <c:formatCode>0.00</c:formatCode>
                <c:ptCount val="8"/>
                <c:pt idx="0">
                  <c:v>1.0999120750293083</c:v>
                </c:pt>
                <c:pt idx="1">
                  <c:v>0.86455285783330804</c:v>
                </c:pt>
                <c:pt idx="2">
                  <c:v>0.53251052587170322</c:v>
                </c:pt>
                <c:pt idx="3">
                  <c:v>0.44428105088352787</c:v>
                </c:pt>
                <c:pt idx="4">
                  <c:v>0.39551032816410731</c:v>
                </c:pt>
                <c:pt idx="5">
                  <c:v>0.39551032816410731</c:v>
                </c:pt>
                <c:pt idx="6">
                  <c:v>0.39551032816410731</c:v>
                </c:pt>
                <c:pt idx="7">
                  <c:v>0.39551032816410731</c:v>
                </c:pt>
              </c:numCache>
            </c:numRef>
          </c:val>
          <c:extLst>
            <c:ext xmlns:c16="http://schemas.microsoft.com/office/drawing/2014/chart" uri="{C3380CC4-5D6E-409C-BE32-E72D297353CC}">
              <c16:uniqueId val="{00000008-4C8A-4332-8110-BE3AC66CB88D}"/>
            </c:ext>
          </c:extLst>
        </c:ser>
        <c:ser>
          <c:idx val="9"/>
          <c:order val="9"/>
          <c:tx>
            <c:strRef>
              <c:f>Graphs!$K$115</c:f>
              <c:strCache>
                <c:ptCount val="1"/>
                <c:pt idx="0">
                  <c:v>Electronics</c:v>
                </c:pt>
              </c:strCache>
            </c:strRef>
          </c:tx>
          <c:spPr>
            <a:solidFill>
              <a:srgbClr val="0F4016"/>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Graphs!$K$116:$K$123</c:f>
              <c:numCache>
                <c:formatCode>0.00</c:formatCode>
                <c:ptCount val="8"/>
                <c:pt idx="0">
                  <c:v>0.99860785463071522</c:v>
                </c:pt>
                <c:pt idx="1">
                  <c:v>0.78492571740588313</c:v>
                </c:pt>
                <c:pt idx="2">
                  <c:v>0.49685797911792406</c:v>
                </c:pt>
                <c:pt idx="3">
                  <c:v>0.45628245333878731</c:v>
                </c:pt>
                <c:pt idx="4">
                  <c:v>0.43635813543630764</c:v>
                </c:pt>
                <c:pt idx="5">
                  <c:v>0.43635813543630764</c:v>
                </c:pt>
                <c:pt idx="6">
                  <c:v>0.43635813543630764</c:v>
                </c:pt>
                <c:pt idx="7">
                  <c:v>0.43635813543630764</c:v>
                </c:pt>
              </c:numCache>
            </c:numRef>
          </c:val>
          <c:extLst>
            <c:ext xmlns:c16="http://schemas.microsoft.com/office/drawing/2014/chart" uri="{C3380CC4-5D6E-409C-BE32-E72D297353CC}">
              <c16:uniqueId val="{00000009-4C8A-4332-8110-BE3AC66CB88D}"/>
            </c:ext>
          </c:extLst>
        </c:ser>
        <c:ser>
          <c:idx val="10"/>
          <c:order val="10"/>
          <c:tx>
            <c:strRef>
              <c:f>Graphs!$L$115</c:f>
              <c:strCache>
                <c:ptCount val="1"/>
                <c:pt idx="0">
                  <c:v>Pulp, paper, &amp; printing</c:v>
                </c:pt>
              </c:strCache>
            </c:strRef>
          </c:tx>
          <c:spPr>
            <a:solidFill>
              <a:srgbClr val="FF3399"/>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Graphs!$L$116:$L$123</c:f>
              <c:numCache>
                <c:formatCode>0.00</c:formatCode>
                <c:ptCount val="8"/>
                <c:pt idx="0">
                  <c:v>0.9246160609613131</c:v>
                </c:pt>
                <c:pt idx="1">
                  <c:v>0.9246160609613131</c:v>
                </c:pt>
                <c:pt idx="2">
                  <c:v>0.74662746922626022</c:v>
                </c:pt>
                <c:pt idx="3">
                  <c:v>0.69525591203047266</c:v>
                </c:pt>
                <c:pt idx="4">
                  <c:v>0.65821892103839419</c:v>
                </c:pt>
                <c:pt idx="5">
                  <c:v>0.65821892103839419</c:v>
                </c:pt>
                <c:pt idx="6">
                  <c:v>0.65821892103839419</c:v>
                </c:pt>
                <c:pt idx="7">
                  <c:v>0.65821892103839419</c:v>
                </c:pt>
              </c:numCache>
            </c:numRef>
          </c:val>
          <c:extLst>
            <c:ext xmlns:c16="http://schemas.microsoft.com/office/drawing/2014/chart" uri="{C3380CC4-5D6E-409C-BE32-E72D297353CC}">
              <c16:uniqueId val="{0000000A-4C8A-4332-8110-BE3AC66CB88D}"/>
            </c:ext>
          </c:extLst>
        </c:ser>
        <c:ser>
          <c:idx val="11"/>
          <c:order val="11"/>
          <c:tx>
            <c:strRef>
              <c:f>Graphs!$M$115</c:f>
              <c:strCache>
                <c:ptCount val="1"/>
                <c:pt idx="0">
                  <c:v>Vehicles &amp; transport equipment</c:v>
                </c:pt>
              </c:strCache>
            </c:strRef>
          </c:tx>
          <c:spPr>
            <a:solidFill>
              <a:srgbClr val="FFC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Graphs!$M$116:$M$123</c:f>
              <c:numCache>
                <c:formatCode>0.00</c:formatCode>
                <c:ptCount val="8"/>
                <c:pt idx="0">
                  <c:v>0.88367233294255576</c:v>
                </c:pt>
                <c:pt idx="1">
                  <c:v>0.69458410192774356</c:v>
                </c:pt>
                <c:pt idx="2">
                  <c:v>0.49046319897372792</c:v>
                </c:pt>
                <c:pt idx="3">
                  <c:v>0.43034069206285164</c:v>
                </c:pt>
                <c:pt idx="4">
                  <c:v>0.40103613545306238</c:v>
                </c:pt>
                <c:pt idx="5">
                  <c:v>0.40103613545306238</c:v>
                </c:pt>
                <c:pt idx="6">
                  <c:v>0.40103613545306238</c:v>
                </c:pt>
                <c:pt idx="7">
                  <c:v>0.40103613545306238</c:v>
                </c:pt>
              </c:numCache>
            </c:numRef>
          </c:val>
          <c:extLst>
            <c:ext xmlns:c16="http://schemas.microsoft.com/office/drawing/2014/chart" uri="{C3380CC4-5D6E-409C-BE32-E72D297353CC}">
              <c16:uniqueId val="{0000000B-4C8A-4332-8110-BE3AC66CB88D}"/>
            </c:ext>
          </c:extLst>
        </c:ser>
        <c:ser>
          <c:idx val="12"/>
          <c:order val="12"/>
          <c:tx>
            <c:strRef>
              <c:f>Graphs!$N$115</c:f>
              <c:strCache>
                <c:ptCount val="1"/>
                <c:pt idx="0">
                  <c:v>Plastic &amp; rubber products</c:v>
                </c:pt>
              </c:strCache>
            </c:strRef>
          </c:tx>
          <c:spPr>
            <a:solidFill>
              <a:srgbClr val="0000C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Graphs!$N$116:$N$123</c:f>
              <c:numCache>
                <c:formatCode>0.00</c:formatCode>
                <c:ptCount val="8"/>
                <c:pt idx="0">
                  <c:v>0.75814771395076208</c:v>
                </c:pt>
                <c:pt idx="1">
                  <c:v>1.4971824603229336</c:v>
                </c:pt>
                <c:pt idx="2">
                  <c:v>1.4631215593505866</c:v>
                </c:pt>
                <c:pt idx="3">
                  <c:v>1.3894623649162672</c:v>
                </c:pt>
                <c:pt idx="4">
                  <c:v>1.3468276508322856</c:v>
                </c:pt>
                <c:pt idx="5">
                  <c:v>1.3468276508322856</c:v>
                </c:pt>
                <c:pt idx="6">
                  <c:v>1.3468276508322856</c:v>
                </c:pt>
                <c:pt idx="7">
                  <c:v>1.3468276508322856</c:v>
                </c:pt>
              </c:numCache>
            </c:numRef>
          </c:val>
          <c:extLst>
            <c:ext xmlns:c16="http://schemas.microsoft.com/office/drawing/2014/chart" uri="{C3380CC4-5D6E-409C-BE32-E72D297353CC}">
              <c16:uniqueId val="{0000000C-4C8A-4332-8110-BE3AC66CB88D}"/>
            </c:ext>
          </c:extLst>
        </c:ser>
        <c:ser>
          <c:idx val="13"/>
          <c:order val="13"/>
          <c:tx>
            <c:strRef>
              <c:f>Graphs!$O$115</c:f>
              <c:strCache>
                <c:ptCount val="1"/>
                <c:pt idx="0">
                  <c:v>Wood &amp; furniture</c:v>
                </c:pt>
              </c:strCache>
            </c:strRef>
          </c:tx>
          <c:spPr>
            <a:solidFill>
              <a:srgbClr val="DCB6A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Graphs!$O$116:$O$123</c:f>
              <c:numCache>
                <c:formatCode>0.00</c:formatCode>
                <c:ptCount val="8"/>
                <c:pt idx="0">
                  <c:v>0.20061840562719813</c:v>
                </c:pt>
                <c:pt idx="1">
                  <c:v>0.20061840562719813</c:v>
                </c:pt>
                <c:pt idx="2">
                  <c:v>0.17453801289566234</c:v>
                </c:pt>
                <c:pt idx="3">
                  <c:v>0.16814210185136863</c:v>
                </c:pt>
                <c:pt idx="4">
                  <c:v>0.16272766615214132</c:v>
                </c:pt>
                <c:pt idx="5">
                  <c:v>0.16272766615214132</c:v>
                </c:pt>
                <c:pt idx="6">
                  <c:v>0.16272766615214132</c:v>
                </c:pt>
                <c:pt idx="7">
                  <c:v>0.16272766615214132</c:v>
                </c:pt>
              </c:numCache>
            </c:numRef>
          </c:val>
          <c:extLst>
            <c:ext xmlns:c16="http://schemas.microsoft.com/office/drawing/2014/chart" uri="{C3380CC4-5D6E-409C-BE32-E72D297353CC}">
              <c16:uniqueId val="{0000000D-4C8A-4332-8110-BE3AC66CB88D}"/>
            </c:ext>
          </c:extLst>
        </c:ser>
        <c:ser>
          <c:idx val="14"/>
          <c:order val="14"/>
          <c:tx>
            <c:strRef>
              <c:f>Graphs!$P$115</c:f>
              <c:strCache>
                <c:ptCount val="1"/>
                <c:pt idx="0">
                  <c:v>Other manufacturing</c:v>
                </c:pt>
              </c:strCache>
            </c:strRef>
          </c:tx>
          <c:spPr>
            <a:solidFill>
              <a:srgbClr val="C00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Graphs!$P$116:$P$123</c:f>
              <c:numCache>
                <c:formatCode>0.00</c:formatCode>
                <c:ptCount val="8"/>
                <c:pt idx="0">
                  <c:v>0.37671453692848766</c:v>
                </c:pt>
                <c:pt idx="1">
                  <c:v>0.37671453692848766</c:v>
                </c:pt>
                <c:pt idx="2">
                  <c:v>0.35222809202813604</c:v>
                </c:pt>
                <c:pt idx="3">
                  <c:v>0.33108394075989916</c:v>
                </c:pt>
                <c:pt idx="4">
                  <c:v>0.32061129764151663</c:v>
                </c:pt>
                <c:pt idx="5">
                  <c:v>0.32061129764151663</c:v>
                </c:pt>
                <c:pt idx="6">
                  <c:v>0.32061129764151663</c:v>
                </c:pt>
                <c:pt idx="7">
                  <c:v>0.32061129764151663</c:v>
                </c:pt>
              </c:numCache>
            </c:numRef>
          </c:val>
          <c:extLst>
            <c:ext xmlns:c16="http://schemas.microsoft.com/office/drawing/2014/chart" uri="{C3380CC4-5D6E-409C-BE32-E72D297353CC}">
              <c16:uniqueId val="{0000000E-4C8A-4332-8110-BE3AC66CB88D}"/>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678556554967082"/>
              <c:y val="7.9139279523414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Use by Subindustry</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Graphs!$B$115</c:f>
              <c:strCache>
                <c:ptCount val="1"/>
                <c:pt idx="0">
                  <c:v>Iron &amp; steel</c:v>
                </c:pt>
              </c:strCache>
            </c:strRef>
          </c:tx>
          <c:spPr>
            <a:solidFill>
              <a:srgbClr val="E97132"/>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Graphs!$B$116:$B$123</c:f>
              <c:numCache>
                <c:formatCode>0.00</c:formatCode>
                <c:ptCount val="8"/>
                <c:pt idx="0">
                  <c:v>21.322634818288392</c:v>
                </c:pt>
                <c:pt idx="1">
                  <c:v>16.760016811521979</c:v>
                </c:pt>
                <c:pt idx="2">
                  <c:v>8.8254720104882818</c:v>
                </c:pt>
                <c:pt idx="3">
                  <c:v>5.2680891643499903</c:v>
                </c:pt>
                <c:pt idx="4">
                  <c:v>4.9062933646369418</c:v>
                </c:pt>
                <c:pt idx="5">
                  <c:v>5.2168246927736703</c:v>
                </c:pt>
                <c:pt idx="6">
                  <c:v>5.4754935570732224</c:v>
                </c:pt>
                <c:pt idx="7">
                  <c:v>5.4754935570732224</c:v>
                </c:pt>
              </c:numCache>
            </c:numRef>
          </c:val>
          <c:extLst>
            <c:ext xmlns:c16="http://schemas.microsoft.com/office/drawing/2014/chart" uri="{C3380CC4-5D6E-409C-BE32-E72D297353CC}">
              <c16:uniqueId val="{00000000-8106-4C7F-AF64-41A369231732}"/>
            </c:ext>
          </c:extLst>
        </c:ser>
        <c:ser>
          <c:idx val="1"/>
          <c:order val="1"/>
          <c:tx>
            <c:strRef>
              <c:f>Graphs!$C$115</c:f>
              <c:strCache>
                <c:ptCount val="1"/>
                <c:pt idx="0">
                  <c:v>Chemicals</c:v>
                </c:pt>
              </c:strCache>
            </c:strRef>
          </c:tx>
          <c:spPr>
            <a:solidFill>
              <a:srgbClr val="196B2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Graphs!$C$116:$C$123</c:f>
              <c:numCache>
                <c:formatCode>0.00</c:formatCode>
                <c:ptCount val="8"/>
                <c:pt idx="0">
                  <c:v>21.157939278955816</c:v>
                </c:pt>
                <c:pt idx="1">
                  <c:v>30.768437284020909</c:v>
                </c:pt>
                <c:pt idx="2">
                  <c:v>19.820185835772914</c:v>
                </c:pt>
                <c:pt idx="3">
                  <c:v>15.899245241306549</c:v>
                </c:pt>
                <c:pt idx="4">
                  <c:v>15.235699301676728</c:v>
                </c:pt>
                <c:pt idx="5">
                  <c:v>15.235699301676728</c:v>
                </c:pt>
                <c:pt idx="6">
                  <c:v>15.675166223555925</c:v>
                </c:pt>
                <c:pt idx="7">
                  <c:v>16.327273058530288</c:v>
                </c:pt>
              </c:numCache>
            </c:numRef>
          </c:val>
          <c:extLst>
            <c:ext xmlns:c16="http://schemas.microsoft.com/office/drawing/2014/chart" uri="{C3380CC4-5D6E-409C-BE32-E72D297353CC}">
              <c16:uniqueId val="{00000001-8106-4C7F-AF64-41A369231732}"/>
            </c:ext>
          </c:extLst>
        </c:ser>
        <c:ser>
          <c:idx val="2"/>
          <c:order val="2"/>
          <c:tx>
            <c:strRef>
              <c:f>Graphs!$D$115</c:f>
              <c:strCache>
                <c:ptCount val="1"/>
                <c:pt idx="0">
                  <c:v>Refining &amp; fuel processing</c:v>
                </c:pt>
              </c:strCache>
            </c:strRef>
          </c:tx>
          <c:spPr>
            <a:solidFill>
              <a:srgbClr val="601A58"/>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Graphs!$D$116:$D$123</c:f>
              <c:numCache>
                <c:formatCode>0.00</c:formatCode>
                <c:ptCount val="8"/>
                <c:pt idx="0">
                  <c:v>9.0638012895662374</c:v>
                </c:pt>
                <c:pt idx="1">
                  <c:v>9.3114461335434573</c:v>
                </c:pt>
                <c:pt idx="2">
                  <c:v>8.3803015201891107</c:v>
                </c:pt>
                <c:pt idx="3">
                  <c:v>7.0149830034336595</c:v>
                </c:pt>
                <c:pt idx="4">
                  <c:v>6.9385829541854269</c:v>
                </c:pt>
                <c:pt idx="5">
                  <c:v>6.9385829541854269</c:v>
                </c:pt>
                <c:pt idx="6">
                  <c:v>8.4313997059436225</c:v>
                </c:pt>
                <c:pt idx="7">
                  <c:v>8.4313997059436225</c:v>
                </c:pt>
              </c:numCache>
            </c:numRef>
          </c:val>
          <c:extLst>
            <c:ext xmlns:c16="http://schemas.microsoft.com/office/drawing/2014/chart" uri="{C3380CC4-5D6E-409C-BE32-E72D297353CC}">
              <c16:uniqueId val="{00000002-8106-4C7F-AF64-41A369231732}"/>
            </c:ext>
          </c:extLst>
        </c:ser>
        <c:ser>
          <c:idx val="3"/>
          <c:order val="3"/>
          <c:tx>
            <c:strRef>
              <c:f>Graphs!$E$115</c:f>
              <c:strCache>
                <c:ptCount val="1"/>
                <c:pt idx="0">
                  <c:v>Non-metallic minerals</c:v>
                </c:pt>
              </c:strCache>
            </c:strRef>
          </c:tx>
          <c:spPr>
            <a:solidFill>
              <a:srgbClr val="4EA72E"/>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Graphs!$E$116:$E$123</c:f>
              <c:numCache>
                <c:formatCode>0.00</c:formatCode>
                <c:ptCount val="8"/>
                <c:pt idx="0">
                  <c:v>9.0549736225087933</c:v>
                </c:pt>
                <c:pt idx="1">
                  <c:v>6.3957342807903208</c:v>
                </c:pt>
                <c:pt idx="2">
                  <c:v>3.1989863938942982</c:v>
                </c:pt>
                <c:pt idx="3">
                  <c:v>3.048919409581083</c:v>
                </c:pt>
                <c:pt idx="4">
                  <c:v>2.759122717272176</c:v>
                </c:pt>
                <c:pt idx="5">
                  <c:v>3.9661955845730152</c:v>
                </c:pt>
                <c:pt idx="6">
                  <c:v>4.1401407221526529</c:v>
                </c:pt>
                <c:pt idx="7">
                  <c:v>4.1401407221526529</c:v>
                </c:pt>
              </c:numCache>
            </c:numRef>
          </c:val>
          <c:extLst>
            <c:ext xmlns:c16="http://schemas.microsoft.com/office/drawing/2014/chart" uri="{C3380CC4-5D6E-409C-BE32-E72D297353CC}">
              <c16:uniqueId val="{00000003-8106-4C7F-AF64-41A369231732}"/>
            </c:ext>
          </c:extLst>
        </c:ser>
        <c:ser>
          <c:idx val="4"/>
          <c:order val="4"/>
          <c:tx>
            <c:strRef>
              <c:f>Graphs!$F$115</c:f>
              <c:strCache>
                <c:ptCount val="1"/>
                <c:pt idx="0">
                  <c:v>Nonferrous metals</c:v>
                </c:pt>
              </c:strCache>
            </c:strRef>
          </c:tx>
          <c:spPr>
            <a:solidFill>
              <a:schemeClr val="tx1"/>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Graphs!$F$116:$F$123</c:f>
              <c:numCache>
                <c:formatCode>0.00</c:formatCode>
                <c:ptCount val="8"/>
                <c:pt idx="0">
                  <c:v>4.1026670574443145</c:v>
                </c:pt>
                <c:pt idx="1">
                  <c:v>4.7180671160609622</c:v>
                </c:pt>
                <c:pt idx="2">
                  <c:v>2.7706849139067988</c:v>
                </c:pt>
                <c:pt idx="3">
                  <c:v>2.6045251070340081</c:v>
                </c:pt>
                <c:pt idx="4">
                  <c:v>2.3979325751869092</c:v>
                </c:pt>
                <c:pt idx="5">
                  <c:v>2.4088416789022649</c:v>
                </c:pt>
                <c:pt idx="6">
                  <c:v>2.4088416789022649</c:v>
                </c:pt>
                <c:pt idx="7">
                  <c:v>2.4088416789022649</c:v>
                </c:pt>
              </c:numCache>
            </c:numRef>
          </c:val>
          <c:extLst>
            <c:ext xmlns:c16="http://schemas.microsoft.com/office/drawing/2014/chart" uri="{C3380CC4-5D6E-409C-BE32-E72D297353CC}">
              <c16:uniqueId val="{00000004-8106-4C7F-AF64-41A369231732}"/>
            </c:ext>
          </c:extLst>
        </c:ser>
        <c:ser>
          <c:idx val="5"/>
          <c:order val="5"/>
          <c:tx>
            <c:strRef>
              <c:f>Graphs!$G$115</c:f>
              <c:strCache>
                <c:ptCount val="1"/>
                <c:pt idx="0">
                  <c:v>Food, beverage, &amp; tobacco</c:v>
                </c:pt>
              </c:strCache>
            </c:strRef>
          </c:tx>
          <c:spPr>
            <a:solidFill>
              <a:srgbClr val="4EF89F"/>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Graphs!$G$116:$G$123</c:f>
              <c:numCache>
                <c:formatCode>0.00</c:formatCode>
                <c:ptCount val="8"/>
                <c:pt idx="0">
                  <c:v>1.5659525205158269</c:v>
                </c:pt>
                <c:pt idx="1">
                  <c:v>1.5659525205158269</c:v>
                </c:pt>
                <c:pt idx="2">
                  <c:v>1.4719953692848771</c:v>
                </c:pt>
                <c:pt idx="3">
                  <c:v>1.0696078952484218</c:v>
                </c:pt>
                <c:pt idx="4">
                  <c:v>1.066113765307438</c:v>
                </c:pt>
                <c:pt idx="5">
                  <c:v>1.066113765307438</c:v>
                </c:pt>
                <c:pt idx="6">
                  <c:v>1.066113765307438</c:v>
                </c:pt>
                <c:pt idx="7">
                  <c:v>1.066113765307438</c:v>
                </c:pt>
              </c:numCache>
            </c:numRef>
          </c:val>
          <c:extLst>
            <c:ext xmlns:c16="http://schemas.microsoft.com/office/drawing/2014/chart" uri="{C3380CC4-5D6E-409C-BE32-E72D297353CC}">
              <c16:uniqueId val="{00000005-8106-4C7F-AF64-41A369231732}"/>
            </c:ext>
          </c:extLst>
        </c:ser>
        <c:ser>
          <c:idx val="6"/>
          <c:order val="6"/>
          <c:tx>
            <c:strRef>
              <c:f>Graphs!$H$115</c:f>
              <c:strCache>
                <c:ptCount val="1"/>
                <c:pt idx="0">
                  <c:v>Machinery</c:v>
                </c:pt>
              </c:strCache>
            </c:strRef>
          </c:tx>
          <c:spPr>
            <a:solidFill>
              <a:srgbClr val="0F9ED5"/>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Graphs!$H$116:$H$123</c:f>
              <c:numCache>
                <c:formatCode>0.00</c:formatCode>
                <c:ptCount val="8"/>
                <c:pt idx="0">
                  <c:v>1.541541617819461</c:v>
                </c:pt>
                <c:pt idx="1">
                  <c:v>1.2116824984572367</c:v>
                </c:pt>
                <c:pt idx="2">
                  <c:v>0.82606454332322121</c:v>
                </c:pt>
                <c:pt idx="3">
                  <c:v>0.76299350349067407</c:v>
                </c:pt>
                <c:pt idx="4">
                  <c:v>0.71768583034036137</c:v>
                </c:pt>
                <c:pt idx="5">
                  <c:v>0.71768583034036137</c:v>
                </c:pt>
                <c:pt idx="6">
                  <c:v>0.71768583034036137</c:v>
                </c:pt>
                <c:pt idx="7">
                  <c:v>0.71768583034036137</c:v>
                </c:pt>
              </c:numCache>
            </c:numRef>
          </c:val>
          <c:extLst>
            <c:ext xmlns:c16="http://schemas.microsoft.com/office/drawing/2014/chart" uri="{C3380CC4-5D6E-409C-BE32-E72D297353CC}">
              <c16:uniqueId val="{00000006-8106-4C7F-AF64-41A369231732}"/>
            </c:ext>
          </c:extLst>
        </c:ser>
        <c:ser>
          <c:idx val="7"/>
          <c:order val="7"/>
          <c:tx>
            <c:strRef>
              <c:f>Graphs!$I$115</c:f>
              <c:strCache>
                <c:ptCount val="1"/>
                <c:pt idx="0">
                  <c:v>Textiles, leather, &amp; apparel</c:v>
                </c:pt>
              </c:strCache>
            </c:strRef>
          </c:tx>
          <c:spPr>
            <a:solidFill>
              <a:srgbClr val="DCB7A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Graphs!$I$116:$I$123</c:f>
              <c:numCache>
                <c:formatCode>0.00</c:formatCode>
                <c:ptCount val="8"/>
                <c:pt idx="0">
                  <c:v>1.4183645955451352</c:v>
                </c:pt>
                <c:pt idx="1">
                  <c:v>1.4183645955451352</c:v>
                </c:pt>
                <c:pt idx="2">
                  <c:v>0.9928552168815945</c:v>
                </c:pt>
                <c:pt idx="3">
                  <c:v>0.90929857309028672</c:v>
                </c:pt>
                <c:pt idx="4">
                  <c:v>0.88464850172059295</c:v>
                </c:pt>
                <c:pt idx="5">
                  <c:v>0.88464850172059295</c:v>
                </c:pt>
                <c:pt idx="6">
                  <c:v>0.88464850172059295</c:v>
                </c:pt>
                <c:pt idx="7">
                  <c:v>0.88464850172059295</c:v>
                </c:pt>
              </c:numCache>
            </c:numRef>
          </c:val>
          <c:extLst>
            <c:ext xmlns:c16="http://schemas.microsoft.com/office/drawing/2014/chart" uri="{C3380CC4-5D6E-409C-BE32-E72D297353CC}">
              <c16:uniqueId val="{00000007-8106-4C7F-AF64-41A369231732}"/>
            </c:ext>
          </c:extLst>
        </c:ser>
        <c:ser>
          <c:idx val="8"/>
          <c:order val="8"/>
          <c:tx>
            <c:strRef>
              <c:f>Graphs!$J$115</c:f>
              <c:strCache>
                <c:ptCount val="1"/>
                <c:pt idx="0">
                  <c:v>Other metal products</c:v>
                </c:pt>
              </c:strCache>
            </c:strRef>
          </c:tx>
          <c:spPr>
            <a:solidFill>
              <a:srgbClr val="0000C4"/>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Graphs!$J$116:$J$123</c:f>
              <c:numCache>
                <c:formatCode>0.00</c:formatCode>
                <c:ptCount val="8"/>
                <c:pt idx="0">
                  <c:v>1.0999120750293083</c:v>
                </c:pt>
                <c:pt idx="1">
                  <c:v>0.86455285783330804</c:v>
                </c:pt>
                <c:pt idx="2">
                  <c:v>0.53251052587170322</c:v>
                </c:pt>
                <c:pt idx="3">
                  <c:v>0.44428105088352787</c:v>
                </c:pt>
                <c:pt idx="4">
                  <c:v>0.39551032816410731</c:v>
                </c:pt>
                <c:pt idx="5">
                  <c:v>0.39551032816410731</c:v>
                </c:pt>
                <c:pt idx="6">
                  <c:v>0.39551032816410731</c:v>
                </c:pt>
                <c:pt idx="7">
                  <c:v>0.39551032816410731</c:v>
                </c:pt>
              </c:numCache>
            </c:numRef>
          </c:val>
          <c:extLst>
            <c:ext xmlns:c16="http://schemas.microsoft.com/office/drawing/2014/chart" uri="{C3380CC4-5D6E-409C-BE32-E72D297353CC}">
              <c16:uniqueId val="{00000008-8106-4C7F-AF64-41A369231732}"/>
            </c:ext>
          </c:extLst>
        </c:ser>
        <c:ser>
          <c:idx val="9"/>
          <c:order val="9"/>
          <c:tx>
            <c:strRef>
              <c:f>Graphs!$K$115</c:f>
              <c:strCache>
                <c:ptCount val="1"/>
                <c:pt idx="0">
                  <c:v>Electronics</c:v>
                </c:pt>
              </c:strCache>
            </c:strRef>
          </c:tx>
          <c:spPr>
            <a:solidFill>
              <a:srgbClr val="0F4016"/>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Graphs!$K$116:$K$123</c:f>
              <c:numCache>
                <c:formatCode>0.00</c:formatCode>
                <c:ptCount val="8"/>
                <c:pt idx="0">
                  <c:v>0.99860785463071522</c:v>
                </c:pt>
                <c:pt idx="1">
                  <c:v>0.78492571740588313</c:v>
                </c:pt>
                <c:pt idx="2">
                  <c:v>0.49685797911792406</c:v>
                </c:pt>
                <c:pt idx="3">
                  <c:v>0.45628245333878731</c:v>
                </c:pt>
                <c:pt idx="4">
                  <c:v>0.43635813543630764</c:v>
                </c:pt>
                <c:pt idx="5">
                  <c:v>0.43635813543630764</c:v>
                </c:pt>
                <c:pt idx="6">
                  <c:v>0.43635813543630764</c:v>
                </c:pt>
                <c:pt idx="7">
                  <c:v>0.43635813543630764</c:v>
                </c:pt>
              </c:numCache>
            </c:numRef>
          </c:val>
          <c:extLst>
            <c:ext xmlns:c16="http://schemas.microsoft.com/office/drawing/2014/chart" uri="{C3380CC4-5D6E-409C-BE32-E72D297353CC}">
              <c16:uniqueId val="{00000009-8106-4C7F-AF64-41A369231732}"/>
            </c:ext>
          </c:extLst>
        </c:ser>
        <c:ser>
          <c:idx val="10"/>
          <c:order val="10"/>
          <c:tx>
            <c:strRef>
              <c:f>Graphs!$L$115</c:f>
              <c:strCache>
                <c:ptCount val="1"/>
                <c:pt idx="0">
                  <c:v>Pulp, paper, &amp; printing</c:v>
                </c:pt>
              </c:strCache>
            </c:strRef>
          </c:tx>
          <c:spPr>
            <a:solidFill>
              <a:srgbClr val="FF3399"/>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Graphs!$L$116:$L$123</c:f>
              <c:numCache>
                <c:formatCode>0.00</c:formatCode>
                <c:ptCount val="8"/>
                <c:pt idx="0">
                  <c:v>0.9246160609613131</c:v>
                </c:pt>
                <c:pt idx="1">
                  <c:v>0.9246160609613131</c:v>
                </c:pt>
                <c:pt idx="2">
                  <c:v>0.74662746922626022</c:v>
                </c:pt>
                <c:pt idx="3">
                  <c:v>0.69525591203047266</c:v>
                </c:pt>
                <c:pt idx="4">
                  <c:v>0.65821892103839419</c:v>
                </c:pt>
                <c:pt idx="5">
                  <c:v>0.65821892103839419</c:v>
                </c:pt>
                <c:pt idx="6">
                  <c:v>0.65821892103839419</c:v>
                </c:pt>
                <c:pt idx="7">
                  <c:v>0.65821892103839419</c:v>
                </c:pt>
              </c:numCache>
            </c:numRef>
          </c:val>
          <c:extLst>
            <c:ext xmlns:c16="http://schemas.microsoft.com/office/drawing/2014/chart" uri="{C3380CC4-5D6E-409C-BE32-E72D297353CC}">
              <c16:uniqueId val="{0000000A-8106-4C7F-AF64-41A369231732}"/>
            </c:ext>
          </c:extLst>
        </c:ser>
        <c:ser>
          <c:idx val="11"/>
          <c:order val="11"/>
          <c:tx>
            <c:strRef>
              <c:f>Graphs!$M$115</c:f>
              <c:strCache>
                <c:ptCount val="1"/>
                <c:pt idx="0">
                  <c:v>Vehicles &amp; transport equipment</c:v>
                </c:pt>
              </c:strCache>
            </c:strRef>
          </c:tx>
          <c:spPr>
            <a:solidFill>
              <a:srgbClr val="A02B93"/>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Graphs!$M$116:$M$123</c:f>
              <c:numCache>
                <c:formatCode>0.00</c:formatCode>
                <c:ptCount val="8"/>
                <c:pt idx="0">
                  <c:v>0.88367233294255576</c:v>
                </c:pt>
                <c:pt idx="1">
                  <c:v>0.69458410192774356</c:v>
                </c:pt>
                <c:pt idx="2">
                  <c:v>0.49046319897372792</c:v>
                </c:pt>
                <c:pt idx="3">
                  <c:v>0.43034069206285164</c:v>
                </c:pt>
                <c:pt idx="4">
                  <c:v>0.40103613545306238</c:v>
                </c:pt>
                <c:pt idx="5">
                  <c:v>0.40103613545306238</c:v>
                </c:pt>
                <c:pt idx="6">
                  <c:v>0.40103613545306238</c:v>
                </c:pt>
                <c:pt idx="7">
                  <c:v>0.40103613545306238</c:v>
                </c:pt>
              </c:numCache>
            </c:numRef>
          </c:val>
          <c:extLst>
            <c:ext xmlns:c16="http://schemas.microsoft.com/office/drawing/2014/chart" uri="{C3380CC4-5D6E-409C-BE32-E72D297353CC}">
              <c16:uniqueId val="{0000000B-8106-4C7F-AF64-41A369231732}"/>
            </c:ext>
          </c:extLst>
        </c:ser>
        <c:ser>
          <c:idx val="12"/>
          <c:order val="12"/>
          <c:tx>
            <c:strRef>
              <c:f>Graphs!$N$115</c:f>
              <c:strCache>
                <c:ptCount val="1"/>
                <c:pt idx="0">
                  <c:v>Plastic &amp; rubber products</c:v>
                </c:pt>
              </c:strCache>
            </c:strRef>
          </c:tx>
          <c:spPr>
            <a:solidFill>
              <a:srgbClr val="FFC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Graphs!$N$116:$N$123</c:f>
              <c:numCache>
                <c:formatCode>0.00</c:formatCode>
                <c:ptCount val="8"/>
                <c:pt idx="0">
                  <c:v>0.75814771395076208</c:v>
                </c:pt>
                <c:pt idx="1">
                  <c:v>1.4971824603229336</c:v>
                </c:pt>
                <c:pt idx="2">
                  <c:v>1.4631215593505866</c:v>
                </c:pt>
                <c:pt idx="3">
                  <c:v>1.3894623649162672</c:v>
                </c:pt>
                <c:pt idx="4">
                  <c:v>1.3468276508322856</c:v>
                </c:pt>
                <c:pt idx="5">
                  <c:v>1.3468276508322856</c:v>
                </c:pt>
                <c:pt idx="6">
                  <c:v>1.3468276508322856</c:v>
                </c:pt>
                <c:pt idx="7">
                  <c:v>1.3468276508322856</c:v>
                </c:pt>
              </c:numCache>
            </c:numRef>
          </c:val>
          <c:extLst>
            <c:ext xmlns:c16="http://schemas.microsoft.com/office/drawing/2014/chart" uri="{C3380CC4-5D6E-409C-BE32-E72D297353CC}">
              <c16:uniqueId val="{0000000C-8106-4C7F-AF64-41A369231732}"/>
            </c:ext>
          </c:extLst>
        </c:ser>
        <c:ser>
          <c:idx val="13"/>
          <c:order val="13"/>
          <c:tx>
            <c:strRef>
              <c:f>Graphs!$O$115</c:f>
              <c:strCache>
                <c:ptCount val="1"/>
                <c:pt idx="0">
                  <c:v>Wood &amp; furniture</c:v>
                </c:pt>
              </c:strCache>
            </c:strRef>
          </c:tx>
          <c:spPr>
            <a:solidFill>
              <a:srgbClr val="99401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Graphs!$O$116:$O$123</c:f>
              <c:numCache>
                <c:formatCode>0.00</c:formatCode>
                <c:ptCount val="8"/>
                <c:pt idx="0">
                  <c:v>0.20061840562719813</c:v>
                </c:pt>
                <c:pt idx="1">
                  <c:v>0.20061840562719813</c:v>
                </c:pt>
                <c:pt idx="2">
                  <c:v>0.17453801289566234</c:v>
                </c:pt>
                <c:pt idx="3">
                  <c:v>0.16814210185136863</c:v>
                </c:pt>
                <c:pt idx="4">
                  <c:v>0.16272766615214132</c:v>
                </c:pt>
                <c:pt idx="5">
                  <c:v>0.16272766615214132</c:v>
                </c:pt>
                <c:pt idx="6">
                  <c:v>0.16272766615214132</c:v>
                </c:pt>
                <c:pt idx="7">
                  <c:v>0.16272766615214132</c:v>
                </c:pt>
              </c:numCache>
            </c:numRef>
          </c:val>
          <c:extLst>
            <c:ext xmlns:c16="http://schemas.microsoft.com/office/drawing/2014/chart" uri="{C3380CC4-5D6E-409C-BE32-E72D297353CC}">
              <c16:uniqueId val="{0000000D-8106-4C7F-AF64-41A369231732}"/>
            </c:ext>
          </c:extLst>
        </c:ser>
        <c:ser>
          <c:idx val="14"/>
          <c:order val="14"/>
          <c:tx>
            <c:strRef>
              <c:f>Graphs!$P$115</c:f>
              <c:strCache>
                <c:ptCount val="1"/>
                <c:pt idx="0">
                  <c:v>Other manufacturing</c:v>
                </c:pt>
              </c:strCache>
            </c:strRef>
          </c:tx>
          <c:spPr>
            <a:solidFill>
              <a:srgbClr val="C00000"/>
            </a:solidFill>
            <a:ln>
              <a:noFill/>
            </a:ln>
            <a:effectLst/>
          </c:spPr>
          <c:invertIfNegative val="0"/>
          <c:cat>
            <c:strRef>
              <c:f>Graphs!$A$116:$A$123</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Graphs!$P$116:$P$123</c:f>
              <c:numCache>
                <c:formatCode>0.00</c:formatCode>
                <c:ptCount val="8"/>
                <c:pt idx="0">
                  <c:v>0.37671453692848766</c:v>
                </c:pt>
                <c:pt idx="1">
                  <c:v>0.37671453692848766</c:v>
                </c:pt>
                <c:pt idx="2">
                  <c:v>0.35222809202813604</c:v>
                </c:pt>
                <c:pt idx="3">
                  <c:v>0.33108394075989916</c:v>
                </c:pt>
                <c:pt idx="4">
                  <c:v>0.32061129764151663</c:v>
                </c:pt>
                <c:pt idx="5">
                  <c:v>0.32061129764151663</c:v>
                </c:pt>
                <c:pt idx="6">
                  <c:v>0.32061129764151663</c:v>
                </c:pt>
                <c:pt idx="7">
                  <c:v>0.32061129764151663</c:v>
                </c:pt>
              </c:numCache>
            </c:numRef>
          </c:val>
          <c:extLst>
            <c:ext xmlns:c16="http://schemas.microsoft.com/office/drawing/2014/chart" uri="{C3380CC4-5D6E-409C-BE32-E72D297353CC}">
              <c16:uniqueId val="{0000000E-8106-4C7F-AF64-41A369231732}"/>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678556554967082"/>
              <c:y val="7.9139279523414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b="0" i="0" u="none" strike="noStrike" kern="1200" spc="0" baseline="0">
                <a:solidFill>
                  <a:sysClr val="windowText" lastClr="000000"/>
                </a:solidFill>
              </a:rPr>
              <a:t>Carbon Pricing and Electricity Cost Combinations that Achieve Breakeven Annual Energy Costs for Various Technologies in China</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'Indifference Curves'!$B$53</c:f>
              <c:strCache>
                <c:ptCount val="1"/>
                <c:pt idx="0">
                  <c:v>X-Axis</c:v>
                </c:pt>
              </c:strCache>
            </c:strRef>
          </c:tx>
          <c:spPr>
            <a:ln w="31750" cap="rnd">
              <a:solidFill>
                <a:schemeClr val="tx1"/>
              </a:solidFill>
              <a:prstDash val="dash"/>
              <a:round/>
            </a:ln>
            <a:effectLst/>
          </c:spPr>
          <c:marker>
            <c:symbol val="none"/>
          </c:marker>
          <c:trendline>
            <c:spPr>
              <a:ln w="31750" cap="rnd">
                <a:solidFill>
                  <a:schemeClr val="tx1"/>
                </a:solidFill>
                <a:prstDash val="dash"/>
              </a:ln>
              <a:effectLst/>
            </c:spPr>
            <c:trendlineType val="linear"/>
            <c:dispRSqr val="0"/>
            <c:dispEq val="0"/>
          </c:trendline>
          <c:xVal>
            <c:numRef>
              <c:f>'Indifference Curves'!$A$54:$A$64</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Curves'!$B$54:$B$64</c:f>
              <c:numCache>
                <c:formatCode>General</c:formatCode>
                <c:ptCount val="11"/>
                <c:pt idx="0">
                  <c:v>0</c:v>
                </c:pt>
                <c:pt idx="10">
                  <c:v>0</c:v>
                </c:pt>
              </c:numCache>
            </c:numRef>
          </c:yVal>
          <c:smooth val="0"/>
          <c:extLst>
            <c:ext xmlns:c16="http://schemas.microsoft.com/office/drawing/2014/chart" uri="{C3380CC4-5D6E-409C-BE32-E72D297353CC}">
              <c16:uniqueId val="{00000000-09E2-4887-A6CD-501A68B303C2}"/>
            </c:ext>
          </c:extLst>
        </c:ser>
        <c:ser>
          <c:idx val="1"/>
          <c:order val="1"/>
          <c:tx>
            <c:strRef>
              <c:f>'Indifference Curves'!$C$53</c:f>
              <c:strCache>
                <c:ptCount val="1"/>
                <c:pt idx="0">
                  <c:v>Tier 2a: Easy Electrification</c:v>
                </c:pt>
              </c:strCache>
            </c:strRef>
          </c:tx>
          <c:spPr>
            <a:ln w="31750" cap="rnd">
              <a:solidFill>
                <a:schemeClr val="accent2"/>
              </a:solidFill>
              <a:round/>
            </a:ln>
            <a:effectLst/>
          </c:spPr>
          <c:marker>
            <c:symbol val="none"/>
          </c:marker>
          <c:trendline>
            <c:spPr>
              <a:ln w="31750" cap="rnd">
                <a:solidFill>
                  <a:schemeClr val="accent2"/>
                </a:solidFill>
                <a:prstDash val="solid"/>
              </a:ln>
              <a:effectLst/>
            </c:spPr>
            <c:trendlineType val="linear"/>
            <c:dispRSqr val="0"/>
            <c:dispEq val="0"/>
          </c:trendline>
          <c:xVal>
            <c:numRef>
              <c:f>'Indifference Curves'!$A$54:$A$64</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Curves'!$C$54:$C$64</c:f>
              <c:numCache>
                <c:formatCode>General</c:formatCode>
                <c:ptCount val="11"/>
                <c:pt idx="8">
                  <c:v>67.331328659314082</c:v>
                </c:pt>
                <c:pt idx="10">
                  <c:v>110.51697691537177</c:v>
                </c:pt>
              </c:numCache>
            </c:numRef>
          </c:yVal>
          <c:smooth val="0"/>
          <c:extLst>
            <c:ext xmlns:c16="http://schemas.microsoft.com/office/drawing/2014/chart" uri="{C3380CC4-5D6E-409C-BE32-E72D297353CC}">
              <c16:uniqueId val="{00000001-09E2-4887-A6CD-501A68B303C2}"/>
            </c:ext>
          </c:extLst>
        </c:ser>
        <c:ser>
          <c:idx val="2"/>
          <c:order val="2"/>
          <c:tx>
            <c:strRef>
              <c:f>'Indifference Curves'!$D$53</c:f>
              <c:strCache>
                <c:ptCount val="1"/>
                <c:pt idx="0">
                  <c:v>Tier 2b: Other Electrification</c:v>
                </c:pt>
              </c:strCache>
            </c:strRef>
          </c:tx>
          <c:spPr>
            <a:ln w="31750" cap="rnd">
              <a:solidFill>
                <a:schemeClr val="accent3"/>
              </a:solidFill>
              <a:round/>
            </a:ln>
            <a:effectLst/>
          </c:spPr>
          <c:marker>
            <c:symbol val="none"/>
          </c:marker>
          <c:trendline>
            <c:spPr>
              <a:ln w="31750" cap="rnd">
                <a:solidFill>
                  <a:schemeClr val="accent3"/>
                </a:solidFill>
                <a:prstDash val="solid"/>
              </a:ln>
              <a:effectLst/>
            </c:spPr>
            <c:trendlineType val="linear"/>
            <c:dispRSqr val="0"/>
            <c:dispEq val="0"/>
          </c:trendline>
          <c:xVal>
            <c:numRef>
              <c:f>'Indifference Curves'!$A$54:$A$64</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Curves'!$D$54:$D$64</c:f>
              <c:numCache>
                <c:formatCode>General</c:formatCode>
                <c:ptCount val="11"/>
                <c:pt idx="4">
                  <c:v>48.035701449508686</c:v>
                </c:pt>
                <c:pt idx="7">
                  <c:v>182.51581855413863</c:v>
                </c:pt>
              </c:numCache>
            </c:numRef>
          </c:yVal>
          <c:smooth val="0"/>
          <c:extLst>
            <c:ext xmlns:c16="http://schemas.microsoft.com/office/drawing/2014/chart" uri="{C3380CC4-5D6E-409C-BE32-E72D297353CC}">
              <c16:uniqueId val="{00000002-09E2-4887-A6CD-501A68B303C2}"/>
            </c:ext>
          </c:extLst>
        </c:ser>
        <c:ser>
          <c:idx val="3"/>
          <c:order val="3"/>
          <c:tx>
            <c:strRef>
              <c:f>'Indifference Curves'!$E$53</c:f>
              <c:strCache>
                <c:ptCount val="1"/>
                <c:pt idx="0">
                  <c:v>Tier 3: CCS</c:v>
                </c:pt>
              </c:strCache>
            </c:strRef>
          </c:tx>
          <c:spPr>
            <a:ln w="31750" cap="rnd">
              <a:solidFill>
                <a:schemeClr val="accent4"/>
              </a:solidFill>
              <a:round/>
            </a:ln>
            <a:effectLst/>
          </c:spPr>
          <c:marker>
            <c:symbol val="none"/>
          </c:marker>
          <c:trendline>
            <c:spPr>
              <a:ln w="31750" cap="rnd">
                <a:solidFill>
                  <a:schemeClr val="accent4"/>
                </a:solidFill>
                <a:prstDash val="solid"/>
              </a:ln>
              <a:effectLst/>
            </c:spPr>
            <c:trendlineType val="linear"/>
            <c:dispRSqr val="0"/>
            <c:dispEq val="0"/>
          </c:trendline>
          <c:xVal>
            <c:numRef>
              <c:f>'Indifference Curves'!$A$54:$A$64</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Curves'!$E$54:$E$64</c:f>
              <c:numCache>
                <c:formatCode>General</c:formatCode>
                <c:ptCount val="11"/>
                <c:pt idx="0">
                  <c:v>47.157369908207855</c:v>
                </c:pt>
                <c:pt idx="10">
                  <c:v>47.157369908207855</c:v>
                </c:pt>
              </c:numCache>
            </c:numRef>
          </c:yVal>
          <c:smooth val="0"/>
          <c:extLst>
            <c:ext xmlns:c16="http://schemas.microsoft.com/office/drawing/2014/chart" uri="{C3380CC4-5D6E-409C-BE32-E72D297353CC}">
              <c16:uniqueId val="{00000003-09E2-4887-A6CD-501A68B303C2}"/>
            </c:ext>
          </c:extLst>
        </c:ser>
        <c:ser>
          <c:idx val="4"/>
          <c:order val="4"/>
          <c:tx>
            <c:strRef>
              <c:f>'Indifference Curves'!$F$53</c:f>
              <c:strCache>
                <c:ptCount val="1"/>
                <c:pt idx="0">
                  <c:v>Tier 4a: Green H2</c:v>
                </c:pt>
              </c:strCache>
            </c:strRef>
          </c:tx>
          <c:spPr>
            <a:ln w="31750" cap="rnd">
              <a:solidFill>
                <a:schemeClr val="accent5"/>
              </a:solidFill>
              <a:round/>
            </a:ln>
            <a:effectLst/>
          </c:spPr>
          <c:marker>
            <c:symbol val="none"/>
          </c:marker>
          <c:trendline>
            <c:spPr>
              <a:ln w="31750" cap="rnd">
                <a:solidFill>
                  <a:schemeClr val="accent5"/>
                </a:solidFill>
                <a:prstDash val="solid"/>
              </a:ln>
              <a:effectLst/>
            </c:spPr>
            <c:trendlineType val="linear"/>
            <c:dispRSqr val="0"/>
            <c:dispEq val="0"/>
          </c:trendline>
          <c:xVal>
            <c:numRef>
              <c:f>'Indifference Curves'!$A$54:$A$64</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Curves'!$F$54:$F$64</c:f>
              <c:numCache>
                <c:formatCode>General</c:formatCode>
                <c:ptCount val="11"/>
                <c:pt idx="1">
                  <c:v>116.80067622299875</c:v>
                </c:pt>
                <c:pt idx="3">
                  <c:v>380.00479220501234</c:v>
                </c:pt>
              </c:numCache>
            </c:numRef>
          </c:yVal>
          <c:smooth val="0"/>
          <c:extLst>
            <c:ext xmlns:c16="http://schemas.microsoft.com/office/drawing/2014/chart" uri="{C3380CC4-5D6E-409C-BE32-E72D297353CC}">
              <c16:uniqueId val="{00000004-09E2-4887-A6CD-501A68B303C2}"/>
            </c:ext>
          </c:extLst>
        </c:ser>
        <c:dLbls>
          <c:showLegendKey val="0"/>
          <c:showVal val="0"/>
          <c:showCatName val="0"/>
          <c:showSerName val="0"/>
          <c:showPercent val="0"/>
          <c:showBubbleSize val="0"/>
        </c:dLbls>
        <c:axId val="1685506048"/>
        <c:axId val="1685518528"/>
      </c:scatterChart>
      <c:valAx>
        <c:axId val="1685506048"/>
        <c:scaling>
          <c:orientation val="minMax"/>
          <c:max val="1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Electricity Price (USD / MWh)</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0"/>
          <a:lstStyle/>
          <a:p>
            <a:pPr>
              <a:defRPr sz="1400" b="0" i="0" u="none" strike="noStrike" kern="1200" baseline="0">
                <a:solidFill>
                  <a:sysClr val="windowText" lastClr="000000"/>
                </a:solidFill>
                <a:latin typeface="+mn-lt"/>
                <a:ea typeface="+mn-ea"/>
                <a:cs typeface="+mn-cs"/>
              </a:defRPr>
            </a:pPr>
            <a:endParaRPr lang="en-US"/>
          </a:p>
        </c:txPr>
        <c:crossAx val="1685518528"/>
        <c:crossesAt val="-100"/>
        <c:crossBetween val="midCat"/>
      </c:valAx>
      <c:valAx>
        <c:axId val="1685518528"/>
        <c:scaling>
          <c:orientation val="minMax"/>
          <c:max val="3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Carbon Price (USD / tonne CO2)</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85506048"/>
        <c:crosses val="autoZero"/>
        <c:crossBetween val="midCat"/>
      </c:valAx>
      <c:spPr>
        <a:noFill/>
        <a:ln>
          <a:no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4.5268410972033782E-2"/>
          <c:y val="0.91014540052715753"/>
          <c:w val="0.91578820762980351"/>
          <c:h val="7.914447161331210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b="0" i="0" u="none" strike="noStrike" kern="1200" spc="0" baseline="0">
                <a:solidFill>
                  <a:sysClr val="windowText" lastClr="000000"/>
                </a:solidFill>
              </a:rPr>
              <a:t>Carbon Pricing and Electricity Cost Combinations that Achieve Breakeven Annual Energy Costs for Various Technologies in Indonesia</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'Indifference Curves'!$B$92</c:f>
              <c:strCache>
                <c:ptCount val="1"/>
                <c:pt idx="0">
                  <c:v>X-Axis</c:v>
                </c:pt>
              </c:strCache>
            </c:strRef>
          </c:tx>
          <c:spPr>
            <a:ln w="31750" cap="rnd">
              <a:solidFill>
                <a:schemeClr val="tx1"/>
              </a:solidFill>
              <a:prstDash val="dash"/>
              <a:round/>
            </a:ln>
            <a:effectLst/>
          </c:spPr>
          <c:marker>
            <c:symbol val="none"/>
          </c:marker>
          <c:trendline>
            <c:spPr>
              <a:ln w="31750" cap="rnd">
                <a:solidFill>
                  <a:schemeClr val="tx1"/>
                </a:solidFill>
                <a:prstDash val="dash"/>
              </a:ln>
              <a:effectLst/>
            </c:spPr>
            <c:trendlineType val="linear"/>
            <c:dispRSqr val="0"/>
            <c:dispEq val="0"/>
          </c:trendline>
          <c:xVal>
            <c:numRef>
              <c:f>'Indifference Curves'!$A$93:$A$103</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Curves'!$B$93:$B$103</c:f>
              <c:numCache>
                <c:formatCode>General</c:formatCode>
                <c:ptCount val="11"/>
                <c:pt idx="0">
                  <c:v>0</c:v>
                </c:pt>
                <c:pt idx="10">
                  <c:v>0</c:v>
                </c:pt>
              </c:numCache>
            </c:numRef>
          </c:yVal>
          <c:smooth val="0"/>
          <c:extLst>
            <c:ext xmlns:c16="http://schemas.microsoft.com/office/drawing/2014/chart" uri="{C3380CC4-5D6E-409C-BE32-E72D297353CC}">
              <c16:uniqueId val="{00000001-BE04-4006-9D16-5A4BC10E0E5A}"/>
            </c:ext>
          </c:extLst>
        </c:ser>
        <c:ser>
          <c:idx val="1"/>
          <c:order val="1"/>
          <c:tx>
            <c:strRef>
              <c:f>'Indifference Curves'!$C$92</c:f>
              <c:strCache>
                <c:ptCount val="1"/>
                <c:pt idx="0">
                  <c:v>Tier 2a: Easy Electrification</c:v>
                </c:pt>
              </c:strCache>
            </c:strRef>
          </c:tx>
          <c:spPr>
            <a:ln w="31750" cap="rnd">
              <a:solidFill>
                <a:schemeClr val="accent2"/>
              </a:solidFill>
              <a:round/>
            </a:ln>
            <a:effectLst/>
          </c:spPr>
          <c:marker>
            <c:symbol val="none"/>
          </c:marker>
          <c:trendline>
            <c:spPr>
              <a:ln w="31750" cap="rnd">
                <a:solidFill>
                  <a:schemeClr val="accent2"/>
                </a:solidFill>
                <a:prstDash val="solid"/>
              </a:ln>
              <a:effectLst/>
            </c:spPr>
            <c:trendlineType val="linear"/>
            <c:dispRSqr val="0"/>
            <c:dispEq val="0"/>
          </c:trendline>
          <c:xVal>
            <c:numRef>
              <c:f>'Indifference Curves'!$A$93:$A$103</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Curves'!$C$93:$C$103</c:f>
              <c:numCache>
                <c:formatCode>General</c:formatCode>
                <c:ptCount val="11"/>
                <c:pt idx="8">
                  <c:v>60.624968115864931</c:v>
                </c:pt>
                <c:pt idx="9">
                  <c:v>76.03378348771642</c:v>
                </c:pt>
              </c:numCache>
            </c:numRef>
          </c:yVal>
          <c:smooth val="0"/>
          <c:extLst>
            <c:ext xmlns:c16="http://schemas.microsoft.com/office/drawing/2014/chart" uri="{C3380CC4-5D6E-409C-BE32-E72D297353CC}">
              <c16:uniqueId val="{00000003-BE04-4006-9D16-5A4BC10E0E5A}"/>
            </c:ext>
          </c:extLst>
        </c:ser>
        <c:ser>
          <c:idx val="2"/>
          <c:order val="2"/>
          <c:tx>
            <c:strRef>
              <c:f>'Indifference Curves'!$D$92</c:f>
              <c:strCache>
                <c:ptCount val="1"/>
                <c:pt idx="0">
                  <c:v>Tier 2b: Other Electrification</c:v>
                </c:pt>
              </c:strCache>
            </c:strRef>
          </c:tx>
          <c:spPr>
            <a:ln w="31750" cap="rnd">
              <a:solidFill>
                <a:schemeClr val="accent3"/>
              </a:solidFill>
              <a:round/>
            </a:ln>
            <a:effectLst/>
          </c:spPr>
          <c:marker>
            <c:symbol val="none"/>
          </c:marker>
          <c:trendline>
            <c:spPr>
              <a:ln w="31750" cap="rnd">
                <a:solidFill>
                  <a:schemeClr val="accent3"/>
                </a:solidFill>
                <a:prstDash val="solid"/>
              </a:ln>
              <a:effectLst/>
            </c:spPr>
            <c:trendlineType val="linear"/>
            <c:dispRSqr val="0"/>
            <c:dispEq val="0"/>
          </c:trendline>
          <c:xVal>
            <c:numRef>
              <c:f>'Indifference Curves'!$A$93:$A$103</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Curves'!$D$93:$D$103</c:f>
              <c:numCache>
                <c:formatCode>General</c:formatCode>
                <c:ptCount val="11"/>
                <c:pt idx="4">
                  <c:v>70.049991634285547</c:v>
                </c:pt>
                <c:pt idx="5">
                  <c:v>104.83679459684967</c:v>
                </c:pt>
              </c:numCache>
            </c:numRef>
          </c:yVal>
          <c:smooth val="0"/>
          <c:extLst>
            <c:ext xmlns:c16="http://schemas.microsoft.com/office/drawing/2014/chart" uri="{C3380CC4-5D6E-409C-BE32-E72D297353CC}">
              <c16:uniqueId val="{00000005-BE04-4006-9D16-5A4BC10E0E5A}"/>
            </c:ext>
          </c:extLst>
        </c:ser>
        <c:ser>
          <c:idx val="3"/>
          <c:order val="3"/>
          <c:tx>
            <c:strRef>
              <c:f>'Indifference Curves'!$E$92</c:f>
              <c:strCache>
                <c:ptCount val="1"/>
                <c:pt idx="0">
                  <c:v>Tier 3: CCS</c:v>
                </c:pt>
              </c:strCache>
            </c:strRef>
          </c:tx>
          <c:spPr>
            <a:ln w="31750" cap="rnd">
              <a:solidFill>
                <a:schemeClr val="accent4"/>
              </a:solidFill>
              <a:round/>
            </a:ln>
            <a:effectLst/>
          </c:spPr>
          <c:marker>
            <c:symbol val="none"/>
          </c:marker>
          <c:trendline>
            <c:spPr>
              <a:ln w="31750" cap="rnd">
                <a:solidFill>
                  <a:schemeClr val="accent4"/>
                </a:solidFill>
                <a:prstDash val="solid"/>
              </a:ln>
              <a:effectLst/>
            </c:spPr>
            <c:trendlineType val="linear"/>
            <c:dispRSqr val="0"/>
            <c:dispEq val="0"/>
          </c:trendline>
          <c:xVal>
            <c:numRef>
              <c:f>'Indifference Curves'!$A$93:$A$103</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Curves'!$E$93:$E$103</c:f>
              <c:numCache>
                <c:formatCode>General</c:formatCode>
                <c:ptCount val="11"/>
                <c:pt idx="0">
                  <c:v>27.593613562211438</c:v>
                </c:pt>
                <c:pt idx="10">
                  <c:v>27.593613562211438</c:v>
                </c:pt>
              </c:numCache>
            </c:numRef>
          </c:yVal>
          <c:smooth val="0"/>
          <c:extLst>
            <c:ext xmlns:c16="http://schemas.microsoft.com/office/drawing/2014/chart" uri="{C3380CC4-5D6E-409C-BE32-E72D297353CC}">
              <c16:uniqueId val="{00000007-BE04-4006-9D16-5A4BC10E0E5A}"/>
            </c:ext>
          </c:extLst>
        </c:ser>
        <c:ser>
          <c:idx val="4"/>
          <c:order val="4"/>
          <c:tx>
            <c:strRef>
              <c:f>'Indifference Curves'!$F$92</c:f>
              <c:strCache>
                <c:ptCount val="1"/>
                <c:pt idx="0">
                  <c:v>Tier 4a: Green H2</c:v>
                </c:pt>
              </c:strCache>
            </c:strRef>
          </c:tx>
          <c:spPr>
            <a:ln w="31750" cap="rnd">
              <a:solidFill>
                <a:schemeClr val="accent5"/>
              </a:solidFill>
              <a:round/>
            </a:ln>
            <a:effectLst/>
          </c:spPr>
          <c:marker>
            <c:symbol val="none"/>
          </c:marker>
          <c:trendline>
            <c:spPr>
              <a:ln w="31750" cap="rnd">
                <a:solidFill>
                  <a:schemeClr val="accent5"/>
                </a:solidFill>
                <a:prstDash val="solid"/>
              </a:ln>
              <a:effectLst/>
            </c:spPr>
            <c:trendlineType val="linear"/>
            <c:dispRSqr val="0"/>
            <c:dispEq val="0"/>
          </c:trendline>
          <c:xVal>
            <c:numRef>
              <c:f>'Indifference Curves'!$A$93:$A$103</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Curves'!$F$93:$F$103</c:f>
              <c:numCache>
                <c:formatCode>General</c:formatCode>
                <c:ptCount val="11"/>
                <c:pt idx="1">
                  <c:v>83.97591036423492</c:v>
                </c:pt>
                <c:pt idx="2">
                  <c:v>183.88149091115403</c:v>
                </c:pt>
              </c:numCache>
            </c:numRef>
          </c:yVal>
          <c:smooth val="0"/>
          <c:extLst>
            <c:ext xmlns:c16="http://schemas.microsoft.com/office/drawing/2014/chart" uri="{C3380CC4-5D6E-409C-BE32-E72D297353CC}">
              <c16:uniqueId val="{00000009-BE04-4006-9D16-5A4BC10E0E5A}"/>
            </c:ext>
          </c:extLst>
        </c:ser>
        <c:dLbls>
          <c:showLegendKey val="0"/>
          <c:showVal val="0"/>
          <c:showCatName val="0"/>
          <c:showSerName val="0"/>
          <c:showPercent val="0"/>
          <c:showBubbleSize val="0"/>
        </c:dLbls>
        <c:axId val="1685506048"/>
        <c:axId val="1685518528"/>
      </c:scatterChart>
      <c:valAx>
        <c:axId val="1685506048"/>
        <c:scaling>
          <c:orientation val="minMax"/>
          <c:max val="1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Electricity Price (USD / MWh)</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0"/>
          <a:lstStyle/>
          <a:p>
            <a:pPr>
              <a:defRPr sz="1400" b="0" i="0" u="none" strike="noStrike" kern="1200" baseline="0">
                <a:solidFill>
                  <a:sysClr val="windowText" lastClr="000000"/>
                </a:solidFill>
                <a:latin typeface="+mn-lt"/>
                <a:ea typeface="+mn-ea"/>
                <a:cs typeface="+mn-cs"/>
              </a:defRPr>
            </a:pPr>
            <a:endParaRPr lang="en-US"/>
          </a:p>
        </c:txPr>
        <c:crossAx val="1685518528"/>
        <c:crossesAt val="-100"/>
        <c:crossBetween val="midCat"/>
      </c:valAx>
      <c:valAx>
        <c:axId val="1685518528"/>
        <c:scaling>
          <c:orientation val="minMax"/>
          <c:max val="3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Carbon Price (USD / tonne CO2)</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85506048"/>
        <c:crosses val="autoZero"/>
        <c:crossBetween val="midCat"/>
      </c:valAx>
      <c:spPr>
        <a:noFill/>
        <a:ln>
          <a:no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4.5268410972033782E-2"/>
          <c:y val="0.91014540052715753"/>
          <c:w val="0.91578820762980351"/>
          <c:h val="7.914447161331210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a:t>
            </a:r>
            <a:r>
              <a:rPr lang="en-US" sz="1600" baseline="0"/>
              <a:t> Energy Expenditures by Energy Type</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Graphs!$B$160</c:f>
              <c:strCache>
                <c:ptCount val="1"/>
                <c:pt idx="0">
                  <c:v>Fossil Feedstocks</c:v>
                </c:pt>
              </c:strCache>
            </c:strRef>
          </c:tx>
          <c:spPr>
            <a:solidFill>
              <a:schemeClr val="accent1"/>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Graphs!$B$161:$B$168</c:f>
              <c:numCache>
                <c:formatCode>0</c:formatCode>
                <c:ptCount val="8"/>
                <c:pt idx="0">
                  <c:v>27.712755965472951</c:v>
                </c:pt>
                <c:pt idx="1">
                  <c:v>50.19115243578716</c:v>
                </c:pt>
                <c:pt idx="2">
                  <c:v>38.247214435924668</c:v>
                </c:pt>
                <c:pt idx="3">
                  <c:v>38.247214435924668</c:v>
                </c:pt>
                <c:pt idx="4">
                  <c:v>38.247214435924668</c:v>
                </c:pt>
                <c:pt idx="5">
                  <c:v>38.247214435924668</c:v>
                </c:pt>
                <c:pt idx="6">
                  <c:v>38.247214435924668</c:v>
                </c:pt>
                <c:pt idx="7">
                  <c:v>0</c:v>
                </c:pt>
              </c:numCache>
            </c:numRef>
          </c:val>
          <c:extLst>
            <c:ext xmlns:c16="http://schemas.microsoft.com/office/drawing/2014/chart" uri="{C3380CC4-5D6E-409C-BE32-E72D297353CC}">
              <c16:uniqueId val="{00000000-DA3A-442E-9F59-D60CC3B1AF54}"/>
            </c:ext>
          </c:extLst>
        </c:ser>
        <c:ser>
          <c:idx val="1"/>
          <c:order val="1"/>
          <c:tx>
            <c:strRef>
              <c:f>Graphs!$C$160</c:f>
              <c:strCache>
                <c:ptCount val="1"/>
                <c:pt idx="0">
                  <c:v>Coal</c:v>
                </c:pt>
              </c:strCache>
            </c:strRef>
          </c:tx>
          <c:spPr>
            <a:solidFill>
              <a:schemeClr val="tx1"/>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Graphs!$C$161:$C$168</c:f>
              <c:numCache>
                <c:formatCode>0</c:formatCode>
                <c:ptCount val="8"/>
                <c:pt idx="0">
                  <c:v>38.878111985514025</c:v>
                </c:pt>
                <c:pt idx="1">
                  <c:v>43.331628389663251</c:v>
                </c:pt>
                <c:pt idx="2">
                  <c:v>25.6333993771092</c:v>
                </c:pt>
                <c:pt idx="3">
                  <c:v>13.858921561424868</c:v>
                </c:pt>
                <c:pt idx="4">
                  <c:v>8.6223976541232474</c:v>
                </c:pt>
                <c:pt idx="5">
                  <c:v>4.9764748658010545</c:v>
                </c:pt>
                <c:pt idx="6">
                  <c:v>-1.7847486923343906E-16</c:v>
                </c:pt>
                <c:pt idx="7">
                  <c:v>-1.7847486923343906E-16</c:v>
                </c:pt>
              </c:numCache>
            </c:numRef>
          </c:val>
          <c:extLst>
            <c:ext xmlns:c16="http://schemas.microsoft.com/office/drawing/2014/chart" uri="{C3380CC4-5D6E-409C-BE32-E72D297353CC}">
              <c16:uniqueId val="{00000001-DA3A-442E-9F59-D60CC3B1AF54}"/>
            </c:ext>
          </c:extLst>
        </c:ser>
        <c:ser>
          <c:idx val="2"/>
          <c:order val="2"/>
          <c:tx>
            <c:strRef>
              <c:f>Graphs!$D$160</c:f>
              <c:strCache>
                <c:ptCount val="1"/>
                <c:pt idx="0">
                  <c:v>Coke</c:v>
                </c:pt>
              </c:strCache>
            </c:strRef>
          </c:tx>
          <c:spPr>
            <a:solidFill>
              <a:srgbClr val="76270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Graphs!$D$161:$D$168</c:f>
              <c:numCache>
                <c:formatCode>0</c:formatCode>
                <c:ptCount val="8"/>
                <c:pt idx="0">
                  <c:v>43.37513021971759</c:v>
                </c:pt>
                <c:pt idx="1">
                  <c:v>42.962014418218374</c:v>
                </c:pt>
                <c:pt idx="2">
                  <c:v>23.312021266424463</c:v>
                </c:pt>
                <c:pt idx="3">
                  <c:v>9.4638913876340656</c:v>
                </c:pt>
                <c:pt idx="4">
                  <c:v>6.4843132359494851</c:v>
                </c:pt>
                <c:pt idx="5">
                  <c:v>2.6670477858757202</c:v>
                </c:pt>
                <c:pt idx="6">
                  <c:v>9.4128656745045811E-18</c:v>
                </c:pt>
                <c:pt idx="7">
                  <c:v>9.4128656745045811E-18</c:v>
                </c:pt>
              </c:numCache>
            </c:numRef>
          </c:val>
          <c:extLst>
            <c:ext xmlns:c16="http://schemas.microsoft.com/office/drawing/2014/chart" uri="{C3380CC4-5D6E-409C-BE32-E72D297353CC}">
              <c16:uniqueId val="{00000002-DA3A-442E-9F59-D60CC3B1AF54}"/>
            </c:ext>
          </c:extLst>
        </c:ser>
        <c:ser>
          <c:idx val="3"/>
          <c:order val="3"/>
          <c:tx>
            <c:strRef>
              <c:f>Graphs!$E$160</c:f>
              <c:strCache>
                <c:ptCount val="1"/>
                <c:pt idx="0">
                  <c:v>Coal/Coke Byproducts</c:v>
                </c:pt>
              </c:strCache>
            </c:strRef>
          </c:tx>
          <c:spPr>
            <a:solidFill>
              <a:srgbClr val="B45A0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Graphs!$E$161:$E$168</c:f>
              <c:numCache>
                <c:formatCode>0</c:formatCode>
                <c:ptCount val="8"/>
                <c:pt idx="0">
                  <c:v>19.056713406575177</c:v>
                </c:pt>
                <c:pt idx="1">
                  <c:v>19.232056898880455</c:v>
                </c:pt>
                <c:pt idx="2">
                  <c:v>11.234283877522016</c:v>
                </c:pt>
                <c:pt idx="3">
                  <c:v>5.3586848477143754</c:v>
                </c:pt>
                <c:pt idx="4">
                  <c:v>3.9644543777481331</c:v>
                </c:pt>
                <c:pt idx="5">
                  <c:v>2.409337988124844</c:v>
                </c:pt>
                <c:pt idx="6">
                  <c:v>7.5904531248493316E-19</c:v>
                </c:pt>
                <c:pt idx="7">
                  <c:v>7.5904531248493316E-19</c:v>
                </c:pt>
              </c:numCache>
            </c:numRef>
          </c:val>
          <c:extLst>
            <c:ext xmlns:c16="http://schemas.microsoft.com/office/drawing/2014/chart" uri="{C3380CC4-5D6E-409C-BE32-E72D297353CC}">
              <c16:uniqueId val="{00000003-DA3A-442E-9F59-D60CC3B1AF54}"/>
            </c:ext>
          </c:extLst>
        </c:ser>
        <c:ser>
          <c:idx val="4"/>
          <c:order val="4"/>
          <c:tx>
            <c:strRef>
              <c:f>Graphs!$F$160</c:f>
              <c:strCache>
                <c:ptCount val="1"/>
                <c:pt idx="0">
                  <c:v>Petroleum</c:v>
                </c:pt>
              </c:strCache>
            </c:strRef>
          </c:tx>
          <c:spPr>
            <a:solidFill>
              <a:srgbClr val="7030A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Graphs!$F$161:$F$168</c:f>
              <c:numCache>
                <c:formatCode>0</c:formatCode>
                <c:ptCount val="8"/>
                <c:pt idx="0">
                  <c:v>87.2870817207329</c:v>
                </c:pt>
                <c:pt idx="1">
                  <c:v>139.45092423286459</c:v>
                </c:pt>
                <c:pt idx="2">
                  <c:v>83.692034018704661</c:v>
                </c:pt>
                <c:pt idx="3">
                  <c:v>35.615708717472486</c:v>
                </c:pt>
                <c:pt idx="4">
                  <c:v>16.498471001862676</c:v>
                </c:pt>
                <c:pt idx="5">
                  <c:v>12.320369339203683</c:v>
                </c:pt>
                <c:pt idx="6">
                  <c:v>-1.8859444934494797E-17</c:v>
                </c:pt>
                <c:pt idx="7">
                  <c:v>-1.8859444934494797E-17</c:v>
                </c:pt>
              </c:numCache>
            </c:numRef>
          </c:val>
          <c:extLst>
            <c:ext xmlns:c16="http://schemas.microsoft.com/office/drawing/2014/chart" uri="{C3380CC4-5D6E-409C-BE32-E72D297353CC}">
              <c16:uniqueId val="{00000004-DA3A-442E-9F59-D60CC3B1AF54}"/>
            </c:ext>
          </c:extLst>
        </c:ser>
        <c:ser>
          <c:idx val="8"/>
          <c:order val="5"/>
          <c:tx>
            <c:strRef>
              <c:f>Graphs!$G$160</c:f>
              <c:strCache>
                <c:ptCount val="1"/>
                <c:pt idx="0">
                  <c:v>Natural Gas</c:v>
                </c:pt>
              </c:strCache>
            </c:strRef>
          </c:tx>
          <c:spPr>
            <a:solidFill>
              <a:srgbClr val="FF3399"/>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Graphs!$G$161:$G$168</c:f>
              <c:numCache>
                <c:formatCode>0</c:formatCode>
                <c:ptCount val="8"/>
                <c:pt idx="0">
                  <c:v>74.549183929656337</c:v>
                </c:pt>
                <c:pt idx="1">
                  <c:v>108.24171371377416</c:v>
                </c:pt>
                <c:pt idx="2">
                  <c:v>70.898896689514103</c:v>
                </c:pt>
                <c:pt idx="3">
                  <c:v>32.497066831694795</c:v>
                </c:pt>
                <c:pt idx="4">
                  <c:v>14.244105066483346</c:v>
                </c:pt>
                <c:pt idx="5">
                  <c:v>10.805244376320069</c:v>
                </c:pt>
                <c:pt idx="6">
                  <c:v>-9.001503379690622E-16</c:v>
                </c:pt>
                <c:pt idx="7">
                  <c:v>-9.001503379690622E-16</c:v>
                </c:pt>
              </c:numCache>
            </c:numRef>
          </c:val>
          <c:extLst>
            <c:ext xmlns:c16="http://schemas.microsoft.com/office/drawing/2014/chart" uri="{C3380CC4-5D6E-409C-BE32-E72D297353CC}">
              <c16:uniqueId val="{00000000-7573-4CC4-B09F-BCA9563F5BDC}"/>
            </c:ext>
          </c:extLst>
        </c:ser>
        <c:ser>
          <c:idx val="5"/>
          <c:order val="6"/>
          <c:tx>
            <c:strRef>
              <c:f>Graphs!$H$160</c:f>
              <c:strCache>
                <c:ptCount val="1"/>
                <c:pt idx="0">
                  <c:v>Bioenergy and Waste</c:v>
                </c:pt>
              </c:strCache>
            </c:strRef>
          </c:tx>
          <c:spPr>
            <a:solidFill>
              <a:schemeClr val="accent6">
                <a:lumMod val="75000"/>
              </a:schemeClr>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Graphs!$H$161:$H$168</c:f>
              <c:numCache>
                <c:formatCode>0</c:formatCode>
                <c:ptCount val="8"/>
                <c:pt idx="0">
                  <c:v>0</c:v>
                </c:pt>
                <c:pt idx="1">
                  <c:v>0</c:v>
                </c:pt>
                <c:pt idx="2">
                  <c:v>0</c:v>
                </c:pt>
                <c:pt idx="3">
                  <c:v>0</c:v>
                </c:pt>
                <c:pt idx="4">
                  <c:v>0</c:v>
                </c:pt>
                <c:pt idx="5">
                  <c:v>0</c:v>
                </c:pt>
                <c:pt idx="6">
                  <c:v>0</c:v>
                </c:pt>
                <c:pt idx="7">
                  <c:v>6.0230984915298027</c:v>
                </c:pt>
              </c:numCache>
            </c:numRef>
          </c:val>
          <c:extLst>
            <c:ext xmlns:c16="http://schemas.microsoft.com/office/drawing/2014/chart" uri="{C3380CC4-5D6E-409C-BE32-E72D297353CC}">
              <c16:uniqueId val="{00000005-DA3A-442E-9F59-D60CC3B1AF54}"/>
            </c:ext>
          </c:extLst>
        </c:ser>
        <c:ser>
          <c:idx val="6"/>
          <c:order val="7"/>
          <c:tx>
            <c:strRef>
              <c:f>Graphs!$I$160</c:f>
              <c:strCache>
                <c:ptCount val="1"/>
                <c:pt idx="0">
                  <c:v>Purchased Heat</c:v>
                </c:pt>
              </c:strCache>
            </c:strRef>
          </c:tx>
          <c:spPr>
            <a:solidFill>
              <a:srgbClr val="C0000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Graphs!$I$161:$I$168</c:f>
              <c:numCache>
                <c:formatCode>0</c:formatCode>
                <c:ptCount val="8"/>
                <c:pt idx="0">
                  <c:v>103.79119287184345</c:v>
                </c:pt>
                <c:pt idx="1">
                  <c:v>151.24600033641187</c:v>
                </c:pt>
                <c:pt idx="2">
                  <c:v>103.03437395349235</c:v>
                </c:pt>
                <c:pt idx="3">
                  <c:v>103.03437395349235</c:v>
                </c:pt>
                <c:pt idx="4">
                  <c:v>103.03437395349235</c:v>
                </c:pt>
                <c:pt idx="5">
                  <c:v>103.03437395349235</c:v>
                </c:pt>
                <c:pt idx="6">
                  <c:v>103.03437395349235</c:v>
                </c:pt>
                <c:pt idx="7">
                  <c:v>103.03437395349235</c:v>
                </c:pt>
              </c:numCache>
            </c:numRef>
          </c:val>
          <c:extLst>
            <c:ext xmlns:c16="http://schemas.microsoft.com/office/drawing/2014/chart" uri="{C3380CC4-5D6E-409C-BE32-E72D297353CC}">
              <c16:uniqueId val="{00000006-DA3A-442E-9F59-D60CC3B1AF54}"/>
            </c:ext>
          </c:extLst>
        </c:ser>
        <c:ser>
          <c:idx val="7"/>
          <c:order val="8"/>
          <c:tx>
            <c:strRef>
              <c:f>Graphs!$J$160</c:f>
              <c:strCache>
                <c:ptCount val="1"/>
                <c:pt idx="0">
                  <c:v>Direct Use of Electricity</c:v>
                </c:pt>
              </c:strCache>
            </c:strRef>
          </c:tx>
          <c:spPr>
            <a:solidFill>
              <a:srgbClr val="FFC00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Graphs!$J$161:$J$168</c:f>
              <c:numCache>
                <c:formatCode>0</c:formatCode>
                <c:ptCount val="8"/>
                <c:pt idx="0">
                  <c:v>428.14245240809367</c:v>
                </c:pt>
                <c:pt idx="1">
                  <c:v>473.01774196331093</c:v>
                </c:pt>
                <c:pt idx="2">
                  <c:v>312.80996548233458</c:v>
                </c:pt>
                <c:pt idx="3">
                  <c:v>437.26849153370847</c:v>
                </c:pt>
                <c:pt idx="4">
                  <c:v>519.88993691138444</c:v>
                </c:pt>
                <c:pt idx="5">
                  <c:v>519.88993691138444</c:v>
                </c:pt>
                <c:pt idx="6">
                  <c:v>519.88993691138444</c:v>
                </c:pt>
                <c:pt idx="7">
                  <c:v>519.88993691138444</c:v>
                </c:pt>
              </c:numCache>
            </c:numRef>
          </c:val>
          <c:extLst>
            <c:ext xmlns:c16="http://schemas.microsoft.com/office/drawing/2014/chart" uri="{C3380CC4-5D6E-409C-BE32-E72D297353CC}">
              <c16:uniqueId val="{00000007-DA3A-442E-9F59-D60CC3B1AF54}"/>
            </c:ext>
          </c:extLst>
        </c:ser>
        <c:ser>
          <c:idx val="9"/>
          <c:order val="9"/>
          <c:tx>
            <c:strRef>
              <c:f>Graphs!$K$160</c:f>
              <c:strCache>
                <c:ptCount val="1"/>
                <c:pt idx="0">
                  <c:v>Green Hydrogen</c:v>
                </c:pt>
              </c:strCache>
            </c:strRef>
          </c:tx>
          <c:spPr>
            <a:solidFill>
              <a:srgbClr val="92D05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Graphs!$K$161:$K$168</c:f>
              <c:numCache>
                <c:formatCode>0</c:formatCode>
                <c:ptCount val="8"/>
                <c:pt idx="0">
                  <c:v>0</c:v>
                </c:pt>
                <c:pt idx="1">
                  <c:v>0</c:v>
                </c:pt>
                <c:pt idx="2">
                  <c:v>0</c:v>
                </c:pt>
                <c:pt idx="3">
                  <c:v>0</c:v>
                </c:pt>
                <c:pt idx="4">
                  <c:v>0</c:v>
                </c:pt>
                <c:pt idx="5">
                  <c:v>0</c:v>
                </c:pt>
                <c:pt idx="6">
                  <c:v>147.80610471978659</c:v>
                </c:pt>
                <c:pt idx="7">
                  <c:v>188.56278190568412</c:v>
                </c:pt>
              </c:numCache>
            </c:numRef>
          </c:val>
          <c:extLst>
            <c:ext xmlns:c16="http://schemas.microsoft.com/office/drawing/2014/chart" uri="{C3380CC4-5D6E-409C-BE32-E72D297353CC}">
              <c16:uniqueId val="{00000000-21EF-4A68-B54D-A6C3256A213B}"/>
            </c:ext>
          </c:extLst>
        </c:ser>
        <c:ser>
          <c:idx val="10"/>
          <c:order val="10"/>
          <c:tx>
            <c:strRef>
              <c:f>Graphs!$L$160</c:f>
              <c:strCache>
                <c:ptCount val="1"/>
                <c:pt idx="0">
                  <c:v>Blue Hydrogen</c:v>
                </c:pt>
              </c:strCache>
            </c:strRef>
          </c:tx>
          <c:spPr>
            <a:solidFill>
              <a:srgbClr val="00B0F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Graphs!$L$161:$L$168</c:f>
              <c:numCache>
                <c:formatCode>0</c:formatCode>
                <c:ptCount val="8"/>
                <c:pt idx="0">
                  <c:v>0</c:v>
                </c:pt>
                <c:pt idx="1">
                  <c:v>0</c:v>
                </c:pt>
                <c:pt idx="2">
                  <c:v>0</c:v>
                </c:pt>
                <c:pt idx="3">
                  <c:v>0</c:v>
                </c:pt>
                <c:pt idx="4">
                  <c:v>0</c:v>
                </c:pt>
                <c:pt idx="5">
                  <c:v>0</c:v>
                </c:pt>
                <c:pt idx="6">
                  <c:v>0</c:v>
                </c:pt>
                <c:pt idx="7">
                  <c:v>23.231305995961616</c:v>
                </c:pt>
              </c:numCache>
            </c:numRef>
          </c:val>
          <c:extLst>
            <c:ext xmlns:c16="http://schemas.microsoft.com/office/drawing/2014/chart" uri="{C3380CC4-5D6E-409C-BE32-E72D297353CC}">
              <c16:uniqueId val="{00000001-21EF-4A68-B54D-A6C3256A213B}"/>
            </c:ext>
          </c:extLst>
        </c:ser>
        <c:ser>
          <c:idx val="11"/>
          <c:order val="11"/>
          <c:tx>
            <c:strRef>
              <c:f>Graphs!$M$160</c:f>
              <c:strCache>
                <c:ptCount val="1"/>
                <c:pt idx="0">
                  <c:v>Fossil Fuels w/ Carbon Capture</c:v>
                </c:pt>
              </c:strCache>
            </c:strRef>
          </c:tx>
          <c:spPr>
            <a:solidFill>
              <a:srgbClr val="FF660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Graphs!$M$161:$M$168</c:f>
              <c:numCache>
                <c:formatCode>0</c:formatCode>
                <c:ptCount val="8"/>
                <c:pt idx="0">
                  <c:v>0</c:v>
                </c:pt>
                <c:pt idx="1">
                  <c:v>0</c:v>
                </c:pt>
                <c:pt idx="2">
                  <c:v>0</c:v>
                </c:pt>
                <c:pt idx="3">
                  <c:v>0</c:v>
                </c:pt>
                <c:pt idx="4">
                  <c:v>0</c:v>
                </c:pt>
                <c:pt idx="5">
                  <c:v>25.915772704742512</c:v>
                </c:pt>
                <c:pt idx="6">
                  <c:v>25.915772704742512</c:v>
                </c:pt>
                <c:pt idx="7">
                  <c:v>25.915772704742512</c:v>
                </c:pt>
              </c:numCache>
            </c:numRef>
          </c:val>
          <c:extLst>
            <c:ext xmlns:c16="http://schemas.microsoft.com/office/drawing/2014/chart" uri="{C3380CC4-5D6E-409C-BE32-E72D297353CC}">
              <c16:uniqueId val="{00000000-B367-408C-9520-8210E4DEAAE7}"/>
            </c:ext>
          </c:extLst>
        </c:ser>
        <c:ser>
          <c:idx val="12"/>
          <c:order val="12"/>
          <c:tx>
            <c:strRef>
              <c:f>Graphs!$N$160</c:f>
              <c:strCache>
                <c:ptCount val="1"/>
                <c:pt idx="0">
                  <c:v>Carbon Pricing</c:v>
                </c:pt>
              </c:strCache>
            </c:strRef>
          </c:tx>
          <c:spPr>
            <a:solidFill>
              <a:srgbClr val="808080"/>
            </a:solidFill>
            <a:ln>
              <a:noFill/>
            </a:ln>
            <a:effectLst/>
          </c:spPr>
          <c:invertIfNegative val="0"/>
          <c:cat>
            <c:strRef>
              <c:f>Graphs!$A$161:$A$168</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Graphs!$N$161:$N$168</c:f>
              <c:numCache>
                <c:formatCode>0</c:formatCode>
                <c:ptCount val="8"/>
                <c:pt idx="0">
                  <c:v>0</c:v>
                </c:pt>
                <c:pt idx="1">
                  <c:v>182.90350759519976</c:v>
                </c:pt>
                <c:pt idx="2">
                  <c:v>112.87771640405481</c:v>
                </c:pt>
                <c:pt idx="3">
                  <c:v>56.917680921073782</c:v>
                </c:pt>
                <c:pt idx="4">
                  <c:v>39.023215053700156</c:v>
                </c:pt>
                <c:pt idx="5">
                  <c:v>29.183283626262881</c:v>
                </c:pt>
                <c:pt idx="6">
                  <c:v>1.8158292554375151</c:v>
                </c:pt>
                <c:pt idx="7">
                  <c:v>2.4746930360755783</c:v>
                </c:pt>
              </c:numCache>
            </c:numRef>
          </c:val>
          <c:extLst>
            <c:ext xmlns:c16="http://schemas.microsoft.com/office/drawing/2014/chart" uri="{C3380CC4-5D6E-409C-BE32-E72D297353CC}">
              <c16:uniqueId val="{00000000-887F-4A8E-9DDB-231B15A3AA2B}"/>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Billions of 2021</a:t>
                </a:r>
                <a:r>
                  <a:rPr lang="en-US" sz="1400" baseline="0"/>
                  <a:t> USD per year</a:t>
                </a:r>
                <a:endParaRPr lang="en-US" sz="1400"/>
              </a:p>
            </c:rich>
          </c:tx>
          <c:layout>
            <c:manualLayout>
              <c:xMode val="edge"/>
              <c:yMode val="edge"/>
              <c:x val="0.50809820853620147"/>
              <c:y val="8.008527309116306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b="0" i="0" u="none" strike="noStrike" kern="1200" spc="0" baseline="0">
                <a:solidFill>
                  <a:sysClr val="windowText" lastClr="000000"/>
                </a:solidFill>
              </a:rPr>
              <a:t>Carbon Pricing and Electricity Cost Combinations that Achieve Breakeven Annual Energy Costs for Various Technologies in Viet Nam</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'Indifference Curves'!$B$131</c:f>
              <c:strCache>
                <c:ptCount val="1"/>
                <c:pt idx="0">
                  <c:v>X-Axis</c:v>
                </c:pt>
              </c:strCache>
            </c:strRef>
          </c:tx>
          <c:spPr>
            <a:ln w="31750" cap="rnd">
              <a:solidFill>
                <a:schemeClr val="tx1"/>
              </a:solidFill>
              <a:prstDash val="dash"/>
              <a:round/>
            </a:ln>
            <a:effectLst/>
          </c:spPr>
          <c:marker>
            <c:symbol val="none"/>
          </c:marker>
          <c:trendline>
            <c:spPr>
              <a:ln w="31750" cap="rnd">
                <a:solidFill>
                  <a:schemeClr val="tx1"/>
                </a:solidFill>
                <a:prstDash val="dash"/>
              </a:ln>
              <a:effectLst/>
            </c:spPr>
            <c:trendlineType val="linear"/>
            <c:dispRSqr val="0"/>
            <c:dispEq val="0"/>
          </c:trendline>
          <c:xVal>
            <c:numRef>
              <c:f>'Indifference Curves'!$A$132:$A$142</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Curves'!$B$132:$B$142</c:f>
              <c:numCache>
                <c:formatCode>General</c:formatCode>
                <c:ptCount val="11"/>
                <c:pt idx="0">
                  <c:v>0</c:v>
                </c:pt>
                <c:pt idx="10">
                  <c:v>0</c:v>
                </c:pt>
              </c:numCache>
            </c:numRef>
          </c:yVal>
          <c:smooth val="0"/>
          <c:extLst>
            <c:ext xmlns:c16="http://schemas.microsoft.com/office/drawing/2014/chart" uri="{C3380CC4-5D6E-409C-BE32-E72D297353CC}">
              <c16:uniqueId val="{00000001-FCAE-4312-BC2D-C04BD2E398DD}"/>
            </c:ext>
          </c:extLst>
        </c:ser>
        <c:ser>
          <c:idx val="1"/>
          <c:order val="1"/>
          <c:tx>
            <c:strRef>
              <c:f>'Indifference Curves'!$C$131</c:f>
              <c:strCache>
                <c:ptCount val="1"/>
                <c:pt idx="0">
                  <c:v>Tier 2a: Easy Electrification</c:v>
                </c:pt>
              </c:strCache>
            </c:strRef>
          </c:tx>
          <c:spPr>
            <a:ln w="31750" cap="rnd">
              <a:solidFill>
                <a:schemeClr val="accent2"/>
              </a:solidFill>
              <a:round/>
            </a:ln>
            <a:effectLst/>
          </c:spPr>
          <c:marker>
            <c:symbol val="none"/>
          </c:marker>
          <c:trendline>
            <c:spPr>
              <a:ln w="31750" cap="rnd">
                <a:solidFill>
                  <a:schemeClr val="accent2"/>
                </a:solidFill>
                <a:prstDash val="solid"/>
              </a:ln>
              <a:effectLst/>
            </c:spPr>
            <c:trendlineType val="linear"/>
            <c:dispRSqr val="0"/>
            <c:dispEq val="0"/>
          </c:trendline>
          <c:xVal>
            <c:numRef>
              <c:f>'Indifference Curves'!$A$132:$A$142</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Curves'!$C$132:$C$142</c:f>
              <c:numCache>
                <c:formatCode>General</c:formatCode>
                <c:ptCount val="11"/>
                <c:pt idx="8">
                  <c:v>83.745891280557998</c:v>
                </c:pt>
                <c:pt idx="9">
                  <c:v>101.04549780245739</c:v>
                </c:pt>
              </c:numCache>
            </c:numRef>
          </c:yVal>
          <c:smooth val="0"/>
          <c:extLst>
            <c:ext xmlns:c16="http://schemas.microsoft.com/office/drawing/2014/chart" uri="{C3380CC4-5D6E-409C-BE32-E72D297353CC}">
              <c16:uniqueId val="{00000003-FCAE-4312-BC2D-C04BD2E398DD}"/>
            </c:ext>
          </c:extLst>
        </c:ser>
        <c:ser>
          <c:idx val="2"/>
          <c:order val="2"/>
          <c:tx>
            <c:strRef>
              <c:f>'Indifference Curves'!$D$131</c:f>
              <c:strCache>
                <c:ptCount val="1"/>
                <c:pt idx="0">
                  <c:v>Tier 2b: Other Electrification</c:v>
                </c:pt>
              </c:strCache>
            </c:strRef>
          </c:tx>
          <c:spPr>
            <a:ln w="31750" cap="rnd">
              <a:solidFill>
                <a:schemeClr val="accent3"/>
              </a:solidFill>
              <a:round/>
            </a:ln>
            <a:effectLst/>
          </c:spPr>
          <c:marker>
            <c:symbol val="none"/>
          </c:marker>
          <c:trendline>
            <c:spPr>
              <a:ln w="31750" cap="rnd">
                <a:solidFill>
                  <a:schemeClr val="accent3"/>
                </a:solidFill>
                <a:prstDash val="solid"/>
              </a:ln>
              <a:effectLst/>
            </c:spPr>
            <c:trendlineType val="linear"/>
            <c:dispRSqr val="0"/>
            <c:dispEq val="0"/>
          </c:trendline>
          <c:xVal>
            <c:numRef>
              <c:f>'Indifference Curves'!$A$132:$A$142</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Curves'!$D$132:$D$142</c:f>
              <c:numCache>
                <c:formatCode>General</c:formatCode>
                <c:ptCount val="11"/>
                <c:pt idx="6">
                  <c:v>167.6363176019006</c:v>
                </c:pt>
                <c:pt idx="8">
                  <c:v>241.87122079088957</c:v>
                </c:pt>
              </c:numCache>
            </c:numRef>
          </c:yVal>
          <c:smooth val="0"/>
          <c:extLst>
            <c:ext xmlns:c16="http://schemas.microsoft.com/office/drawing/2014/chart" uri="{C3380CC4-5D6E-409C-BE32-E72D297353CC}">
              <c16:uniqueId val="{00000005-FCAE-4312-BC2D-C04BD2E398DD}"/>
            </c:ext>
          </c:extLst>
        </c:ser>
        <c:ser>
          <c:idx val="3"/>
          <c:order val="3"/>
          <c:tx>
            <c:strRef>
              <c:f>'Indifference Curves'!$E$131</c:f>
              <c:strCache>
                <c:ptCount val="1"/>
                <c:pt idx="0">
                  <c:v>Tier 3: CCS</c:v>
                </c:pt>
              </c:strCache>
            </c:strRef>
          </c:tx>
          <c:spPr>
            <a:ln w="31750" cap="rnd">
              <a:solidFill>
                <a:schemeClr val="accent4"/>
              </a:solidFill>
              <a:round/>
            </a:ln>
            <a:effectLst/>
          </c:spPr>
          <c:marker>
            <c:symbol val="none"/>
          </c:marker>
          <c:trendline>
            <c:spPr>
              <a:ln w="31750" cap="rnd">
                <a:solidFill>
                  <a:schemeClr val="accent4"/>
                </a:solidFill>
                <a:prstDash val="solid"/>
              </a:ln>
              <a:effectLst/>
            </c:spPr>
            <c:trendlineType val="linear"/>
            <c:dispRSqr val="0"/>
            <c:dispEq val="0"/>
          </c:trendline>
          <c:xVal>
            <c:numRef>
              <c:f>'Indifference Curves'!$A$132:$A$142</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Curves'!$E$132:$E$142</c:f>
              <c:numCache>
                <c:formatCode>General</c:formatCode>
                <c:ptCount val="11"/>
                <c:pt idx="0">
                  <c:v>29.105165896266861</c:v>
                </c:pt>
                <c:pt idx="10">
                  <c:v>29.105165896266861</c:v>
                </c:pt>
              </c:numCache>
            </c:numRef>
          </c:yVal>
          <c:smooth val="0"/>
          <c:extLst>
            <c:ext xmlns:c16="http://schemas.microsoft.com/office/drawing/2014/chart" uri="{C3380CC4-5D6E-409C-BE32-E72D297353CC}">
              <c16:uniqueId val="{00000007-FCAE-4312-BC2D-C04BD2E398DD}"/>
            </c:ext>
          </c:extLst>
        </c:ser>
        <c:ser>
          <c:idx val="4"/>
          <c:order val="4"/>
          <c:tx>
            <c:strRef>
              <c:f>'Indifference Curves'!$F$131</c:f>
              <c:strCache>
                <c:ptCount val="1"/>
                <c:pt idx="0">
                  <c:v>Tier 4a: Green H2</c:v>
                </c:pt>
              </c:strCache>
            </c:strRef>
          </c:tx>
          <c:spPr>
            <a:ln w="19050" cap="rnd">
              <a:solidFill>
                <a:schemeClr val="accent5"/>
              </a:solidFill>
              <a:round/>
            </a:ln>
            <a:effectLst/>
          </c:spPr>
          <c:marker>
            <c:symbol val="none"/>
          </c:marker>
          <c:trendline>
            <c:spPr>
              <a:ln w="31750" cap="rnd">
                <a:solidFill>
                  <a:schemeClr val="accent5"/>
                </a:solidFill>
                <a:prstDash val="solid"/>
              </a:ln>
              <a:effectLst/>
            </c:spPr>
            <c:trendlineType val="linear"/>
            <c:dispRSqr val="0"/>
            <c:dispEq val="0"/>
          </c:trendline>
          <c:xVal>
            <c:numRef>
              <c:f>'Indifference Curves'!$A$132:$A$142</c:f>
              <c:numCache>
                <c:formatCode>General</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'Indifference Curves'!$F$132:$F$142</c:f>
              <c:numCache>
                <c:formatCode>General</c:formatCode>
                <c:ptCount val="11"/>
                <c:pt idx="1">
                  <c:v>124.29658290017255</c:v>
                </c:pt>
                <c:pt idx="2">
                  <c:v>244.55726574748121</c:v>
                </c:pt>
              </c:numCache>
            </c:numRef>
          </c:yVal>
          <c:smooth val="0"/>
          <c:extLst>
            <c:ext xmlns:c16="http://schemas.microsoft.com/office/drawing/2014/chart" uri="{C3380CC4-5D6E-409C-BE32-E72D297353CC}">
              <c16:uniqueId val="{00000009-FCAE-4312-BC2D-C04BD2E398DD}"/>
            </c:ext>
          </c:extLst>
        </c:ser>
        <c:dLbls>
          <c:showLegendKey val="0"/>
          <c:showVal val="0"/>
          <c:showCatName val="0"/>
          <c:showSerName val="0"/>
          <c:showPercent val="0"/>
          <c:showBubbleSize val="0"/>
        </c:dLbls>
        <c:axId val="1685506048"/>
        <c:axId val="1685518528"/>
      </c:scatterChart>
      <c:valAx>
        <c:axId val="1685506048"/>
        <c:scaling>
          <c:orientation val="minMax"/>
          <c:max val="16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Electricity Price (USD / MWh)</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0"/>
          <a:lstStyle/>
          <a:p>
            <a:pPr>
              <a:defRPr sz="1400" b="0" i="0" u="none" strike="noStrike" kern="1200" baseline="0">
                <a:solidFill>
                  <a:sysClr val="windowText" lastClr="000000"/>
                </a:solidFill>
                <a:latin typeface="+mn-lt"/>
                <a:ea typeface="+mn-ea"/>
                <a:cs typeface="+mn-cs"/>
              </a:defRPr>
            </a:pPr>
            <a:endParaRPr lang="en-US"/>
          </a:p>
        </c:txPr>
        <c:crossAx val="1685518528"/>
        <c:crossesAt val="-100"/>
        <c:crossBetween val="midCat"/>
      </c:valAx>
      <c:valAx>
        <c:axId val="1685518528"/>
        <c:scaling>
          <c:orientation val="minMax"/>
          <c:max val="3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Carbon Price (USD / tonne CO2)</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85506048"/>
        <c:crosses val="autoZero"/>
        <c:crossBetween val="midCat"/>
      </c:valAx>
      <c:spPr>
        <a:noFill/>
        <a:ln>
          <a:no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4.5268410972033782E-2"/>
          <c:y val="0.91014540052715753"/>
          <c:w val="0.91578820762980351"/>
          <c:h val="7.914447161331210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Achievable Intervention Shares by Tier by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strRef>
              <c:f>'Achivable Interventions'!$J$17</c:f>
              <c:strCache>
                <c:ptCount val="1"/>
                <c:pt idx="0">
                  <c:v>Tier 1: Efficiency</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'Achivable Interventions'!$K$16:$Q$16</c:f>
              <c:numCache>
                <c:formatCode>General</c:formatCode>
                <c:ptCount val="7"/>
                <c:pt idx="0">
                  <c:v>2022</c:v>
                </c:pt>
                <c:pt idx="1">
                  <c:v>2025</c:v>
                </c:pt>
                <c:pt idx="2">
                  <c:v>2030</c:v>
                </c:pt>
                <c:pt idx="3">
                  <c:v>2035</c:v>
                </c:pt>
                <c:pt idx="4">
                  <c:v>2040</c:v>
                </c:pt>
                <c:pt idx="5">
                  <c:v>2045</c:v>
                </c:pt>
                <c:pt idx="6">
                  <c:v>2050</c:v>
                </c:pt>
              </c:numCache>
            </c:numRef>
          </c:xVal>
          <c:yVal>
            <c:numRef>
              <c:f>'Achivable Interventions'!$K$17:$Q$17</c:f>
              <c:numCache>
                <c:formatCode>0%</c:formatCode>
                <c:ptCount val="7"/>
                <c:pt idx="0">
                  <c:v>0</c:v>
                </c:pt>
                <c:pt idx="1">
                  <c:v>0</c:v>
                </c:pt>
                <c:pt idx="2">
                  <c:v>0.4</c:v>
                </c:pt>
                <c:pt idx="3">
                  <c:v>0.65</c:v>
                </c:pt>
                <c:pt idx="4">
                  <c:v>0.85</c:v>
                </c:pt>
                <c:pt idx="5">
                  <c:v>0.95</c:v>
                </c:pt>
                <c:pt idx="6">
                  <c:v>1</c:v>
                </c:pt>
              </c:numCache>
            </c:numRef>
          </c:yVal>
          <c:smooth val="0"/>
          <c:extLst>
            <c:ext xmlns:c16="http://schemas.microsoft.com/office/drawing/2014/chart" uri="{C3380CC4-5D6E-409C-BE32-E72D297353CC}">
              <c16:uniqueId val="{00000000-F36F-42D8-8FB2-61DB9A92A6A4}"/>
            </c:ext>
          </c:extLst>
        </c:ser>
        <c:ser>
          <c:idx val="1"/>
          <c:order val="1"/>
          <c:tx>
            <c:strRef>
              <c:f>'Achivable Interventions'!$J$18</c:f>
              <c:strCache>
                <c:ptCount val="1"/>
                <c:pt idx="0">
                  <c:v>Tier 2a: Easy Electrification</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'Achivable Interventions'!$K$16:$Q$16</c:f>
              <c:numCache>
                <c:formatCode>General</c:formatCode>
                <c:ptCount val="7"/>
                <c:pt idx="0">
                  <c:v>2022</c:v>
                </c:pt>
                <c:pt idx="1">
                  <c:v>2025</c:v>
                </c:pt>
                <c:pt idx="2">
                  <c:v>2030</c:v>
                </c:pt>
                <c:pt idx="3">
                  <c:v>2035</c:v>
                </c:pt>
                <c:pt idx="4">
                  <c:v>2040</c:v>
                </c:pt>
                <c:pt idx="5">
                  <c:v>2045</c:v>
                </c:pt>
                <c:pt idx="6">
                  <c:v>2050</c:v>
                </c:pt>
              </c:numCache>
            </c:numRef>
          </c:xVal>
          <c:yVal>
            <c:numRef>
              <c:f>'Achivable Interventions'!$K$18:$Q$18</c:f>
              <c:numCache>
                <c:formatCode>0%</c:formatCode>
                <c:ptCount val="7"/>
                <c:pt idx="0">
                  <c:v>0</c:v>
                </c:pt>
                <c:pt idx="1">
                  <c:v>0</c:v>
                </c:pt>
                <c:pt idx="2">
                  <c:v>0.4</c:v>
                </c:pt>
                <c:pt idx="3">
                  <c:v>0.65</c:v>
                </c:pt>
                <c:pt idx="4">
                  <c:v>0.85</c:v>
                </c:pt>
                <c:pt idx="5">
                  <c:v>0.95</c:v>
                </c:pt>
                <c:pt idx="6">
                  <c:v>1</c:v>
                </c:pt>
              </c:numCache>
            </c:numRef>
          </c:yVal>
          <c:smooth val="0"/>
          <c:extLst>
            <c:ext xmlns:c16="http://schemas.microsoft.com/office/drawing/2014/chart" uri="{C3380CC4-5D6E-409C-BE32-E72D297353CC}">
              <c16:uniqueId val="{00000001-F36F-42D8-8FB2-61DB9A92A6A4}"/>
            </c:ext>
          </c:extLst>
        </c:ser>
        <c:ser>
          <c:idx val="2"/>
          <c:order val="2"/>
          <c:tx>
            <c:strRef>
              <c:f>'Achivable Interventions'!$J$19</c:f>
              <c:strCache>
                <c:ptCount val="1"/>
                <c:pt idx="0">
                  <c:v>Tier 2b: Other Electrification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'Achivable Interventions'!$K$16:$Q$16</c:f>
              <c:numCache>
                <c:formatCode>General</c:formatCode>
                <c:ptCount val="7"/>
                <c:pt idx="0">
                  <c:v>2022</c:v>
                </c:pt>
                <c:pt idx="1">
                  <c:v>2025</c:v>
                </c:pt>
                <c:pt idx="2">
                  <c:v>2030</c:v>
                </c:pt>
                <c:pt idx="3">
                  <c:v>2035</c:v>
                </c:pt>
                <c:pt idx="4">
                  <c:v>2040</c:v>
                </c:pt>
                <c:pt idx="5">
                  <c:v>2045</c:v>
                </c:pt>
                <c:pt idx="6">
                  <c:v>2050</c:v>
                </c:pt>
              </c:numCache>
            </c:numRef>
          </c:xVal>
          <c:yVal>
            <c:numRef>
              <c:f>'Achivable Interventions'!$K$19:$Q$19</c:f>
              <c:numCache>
                <c:formatCode>0%</c:formatCode>
                <c:ptCount val="7"/>
                <c:pt idx="0">
                  <c:v>0</c:v>
                </c:pt>
                <c:pt idx="1">
                  <c:v>0</c:v>
                </c:pt>
                <c:pt idx="2">
                  <c:v>0.2</c:v>
                </c:pt>
                <c:pt idx="3">
                  <c:v>0.4</c:v>
                </c:pt>
                <c:pt idx="4">
                  <c:v>0.6</c:v>
                </c:pt>
                <c:pt idx="5">
                  <c:v>0.8</c:v>
                </c:pt>
                <c:pt idx="6">
                  <c:v>1</c:v>
                </c:pt>
              </c:numCache>
            </c:numRef>
          </c:yVal>
          <c:smooth val="0"/>
          <c:extLst>
            <c:ext xmlns:c16="http://schemas.microsoft.com/office/drawing/2014/chart" uri="{C3380CC4-5D6E-409C-BE32-E72D297353CC}">
              <c16:uniqueId val="{00000002-F36F-42D8-8FB2-61DB9A92A6A4}"/>
            </c:ext>
          </c:extLst>
        </c:ser>
        <c:ser>
          <c:idx val="3"/>
          <c:order val="3"/>
          <c:tx>
            <c:strRef>
              <c:f>'Achivable Interventions'!$J$20</c:f>
              <c:strCache>
                <c:ptCount val="1"/>
                <c:pt idx="0">
                  <c:v>Tier 3: CCS</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'Achivable Interventions'!$K$16:$Q$16</c:f>
              <c:numCache>
                <c:formatCode>General</c:formatCode>
                <c:ptCount val="7"/>
                <c:pt idx="0">
                  <c:v>2022</c:v>
                </c:pt>
                <c:pt idx="1">
                  <c:v>2025</c:v>
                </c:pt>
                <c:pt idx="2">
                  <c:v>2030</c:v>
                </c:pt>
                <c:pt idx="3">
                  <c:v>2035</c:v>
                </c:pt>
                <c:pt idx="4">
                  <c:v>2040</c:v>
                </c:pt>
                <c:pt idx="5">
                  <c:v>2045</c:v>
                </c:pt>
                <c:pt idx="6">
                  <c:v>2050</c:v>
                </c:pt>
              </c:numCache>
            </c:numRef>
          </c:xVal>
          <c:yVal>
            <c:numRef>
              <c:f>'Achivable Interventions'!$K$20:$Q$20</c:f>
              <c:numCache>
                <c:formatCode>0%</c:formatCode>
                <c:ptCount val="7"/>
                <c:pt idx="0">
                  <c:v>0</c:v>
                </c:pt>
                <c:pt idx="1">
                  <c:v>0</c:v>
                </c:pt>
                <c:pt idx="2">
                  <c:v>0.2</c:v>
                </c:pt>
                <c:pt idx="3">
                  <c:v>0.4</c:v>
                </c:pt>
                <c:pt idx="4">
                  <c:v>0.6</c:v>
                </c:pt>
                <c:pt idx="5">
                  <c:v>0.8</c:v>
                </c:pt>
                <c:pt idx="6">
                  <c:v>1</c:v>
                </c:pt>
              </c:numCache>
            </c:numRef>
          </c:yVal>
          <c:smooth val="0"/>
          <c:extLst>
            <c:ext xmlns:c16="http://schemas.microsoft.com/office/drawing/2014/chart" uri="{C3380CC4-5D6E-409C-BE32-E72D297353CC}">
              <c16:uniqueId val="{00000003-F36F-42D8-8FB2-61DB9A92A6A4}"/>
            </c:ext>
          </c:extLst>
        </c:ser>
        <c:ser>
          <c:idx val="4"/>
          <c:order val="4"/>
          <c:tx>
            <c:strRef>
              <c:f>'Achivable Interventions'!$J$21</c:f>
              <c:strCache>
                <c:ptCount val="1"/>
                <c:pt idx="0">
                  <c:v>Tier 4a: Green H2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'Achivable Interventions'!$K$16:$Q$16</c:f>
              <c:numCache>
                <c:formatCode>General</c:formatCode>
                <c:ptCount val="7"/>
                <c:pt idx="0">
                  <c:v>2022</c:v>
                </c:pt>
                <c:pt idx="1">
                  <c:v>2025</c:v>
                </c:pt>
                <c:pt idx="2">
                  <c:v>2030</c:v>
                </c:pt>
                <c:pt idx="3">
                  <c:v>2035</c:v>
                </c:pt>
                <c:pt idx="4">
                  <c:v>2040</c:v>
                </c:pt>
                <c:pt idx="5">
                  <c:v>2045</c:v>
                </c:pt>
                <c:pt idx="6">
                  <c:v>2050</c:v>
                </c:pt>
              </c:numCache>
            </c:numRef>
          </c:xVal>
          <c:yVal>
            <c:numRef>
              <c:f>'Achivable Interventions'!$K$21:$Q$21</c:f>
              <c:numCache>
                <c:formatCode>0%</c:formatCode>
                <c:ptCount val="7"/>
                <c:pt idx="0">
                  <c:v>0</c:v>
                </c:pt>
                <c:pt idx="1">
                  <c:v>0</c:v>
                </c:pt>
                <c:pt idx="2">
                  <c:v>0.05</c:v>
                </c:pt>
                <c:pt idx="3">
                  <c:v>0.15</c:v>
                </c:pt>
                <c:pt idx="4">
                  <c:v>0.35</c:v>
                </c:pt>
                <c:pt idx="5">
                  <c:v>0.6</c:v>
                </c:pt>
                <c:pt idx="6">
                  <c:v>1</c:v>
                </c:pt>
              </c:numCache>
            </c:numRef>
          </c:yVal>
          <c:smooth val="0"/>
          <c:extLst>
            <c:ext xmlns:c16="http://schemas.microsoft.com/office/drawing/2014/chart" uri="{C3380CC4-5D6E-409C-BE32-E72D297353CC}">
              <c16:uniqueId val="{00000004-F36F-42D8-8FB2-61DB9A92A6A4}"/>
            </c:ext>
          </c:extLst>
        </c:ser>
        <c:ser>
          <c:idx val="5"/>
          <c:order val="5"/>
          <c:tx>
            <c:strRef>
              <c:f>'Achivable Interventions'!$J$22</c:f>
              <c:strCache>
                <c:ptCount val="1"/>
                <c:pt idx="0">
                  <c:v>Tier 4b: Clean Feedstocks</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'Achivable Interventions'!$K$16:$Q$16</c:f>
              <c:numCache>
                <c:formatCode>General</c:formatCode>
                <c:ptCount val="7"/>
                <c:pt idx="0">
                  <c:v>2022</c:v>
                </c:pt>
                <c:pt idx="1">
                  <c:v>2025</c:v>
                </c:pt>
                <c:pt idx="2">
                  <c:v>2030</c:v>
                </c:pt>
                <c:pt idx="3">
                  <c:v>2035</c:v>
                </c:pt>
                <c:pt idx="4">
                  <c:v>2040</c:v>
                </c:pt>
                <c:pt idx="5">
                  <c:v>2045</c:v>
                </c:pt>
                <c:pt idx="6">
                  <c:v>2050</c:v>
                </c:pt>
              </c:numCache>
            </c:numRef>
          </c:xVal>
          <c:yVal>
            <c:numRef>
              <c:f>'Achivable Interventions'!$K$22:$Q$22</c:f>
              <c:numCache>
                <c:formatCode>0%</c:formatCode>
                <c:ptCount val="7"/>
                <c:pt idx="0">
                  <c:v>0</c:v>
                </c:pt>
                <c:pt idx="1">
                  <c:v>0</c:v>
                </c:pt>
                <c:pt idx="2">
                  <c:v>0.05</c:v>
                </c:pt>
                <c:pt idx="3">
                  <c:v>0.15</c:v>
                </c:pt>
                <c:pt idx="4">
                  <c:v>0.35</c:v>
                </c:pt>
                <c:pt idx="5">
                  <c:v>0.6</c:v>
                </c:pt>
                <c:pt idx="6">
                  <c:v>1</c:v>
                </c:pt>
              </c:numCache>
            </c:numRef>
          </c:yVal>
          <c:smooth val="0"/>
          <c:extLst>
            <c:ext xmlns:c16="http://schemas.microsoft.com/office/drawing/2014/chart" uri="{C3380CC4-5D6E-409C-BE32-E72D297353CC}">
              <c16:uniqueId val="{00000005-F36F-42D8-8FB2-61DB9A92A6A4}"/>
            </c:ext>
          </c:extLst>
        </c:ser>
        <c:dLbls>
          <c:showLegendKey val="0"/>
          <c:showVal val="0"/>
          <c:showCatName val="0"/>
          <c:showSerName val="0"/>
          <c:showPercent val="0"/>
          <c:showBubbleSize val="0"/>
        </c:dLbls>
        <c:axId val="2005350720"/>
        <c:axId val="2005354080"/>
      </c:scatterChart>
      <c:valAx>
        <c:axId val="2005350720"/>
        <c:scaling>
          <c:orientation val="minMax"/>
          <c:max val="205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05354080"/>
        <c:crosses val="autoZero"/>
        <c:crossBetween val="midCat"/>
      </c:valAx>
      <c:valAx>
        <c:axId val="200535408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053507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Cumulative Investment (CAPEX) Needs for </a:t>
            </a:r>
          </a:p>
          <a:p>
            <a:pPr>
              <a:defRPr/>
            </a:pPr>
            <a:r>
              <a:rPr lang="en-US"/>
              <a:t>China's Iron and Steel Industry to Achieve Net-Zero</a:t>
            </a:r>
          </a:p>
          <a:p>
            <a:pPr>
              <a:defRPr/>
            </a:pPr>
            <a:r>
              <a:rPr lang="en-US"/>
              <a:t>(including RE Expansion)</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25905125281925"/>
          <c:y val="0.15082670732158562"/>
          <c:w val="0.45607545729737387"/>
          <c:h val="0.78364330983546004"/>
        </c:manualLayout>
      </c:layout>
      <c:barChart>
        <c:barDir val="col"/>
        <c:grouping val="stacked"/>
        <c:varyColors val="0"/>
        <c:ser>
          <c:idx val="0"/>
          <c:order val="0"/>
          <c:tx>
            <c:strRef>
              <c:f>'Steel Cost Model-China'!$A$121:$B$121</c:f>
              <c:strCache>
                <c:ptCount val="2"/>
                <c:pt idx="0">
                  <c:v>Energy Efficiency: BF-BOF </c:v>
                </c:pt>
              </c:strCache>
            </c:strRef>
          </c:tx>
          <c:spPr>
            <a:solidFill>
              <a:srgbClr val="215F9A"/>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Model-China'!$C$121:$D$121</c:f>
              <c:numCache>
                <c:formatCode>_(* #,##0_);_(* \(#,##0\);_(* "-"??_);_(@_)</c:formatCode>
                <c:ptCount val="2"/>
                <c:pt idx="0">
                  <c:v>30.081799307958477</c:v>
                </c:pt>
                <c:pt idx="1">
                  <c:v>32.456678200692039</c:v>
                </c:pt>
              </c:numCache>
            </c:numRef>
          </c:val>
          <c:extLst>
            <c:ext xmlns:c16="http://schemas.microsoft.com/office/drawing/2014/chart" uri="{C3380CC4-5D6E-409C-BE32-E72D297353CC}">
              <c16:uniqueId val="{00000000-DD00-4F76-A30B-A99E4E63D0ED}"/>
            </c:ext>
          </c:extLst>
        </c:ser>
        <c:ser>
          <c:idx val="5"/>
          <c:order val="1"/>
          <c:tx>
            <c:strRef>
              <c:f>'Steel Cost Model-China'!$A$125:$B$125</c:f>
              <c:strCache>
                <c:ptCount val="2"/>
                <c:pt idx="0">
                  <c:v>Scrap-based EAF (brownfield)</c:v>
                </c:pt>
              </c:strCache>
            </c:strRef>
          </c:tx>
          <c:spPr>
            <a:solidFill>
              <a:schemeClr val="tx2">
                <a:lumMod val="50000"/>
                <a:lumOff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Model-China'!$C$125:$D$125</c:f>
              <c:numCache>
                <c:formatCode>_(* #,##0_);_(* \(#,##0\);_(* "-"??_);_(@_)</c:formatCode>
                <c:ptCount val="2"/>
                <c:pt idx="0">
                  <c:v>7.9709709093425616</c:v>
                </c:pt>
                <c:pt idx="1">
                  <c:v>41.952977829757785</c:v>
                </c:pt>
              </c:numCache>
            </c:numRef>
          </c:val>
          <c:extLst>
            <c:ext xmlns:c16="http://schemas.microsoft.com/office/drawing/2014/chart" uri="{C3380CC4-5D6E-409C-BE32-E72D297353CC}">
              <c16:uniqueId val="{00000001-DD00-4F76-A30B-A99E4E63D0ED}"/>
            </c:ext>
          </c:extLst>
        </c:ser>
        <c:ser>
          <c:idx val="6"/>
          <c:order val="2"/>
          <c:tx>
            <c:strRef>
              <c:f>'Steel Cost Model-China'!$A$124:$B$124</c:f>
              <c:strCache>
                <c:ptCount val="2"/>
                <c:pt idx="0">
                  <c:v>Scrap-based EAF (greenfield)</c:v>
                </c:pt>
              </c:strCache>
            </c:strRef>
          </c:tx>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Model-China'!$C$124:$D$124</c:f>
              <c:numCache>
                <c:formatCode>_(* #,##0_);_(* \(#,##0\);_(* "-"??_);_(@_)</c:formatCode>
                <c:ptCount val="2"/>
                <c:pt idx="0">
                  <c:v>13.345337658823532</c:v>
                </c:pt>
                <c:pt idx="1">
                  <c:v>70.239455305882345</c:v>
                </c:pt>
              </c:numCache>
            </c:numRef>
          </c:val>
          <c:extLst>
            <c:ext xmlns:c16="http://schemas.microsoft.com/office/drawing/2014/chart" uri="{C3380CC4-5D6E-409C-BE32-E72D297353CC}">
              <c16:uniqueId val="{00000002-DD00-4F76-A30B-A99E4E63D0ED}"/>
            </c:ext>
          </c:extLst>
        </c:ser>
        <c:ser>
          <c:idx val="2"/>
          <c:order val="3"/>
          <c:tx>
            <c:strRef>
              <c:f>'Steel Cost Model-China'!$A$127:$B$127</c:f>
              <c:strCache>
                <c:ptCount val="2"/>
                <c:pt idx="0">
                  <c:v>Green H2: H2-DRI-EAF</c:v>
                </c:pt>
              </c:strCache>
            </c:strRef>
          </c:tx>
          <c:spPr>
            <a:solidFill>
              <a:schemeClr val="accent6">
                <a:lumMod val="7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Model-China'!$C$127:$D$127</c:f>
              <c:numCache>
                <c:formatCode>_(* #,##0_);_(* \(#,##0\);_(* "-"??_);_(@_)</c:formatCode>
                <c:ptCount val="2"/>
                <c:pt idx="0">
                  <c:v>6.2881660899653982</c:v>
                </c:pt>
                <c:pt idx="1">
                  <c:v>81.628256055363323</c:v>
                </c:pt>
              </c:numCache>
            </c:numRef>
          </c:val>
          <c:extLst>
            <c:ext xmlns:c16="http://schemas.microsoft.com/office/drawing/2014/chart" uri="{C3380CC4-5D6E-409C-BE32-E72D297353CC}">
              <c16:uniqueId val="{00000003-DD00-4F76-A30B-A99E4E63D0ED}"/>
            </c:ext>
          </c:extLst>
        </c:ser>
        <c:ser>
          <c:idx val="1"/>
          <c:order val="4"/>
          <c:tx>
            <c:strRef>
              <c:f>'Steel Cost Model-China'!$A$126:$B$126</c:f>
              <c:strCache>
                <c:ptCount val="2"/>
                <c:pt idx="0">
                  <c:v>Fuel Switching: DRI-EAF</c:v>
                </c:pt>
              </c:strCache>
            </c:strRef>
          </c:tx>
          <c:spPr>
            <a:solidFill>
              <a:srgbClr val="D09E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Model-China'!$C$126:$D$126</c:f>
              <c:numCache>
                <c:formatCode>_(* #,##0_);_(* \(#,##0\);_(* "-"??_);_(@_)</c:formatCode>
                <c:ptCount val="2"/>
                <c:pt idx="0">
                  <c:v>10.218269896193771</c:v>
                </c:pt>
                <c:pt idx="1">
                  <c:v>0</c:v>
                </c:pt>
              </c:numCache>
            </c:numRef>
          </c:val>
          <c:extLst>
            <c:ext xmlns:c16="http://schemas.microsoft.com/office/drawing/2014/chart" uri="{C3380CC4-5D6E-409C-BE32-E72D297353CC}">
              <c16:uniqueId val="{00000004-DD00-4F76-A30B-A99E4E63D0ED}"/>
            </c:ext>
          </c:extLst>
        </c:ser>
        <c:ser>
          <c:idx val="4"/>
          <c:order val="5"/>
          <c:tx>
            <c:strRef>
              <c:f>'Steel Cost Model-China'!$A$122:$B$122</c:f>
              <c:strCache>
                <c:ptCount val="2"/>
                <c:pt idx="0">
                  <c:v>BF-BOF + CCUS </c:v>
                </c:pt>
              </c:strCache>
            </c:strRef>
          </c:tx>
          <c:spPr>
            <a:solidFill>
              <a:schemeClr val="bg1">
                <a:lumMod val="6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Model-China'!$C$122:$D$122</c:f>
              <c:numCache>
                <c:formatCode>_(* #,##0_);_(* \(#,##0\);_(* "-"??_);_(@_)</c:formatCode>
                <c:ptCount val="2"/>
                <c:pt idx="0">
                  <c:v>4.8527335640138416</c:v>
                </c:pt>
                <c:pt idx="1">
                  <c:v>67.938269896193788</c:v>
                </c:pt>
              </c:numCache>
            </c:numRef>
          </c:val>
          <c:extLst>
            <c:ext xmlns:c16="http://schemas.microsoft.com/office/drawing/2014/chart" uri="{C3380CC4-5D6E-409C-BE32-E72D297353CC}">
              <c16:uniqueId val="{00000005-DD00-4F76-A30B-A99E4E63D0ED}"/>
            </c:ext>
          </c:extLst>
        </c:ser>
        <c:ser>
          <c:idx val="3"/>
          <c:order val="6"/>
          <c:tx>
            <c:strRef>
              <c:f>'Steel Cost Model-China'!$A$123:$B$123</c:f>
              <c:strCache>
                <c:ptCount val="2"/>
                <c:pt idx="0">
                  <c:v>DRI-EAF + CCUS </c:v>
                </c:pt>
              </c:strCache>
            </c:strRef>
          </c:tx>
          <c:spPr>
            <a:solidFill>
              <a:schemeClr val="tx1">
                <a:lumMod val="50000"/>
                <a:lumOff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Model-China'!$C$123:$D$123</c:f>
              <c:numCache>
                <c:formatCode>_(* #,##0_);_(* \(#,##0\);_(* "-"??_);_(@_)</c:formatCode>
                <c:ptCount val="2"/>
                <c:pt idx="0">
                  <c:v>0</c:v>
                </c:pt>
                <c:pt idx="1">
                  <c:v>18.9588705882353</c:v>
                </c:pt>
              </c:numCache>
            </c:numRef>
          </c:val>
          <c:extLst>
            <c:ext xmlns:c16="http://schemas.microsoft.com/office/drawing/2014/chart" uri="{C3380CC4-5D6E-409C-BE32-E72D297353CC}">
              <c16:uniqueId val="{00000006-DD00-4F76-A30B-A99E4E63D0ED}"/>
            </c:ext>
          </c:extLst>
        </c:ser>
        <c:ser>
          <c:idx val="7"/>
          <c:order val="7"/>
          <c:tx>
            <c:strRef>
              <c:f>'Steel Cost Model-China'!$A$129:$B$129</c:f>
              <c:strCache>
                <c:ptCount val="2"/>
                <c:pt idx="0">
                  <c:v>Electrolyzer CAPEX </c:v>
                </c:pt>
              </c:strCache>
            </c:strRef>
          </c:tx>
          <c:spPr>
            <a:solidFill>
              <a:schemeClr val="accent6">
                <a:lumMod val="60000"/>
                <a:lumOff val="40000"/>
              </a:schemeClr>
            </a:solidFill>
            <a:ln>
              <a:solidFill>
                <a:schemeClr val="tx1"/>
              </a:solidFill>
            </a:ln>
            <a:effectLst/>
          </c:spPr>
          <c:invertIfNegative val="0"/>
          <c:dLbls>
            <c:dLbl>
              <c:idx val="0"/>
              <c:layout>
                <c:manualLayout>
                  <c:x val="1.9427683888637047E-2"/>
                  <c:y val="-8.22641149022852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85-49DF-9431-B3A7E9F4BE8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Model-China'!$C$129:$D$129</c:f>
              <c:numCache>
                <c:formatCode>_(* #,##0_);_(* \(#,##0\);_(* "-"??_);_(@_)</c:formatCode>
                <c:ptCount val="2"/>
                <c:pt idx="0">
                  <c:v>4.5365593310798795</c:v>
                </c:pt>
                <c:pt idx="1">
                  <c:v>29.445105408290335</c:v>
                </c:pt>
              </c:numCache>
            </c:numRef>
          </c:val>
          <c:extLst>
            <c:ext xmlns:c16="http://schemas.microsoft.com/office/drawing/2014/chart" uri="{C3380CC4-5D6E-409C-BE32-E72D297353CC}">
              <c16:uniqueId val="{00000007-DD00-4F76-A30B-A99E4E63D0ED}"/>
            </c:ext>
          </c:extLst>
        </c:ser>
        <c:ser>
          <c:idx val="8"/>
          <c:order val="8"/>
          <c:tx>
            <c:strRef>
              <c:f>'Steel Cost Model-China'!$A$131</c:f>
              <c:strCache>
                <c:ptCount val="1"/>
                <c:pt idx="0">
                  <c:v>RE Supply CAPEX</c:v>
                </c:pt>
              </c:strCache>
            </c:strRef>
          </c:tx>
          <c:spPr>
            <a:solidFill>
              <a:schemeClr val="accent6">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Model-China'!$C$131:$D$131</c:f>
              <c:numCache>
                <c:formatCode>_(* #,##0_);_(* \(#,##0\);_(* "-"??_);_(@_)</c:formatCode>
                <c:ptCount val="2"/>
                <c:pt idx="0">
                  <c:v>5.7839212537943139</c:v>
                </c:pt>
                <c:pt idx="1">
                  <c:v>64.037877785510375</c:v>
                </c:pt>
              </c:numCache>
            </c:numRef>
          </c:val>
          <c:extLst>
            <c:ext xmlns:c16="http://schemas.microsoft.com/office/drawing/2014/chart" uri="{C3380CC4-5D6E-409C-BE32-E72D297353CC}">
              <c16:uniqueId val="{00000000-2BE3-49B8-9716-AC981E6234F7}"/>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US"/>
                  <a:t>billion USD</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7379280400130261"/>
          <c:y val="0.37859505557553835"/>
          <c:w val="0.40792895850903055"/>
          <c:h val="0.5711232231975981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mn-lt"/>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r>
              <a:rPr lang="en-US" b="1"/>
              <a:t>Technology Shares in</a:t>
            </a:r>
            <a:r>
              <a:rPr lang="en-US" b="1" baseline="0"/>
              <a:t> China's Iron and Steel Production </a:t>
            </a:r>
            <a:endParaRPr lang="en-US" b="1"/>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title>
    <c:autoTitleDeleted val="0"/>
    <c:plotArea>
      <c:layout/>
      <c:barChart>
        <c:barDir val="col"/>
        <c:grouping val="stacked"/>
        <c:varyColors val="0"/>
        <c:ser>
          <c:idx val="0"/>
          <c:order val="0"/>
          <c:tx>
            <c:strRef>
              <c:f>'Steel Cost Model-China'!$A$19</c:f>
              <c:strCache>
                <c:ptCount val="1"/>
                <c:pt idx="0">
                  <c:v>BF-BOF</c:v>
                </c:pt>
              </c:strCache>
            </c:strRef>
          </c:tx>
          <c:spPr>
            <a:solidFill>
              <a:schemeClr val="tx2">
                <a:lumMod val="75000"/>
                <a:lumOff val="25000"/>
              </a:schemeClr>
            </a:solidFill>
            <a:ln>
              <a:solidFill>
                <a:schemeClr val="tx1"/>
              </a:solidFill>
            </a:ln>
            <a:effectLst/>
          </c:spPr>
          <c:invertIfNegative val="0"/>
          <c:cat>
            <c:numRef>
              <c:f>'Steel Cost Model-China'!$B$18:$D$18</c:f>
              <c:numCache>
                <c:formatCode>General</c:formatCode>
                <c:ptCount val="3"/>
                <c:pt idx="0">
                  <c:v>2022</c:v>
                </c:pt>
                <c:pt idx="1">
                  <c:v>2030</c:v>
                </c:pt>
                <c:pt idx="2">
                  <c:v>2060</c:v>
                </c:pt>
              </c:numCache>
            </c:numRef>
          </c:cat>
          <c:val>
            <c:numRef>
              <c:f>'Steel Cost Model-China'!$B$19:$D$19</c:f>
              <c:numCache>
                <c:formatCode>0%</c:formatCode>
                <c:ptCount val="3"/>
                <c:pt idx="0">
                  <c:v>0.90300000000000002</c:v>
                </c:pt>
                <c:pt idx="1">
                  <c:v>0.76</c:v>
                </c:pt>
                <c:pt idx="2">
                  <c:v>0.01</c:v>
                </c:pt>
              </c:numCache>
            </c:numRef>
          </c:val>
          <c:extLst>
            <c:ext xmlns:c16="http://schemas.microsoft.com/office/drawing/2014/chart" uri="{C3380CC4-5D6E-409C-BE32-E72D297353CC}">
              <c16:uniqueId val="{00000000-7CA3-4577-BD14-21352A493565}"/>
            </c:ext>
          </c:extLst>
        </c:ser>
        <c:ser>
          <c:idx val="1"/>
          <c:order val="1"/>
          <c:tx>
            <c:strRef>
              <c:f>'Steel Cost Model-China'!$A$20</c:f>
              <c:strCache>
                <c:ptCount val="1"/>
                <c:pt idx="0">
                  <c:v>BF-BOF + CCUS</c:v>
                </c:pt>
              </c:strCache>
            </c:strRef>
          </c:tx>
          <c:spPr>
            <a:solidFill>
              <a:schemeClr val="tx1">
                <a:lumMod val="50000"/>
                <a:lumOff val="50000"/>
              </a:schemeClr>
            </a:solidFill>
            <a:ln>
              <a:solidFill>
                <a:schemeClr val="tx1"/>
              </a:solidFill>
            </a:ln>
            <a:effectLst/>
          </c:spPr>
          <c:invertIfNegative val="0"/>
          <c:cat>
            <c:numRef>
              <c:f>'Steel Cost Model-China'!$B$18:$D$18</c:f>
              <c:numCache>
                <c:formatCode>General</c:formatCode>
                <c:ptCount val="3"/>
                <c:pt idx="0">
                  <c:v>2022</c:v>
                </c:pt>
                <c:pt idx="1">
                  <c:v>2030</c:v>
                </c:pt>
                <c:pt idx="2">
                  <c:v>2060</c:v>
                </c:pt>
              </c:numCache>
            </c:numRef>
          </c:cat>
          <c:val>
            <c:numRef>
              <c:f>'Steel Cost Model-China'!$B$20:$D$20</c:f>
              <c:numCache>
                <c:formatCode>0%</c:formatCode>
                <c:ptCount val="3"/>
                <c:pt idx="1">
                  <c:v>0.01</c:v>
                </c:pt>
                <c:pt idx="2">
                  <c:v>0.14000000000000001</c:v>
                </c:pt>
              </c:numCache>
            </c:numRef>
          </c:val>
          <c:extLst>
            <c:ext xmlns:c16="http://schemas.microsoft.com/office/drawing/2014/chart" uri="{C3380CC4-5D6E-409C-BE32-E72D297353CC}">
              <c16:uniqueId val="{00000001-7CA3-4577-BD14-21352A493565}"/>
            </c:ext>
          </c:extLst>
        </c:ser>
        <c:ser>
          <c:idx val="2"/>
          <c:order val="2"/>
          <c:tx>
            <c:strRef>
              <c:f>'Steel Cost Model-China'!$A$21</c:f>
              <c:strCache>
                <c:ptCount val="1"/>
                <c:pt idx="0">
                  <c:v>Scrap-based EAF</c:v>
                </c:pt>
              </c:strCache>
            </c:strRef>
          </c:tx>
          <c:spPr>
            <a:solidFill>
              <a:schemeClr val="tx2">
                <a:lumMod val="50000"/>
                <a:lumOff val="50000"/>
              </a:schemeClr>
            </a:solidFill>
            <a:ln>
              <a:solidFill>
                <a:schemeClr val="tx1"/>
              </a:solidFill>
            </a:ln>
            <a:effectLst/>
          </c:spPr>
          <c:invertIfNegative val="0"/>
          <c:cat>
            <c:numRef>
              <c:f>'Steel Cost Model-China'!$B$18:$D$18</c:f>
              <c:numCache>
                <c:formatCode>General</c:formatCode>
                <c:ptCount val="3"/>
                <c:pt idx="0">
                  <c:v>2022</c:v>
                </c:pt>
                <c:pt idx="1">
                  <c:v>2030</c:v>
                </c:pt>
                <c:pt idx="2">
                  <c:v>2060</c:v>
                </c:pt>
              </c:numCache>
            </c:numRef>
          </c:cat>
          <c:val>
            <c:numRef>
              <c:f>'Steel Cost Model-China'!$B$21:$D$21</c:f>
              <c:numCache>
                <c:formatCode>0%</c:formatCode>
                <c:ptCount val="3"/>
                <c:pt idx="0">
                  <c:v>9.7000000000000003E-2</c:v>
                </c:pt>
                <c:pt idx="1">
                  <c:v>0.2</c:v>
                </c:pt>
                <c:pt idx="2">
                  <c:v>0.6</c:v>
                </c:pt>
              </c:numCache>
            </c:numRef>
          </c:val>
          <c:extLst>
            <c:ext xmlns:c16="http://schemas.microsoft.com/office/drawing/2014/chart" uri="{C3380CC4-5D6E-409C-BE32-E72D297353CC}">
              <c16:uniqueId val="{00000002-7CA3-4577-BD14-21352A493565}"/>
            </c:ext>
          </c:extLst>
        </c:ser>
        <c:ser>
          <c:idx val="3"/>
          <c:order val="3"/>
          <c:tx>
            <c:strRef>
              <c:f>'Steel Cost Model-China'!$A$22</c:f>
              <c:strCache>
                <c:ptCount val="1"/>
                <c:pt idx="0">
                  <c:v>DRI-EAF</c:v>
                </c:pt>
              </c:strCache>
            </c:strRef>
          </c:tx>
          <c:spPr>
            <a:solidFill>
              <a:srgbClr val="D09E00"/>
            </a:solidFill>
            <a:ln>
              <a:solidFill>
                <a:schemeClr val="tx1"/>
              </a:solidFill>
            </a:ln>
            <a:effectLst/>
          </c:spPr>
          <c:invertIfNegative val="0"/>
          <c:cat>
            <c:numRef>
              <c:f>'Steel Cost Model-China'!$B$18:$D$18</c:f>
              <c:numCache>
                <c:formatCode>General</c:formatCode>
                <c:ptCount val="3"/>
                <c:pt idx="0">
                  <c:v>2022</c:v>
                </c:pt>
                <c:pt idx="1">
                  <c:v>2030</c:v>
                </c:pt>
                <c:pt idx="2">
                  <c:v>2060</c:v>
                </c:pt>
              </c:numCache>
            </c:numRef>
          </c:cat>
          <c:val>
            <c:numRef>
              <c:f>'Steel Cost Model-China'!$B$22:$D$22</c:f>
              <c:numCache>
                <c:formatCode>0%</c:formatCode>
                <c:ptCount val="3"/>
                <c:pt idx="1">
                  <c:v>1.6774193548387096E-2</c:v>
                </c:pt>
              </c:numCache>
            </c:numRef>
          </c:val>
          <c:extLst>
            <c:ext xmlns:c16="http://schemas.microsoft.com/office/drawing/2014/chart" uri="{C3380CC4-5D6E-409C-BE32-E72D297353CC}">
              <c16:uniqueId val="{00000003-7CA3-4577-BD14-21352A493565}"/>
            </c:ext>
          </c:extLst>
        </c:ser>
        <c:ser>
          <c:idx val="4"/>
          <c:order val="4"/>
          <c:tx>
            <c:strRef>
              <c:f>'Steel Cost Model-China'!$A$23</c:f>
              <c:strCache>
                <c:ptCount val="1"/>
                <c:pt idx="0">
                  <c:v>H2-DRI-EAF</c:v>
                </c:pt>
              </c:strCache>
            </c:strRef>
          </c:tx>
          <c:spPr>
            <a:solidFill>
              <a:schemeClr val="accent6"/>
            </a:solidFill>
            <a:ln>
              <a:solidFill>
                <a:schemeClr val="tx1"/>
              </a:solidFill>
            </a:ln>
            <a:effectLst/>
          </c:spPr>
          <c:invertIfNegative val="0"/>
          <c:cat>
            <c:numRef>
              <c:f>'Steel Cost Model-China'!$B$18:$D$18</c:f>
              <c:numCache>
                <c:formatCode>General</c:formatCode>
                <c:ptCount val="3"/>
                <c:pt idx="0">
                  <c:v>2022</c:v>
                </c:pt>
                <c:pt idx="1">
                  <c:v>2030</c:v>
                </c:pt>
                <c:pt idx="2">
                  <c:v>2060</c:v>
                </c:pt>
              </c:numCache>
            </c:numRef>
          </c:cat>
          <c:val>
            <c:numRef>
              <c:f>'Steel Cost Model-China'!$B$23:$D$23</c:f>
              <c:numCache>
                <c:formatCode>0%</c:formatCode>
                <c:ptCount val="3"/>
                <c:pt idx="1">
                  <c:v>1.032258064516129E-2</c:v>
                </c:pt>
                <c:pt idx="2">
                  <c:v>0.13400000000000001</c:v>
                </c:pt>
              </c:numCache>
            </c:numRef>
          </c:val>
          <c:extLst>
            <c:ext xmlns:c16="http://schemas.microsoft.com/office/drawing/2014/chart" uri="{C3380CC4-5D6E-409C-BE32-E72D297353CC}">
              <c16:uniqueId val="{00000004-7CA3-4577-BD14-21352A493565}"/>
            </c:ext>
          </c:extLst>
        </c:ser>
        <c:ser>
          <c:idx val="5"/>
          <c:order val="5"/>
          <c:tx>
            <c:strRef>
              <c:f>'Steel Cost Model-China'!$A$24</c:f>
              <c:strCache>
                <c:ptCount val="1"/>
                <c:pt idx="0">
                  <c:v>DRI-EAF + CCUS</c:v>
                </c:pt>
              </c:strCache>
            </c:strRef>
          </c:tx>
          <c:spPr>
            <a:solidFill>
              <a:schemeClr val="bg2">
                <a:lumMod val="90000"/>
              </a:schemeClr>
            </a:solidFill>
            <a:ln>
              <a:solidFill>
                <a:schemeClr val="tx1"/>
              </a:solidFill>
            </a:ln>
            <a:effectLst/>
          </c:spPr>
          <c:invertIfNegative val="0"/>
          <c:cat>
            <c:numRef>
              <c:f>'Steel Cost Model-China'!$B$18:$D$18</c:f>
              <c:numCache>
                <c:formatCode>General</c:formatCode>
                <c:ptCount val="3"/>
                <c:pt idx="0">
                  <c:v>2022</c:v>
                </c:pt>
                <c:pt idx="1">
                  <c:v>2030</c:v>
                </c:pt>
                <c:pt idx="2">
                  <c:v>2060</c:v>
                </c:pt>
              </c:numCache>
            </c:numRef>
          </c:cat>
          <c:val>
            <c:numRef>
              <c:f>'Steel Cost Model-China'!$B$24:$D$24</c:f>
              <c:numCache>
                <c:formatCode>0%</c:formatCode>
                <c:ptCount val="3"/>
                <c:pt idx="2">
                  <c:v>0.114</c:v>
                </c:pt>
              </c:numCache>
            </c:numRef>
          </c:val>
          <c:extLst>
            <c:ext xmlns:c16="http://schemas.microsoft.com/office/drawing/2014/chart" uri="{C3380CC4-5D6E-409C-BE32-E72D297353CC}">
              <c16:uniqueId val="{00000005-7CA3-4577-BD14-21352A493565}"/>
            </c:ext>
          </c:extLst>
        </c:ser>
        <c:dLbls>
          <c:showLegendKey val="0"/>
          <c:showVal val="0"/>
          <c:showCatName val="0"/>
          <c:showSerName val="0"/>
          <c:showPercent val="0"/>
          <c:showBubbleSize val="0"/>
        </c:dLbls>
        <c:gapWidth val="55"/>
        <c:overlap val="100"/>
        <c:axId val="110044047"/>
        <c:axId val="772472319"/>
      </c:barChart>
      <c:catAx>
        <c:axId val="110044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772472319"/>
        <c:crosses val="autoZero"/>
        <c:auto val="1"/>
        <c:lblAlgn val="ctr"/>
        <c:lblOffset val="100"/>
        <c:noMultiLvlLbl val="0"/>
      </c:catAx>
      <c:valAx>
        <c:axId val="77247231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1100440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Cumulative Investment (CAPEX) Needs for </a:t>
            </a:r>
          </a:p>
          <a:p>
            <a:pPr>
              <a:defRPr/>
            </a:pPr>
            <a:r>
              <a:rPr lang="en-US"/>
              <a:t>China's Iron and Steel Industry to Achieve Net-Zero</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25905125281925"/>
          <c:y val="0.15082670732158562"/>
          <c:w val="0.45607545729737387"/>
          <c:h val="0.78364330983546004"/>
        </c:manualLayout>
      </c:layout>
      <c:barChart>
        <c:barDir val="col"/>
        <c:grouping val="stacked"/>
        <c:varyColors val="0"/>
        <c:ser>
          <c:idx val="0"/>
          <c:order val="0"/>
          <c:tx>
            <c:strRef>
              <c:f>'Steel Cost Model-China'!$A$121:$B$121</c:f>
              <c:strCache>
                <c:ptCount val="2"/>
                <c:pt idx="0">
                  <c:v>Energy Efficiency: BF-BOF </c:v>
                </c:pt>
              </c:strCache>
            </c:strRef>
          </c:tx>
          <c:spPr>
            <a:solidFill>
              <a:srgbClr val="215F9A"/>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Model-China'!$C$121:$D$121</c:f>
              <c:numCache>
                <c:formatCode>_(* #,##0_);_(* \(#,##0\);_(* "-"??_);_(@_)</c:formatCode>
                <c:ptCount val="2"/>
                <c:pt idx="0">
                  <c:v>30.081799307958477</c:v>
                </c:pt>
                <c:pt idx="1">
                  <c:v>32.456678200692039</c:v>
                </c:pt>
              </c:numCache>
            </c:numRef>
          </c:val>
          <c:extLst>
            <c:ext xmlns:c16="http://schemas.microsoft.com/office/drawing/2014/chart" uri="{C3380CC4-5D6E-409C-BE32-E72D297353CC}">
              <c16:uniqueId val="{00000000-AAD9-499F-9C18-FAE00F13604E}"/>
            </c:ext>
          </c:extLst>
        </c:ser>
        <c:ser>
          <c:idx val="5"/>
          <c:order val="1"/>
          <c:tx>
            <c:strRef>
              <c:f>'Steel Cost Model-China'!$A$125:$B$125</c:f>
              <c:strCache>
                <c:ptCount val="2"/>
                <c:pt idx="0">
                  <c:v>Scrap-based EAF (brownfield)</c:v>
                </c:pt>
              </c:strCache>
            </c:strRef>
          </c:tx>
          <c:spPr>
            <a:solidFill>
              <a:schemeClr val="tx2">
                <a:lumMod val="50000"/>
                <a:lumOff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Model-China'!$C$125:$D$125</c:f>
              <c:numCache>
                <c:formatCode>_(* #,##0_);_(* \(#,##0\);_(* "-"??_);_(@_)</c:formatCode>
                <c:ptCount val="2"/>
                <c:pt idx="0">
                  <c:v>7.9709709093425616</c:v>
                </c:pt>
                <c:pt idx="1">
                  <c:v>41.952977829757785</c:v>
                </c:pt>
              </c:numCache>
            </c:numRef>
          </c:val>
          <c:extLst>
            <c:ext xmlns:c16="http://schemas.microsoft.com/office/drawing/2014/chart" uri="{C3380CC4-5D6E-409C-BE32-E72D297353CC}">
              <c16:uniqueId val="{00000001-AAD9-499F-9C18-FAE00F13604E}"/>
            </c:ext>
          </c:extLst>
        </c:ser>
        <c:ser>
          <c:idx val="6"/>
          <c:order val="2"/>
          <c:tx>
            <c:strRef>
              <c:f>'Steel Cost Model-China'!$A$124:$B$124</c:f>
              <c:strCache>
                <c:ptCount val="2"/>
                <c:pt idx="0">
                  <c:v>Scrap-based EAF (greenfield)</c:v>
                </c:pt>
              </c:strCache>
            </c:strRef>
          </c:tx>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Model-China'!$C$124:$D$124</c:f>
              <c:numCache>
                <c:formatCode>_(* #,##0_);_(* \(#,##0\);_(* "-"??_);_(@_)</c:formatCode>
                <c:ptCount val="2"/>
                <c:pt idx="0">
                  <c:v>13.345337658823532</c:v>
                </c:pt>
                <c:pt idx="1">
                  <c:v>70.239455305882345</c:v>
                </c:pt>
              </c:numCache>
            </c:numRef>
          </c:val>
          <c:extLst>
            <c:ext xmlns:c16="http://schemas.microsoft.com/office/drawing/2014/chart" uri="{C3380CC4-5D6E-409C-BE32-E72D297353CC}">
              <c16:uniqueId val="{00000002-AAD9-499F-9C18-FAE00F13604E}"/>
            </c:ext>
          </c:extLst>
        </c:ser>
        <c:ser>
          <c:idx val="2"/>
          <c:order val="3"/>
          <c:tx>
            <c:strRef>
              <c:f>'Steel Cost Model-China'!$A$127:$B$127</c:f>
              <c:strCache>
                <c:ptCount val="2"/>
                <c:pt idx="0">
                  <c:v>Green H2: H2-DRI-EAF</c:v>
                </c:pt>
              </c:strCache>
            </c:strRef>
          </c:tx>
          <c:spPr>
            <a:solidFill>
              <a:schemeClr val="accent6">
                <a:lumMod val="7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Model-China'!$C$127:$D$127</c:f>
              <c:numCache>
                <c:formatCode>_(* #,##0_);_(* \(#,##0\);_(* "-"??_);_(@_)</c:formatCode>
                <c:ptCount val="2"/>
                <c:pt idx="0">
                  <c:v>6.2881660899653982</c:v>
                </c:pt>
                <c:pt idx="1">
                  <c:v>81.628256055363323</c:v>
                </c:pt>
              </c:numCache>
            </c:numRef>
          </c:val>
          <c:extLst>
            <c:ext xmlns:c16="http://schemas.microsoft.com/office/drawing/2014/chart" uri="{C3380CC4-5D6E-409C-BE32-E72D297353CC}">
              <c16:uniqueId val="{00000003-AAD9-499F-9C18-FAE00F13604E}"/>
            </c:ext>
          </c:extLst>
        </c:ser>
        <c:ser>
          <c:idx val="1"/>
          <c:order val="4"/>
          <c:tx>
            <c:strRef>
              <c:f>'Steel Cost Model-China'!$A$126:$B$126</c:f>
              <c:strCache>
                <c:ptCount val="2"/>
                <c:pt idx="0">
                  <c:v>Fuel Switching: DRI-EAF</c:v>
                </c:pt>
              </c:strCache>
            </c:strRef>
          </c:tx>
          <c:spPr>
            <a:solidFill>
              <a:srgbClr val="D09E00"/>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AAD9-499F-9C18-FAE00F13604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Model-China'!$C$126:$D$126</c:f>
              <c:numCache>
                <c:formatCode>_(* #,##0_);_(* \(#,##0\);_(* "-"??_);_(@_)</c:formatCode>
                <c:ptCount val="2"/>
                <c:pt idx="0">
                  <c:v>10.218269896193771</c:v>
                </c:pt>
                <c:pt idx="1">
                  <c:v>0</c:v>
                </c:pt>
              </c:numCache>
            </c:numRef>
          </c:val>
          <c:extLst>
            <c:ext xmlns:c16="http://schemas.microsoft.com/office/drawing/2014/chart" uri="{C3380CC4-5D6E-409C-BE32-E72D297353CC}">
              <c16:uniqueId val="{00000004-AAD9-499F-9C18-FAE00F13604E}"/>
            </c:ext>
          </c:extLst>
        </c:ser>
        <c:ser>
          <c:idx val="4"/>
          <c:order val="5"/>
          <c:tx>
            <c:strRef>
              <c:f>'Steel Cost Model-China'!$A$122:$B$122</c:f>
              <c:strCache>
                <c:ptCount val="2"/>
                <c:pt idx="0">
                  <c:v>BF-BOF + CCUS </c:v>
                </c:pt>
              </c:strCache>
            </c:strRef>
          </c:tx>
          <c:spPr>
            <a:solidFill>
              <a:schemeClr val="bg1">
                <a:lumMod val="6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Model-China'!$C$122:$D$122</c:f>
              <c:numCache>
                <c:formatCode>_(* #,##0_);_(* \(#,##0\);_(* "-"??_);_(@_)</c:formatCode>
                <c:ptCount val="2"/>
                <c:pt idx="0">
                  <c:v>4.8527335640138416</c:v>
                </c:pt>
                <c:pt idx="1">
                  <c:v>67.938269896193788</c:v>
                </c:pt>
              </c:numCache>
            </c:numRef>
          </c:val>
          <c:extLst>
            <c:ext xmlns:c16="http://schemas.microsoft.com/office/drawing/2014/chart" uri="{C3380CC4-5D6E-409C-BE32-E72D297353CC}">
              <c16:uniqueId val="{00000005-AAD9-499F-9C18-FAE00F13604E}"/>
            </c:ext>
          </c:extLst>
        </c:ser>
        <c:ser>
          <c:idx val="3"/>
          <c:order val="6"/>
          <c:tx>
            <c:strRef>
              <c:f>'Steel Cost Model-China'!$A$123:$B$123</c:f>
              <c:strCache>
                <c:ptCount val="2"/>
                <c:pt idx="0">
                  <c:v>DRI-EAF + CCUS </c:v>
                </c:pt>
              </c:strCache>
            </c:strRef>
          </c:tx>
          <c:spPr>
            <a:solidFill>
              <a:schemeClr val="tx1">
                <a:lumMod val="50000"/>
                <a:lumOff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Model-China'!$C$123:$D$123</c:f>
              <c:numCache>
                <c:formatCode>_(* #,##0_);_(* \(#,##0\);_(* "-"??_);_(@_)</c:formatCode>
                <c:ptCount val="2"/>
                <c:pt idx="0">
                  <c:v>0</c:v>
                </c:pt>
                <c:pt idx="1">
                  <c:v>18.9588705882353</c:v>
                </c:pt>
              </c:numCache>
            </c:numRef>
          </c:val>
          <c:extLst>
            <c:ext xmlns:c16="http://schemas.microsoft.com/office/drawing/2014/chart" uri="{C3380CC4-5D6E-409C-BE32-E72D297353CC}">
              <c16:uniqueId val="{00000006-AAD9-499F-9C18-FAE00F13604E}"/>
            </c:ext>
          </c:extLst>
        </c:ser>
        <c:ser>
          <c:idx val="7"/>
          <c:order val="7"/>
          <c:tx>
            <c:strRef>
              <c:f>'Steel Cost Model-China'!$A$129:$B$129</c:f>
              <c:strCache>
                <c:ptCount val="2"/>
                <c:pt idx="0">
                  <c:v>Electrolyzer CAPEX </c:v>
                </c:pt>
              </c:strCache>
            </c:strRef>
          </c:tx>
          <c:spPr>
            <a:solidFill>
              <a:schemeClr val="accent6">
                <a:lumMod val="60000"/>
                <a:lumOff val="40000"/>
              </a:schemeClr>
            </a:solidFill>
            <a:ln>
              <a:solidFill>
                <a:schemeClr val="tx1"/>
              </a:solidFill>
            </a:ln>
            <a:effectLst/>
          </c:spPr>
          <c:invertIfNegative val="0"/>
          <c:dLbls>
            <c:dLbl>
              <c:idx val="0"/>
              <c:layout>
                <c:manualLayout>
                  <c:x val="1.9427683888637047E-2"/>
                  <c:y val="-8.22641149022852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D9-499F-9C18-FAE00F13604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Model-China'!$C$120:$D$120</c:f>
              <c:numCache>
                <c:formatCode>General</c:formatCode>
                <c:ptCount val="2"/>
                <c:pt idx="0">
                  <c:v>2030</c:v>
                </c:pt>
                <c:pt idx="1">
                  <c:v>2060</c:v>
                </c:pt>
              </c:numCache>
            </c:numRef>
          </c:cat>
          <c:val>
            <c:numRef>
              <c:f>'Steel Cost Model-China'!$C$129:$D$129</c:f>
              <c:numCache>
                <c:formatCode>_(* #,##0_);_(* \(#,##0\);_(* "-"??_);_(@_)</c:formatCode>
                <c:ptCount val="2"/>
                <c:pt idx="0">
                  <c:v>4.5365593310798795</c:v>
                </c:pt>
                <c:pt idx="1">
                  <c:v>29.445105408290335</c:v>
                </c:pt>
              </c:numCache>
            </c:numRef>
          </c:val>
          <c:extLst>
            <c:ext xmlns:c16="http://schemas.microsoft.com/office/drawing/2014/chart" uri="{C3380CC4-5D6E-409C-BE32-E72D297353CC}">
              <c16:uniqueId val="{00000008-AAD9-499F-9C18-FAE00F13604E}"/>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US"/>
                  <a:t>billion USD</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7379280400130261"/>
          <c:y val="0.37859505557553835"/>
          <c:w val="0.40792895850903055"/>
          <c:h val="0.5711232231975981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mn-lt"/>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Cumulative Investment (CAPEX) Needs for </a:t>
            </a:r>
          </a:p>
          <a:p>
            <a:pPr>
              <a:defRPr/>
            </a:pPr>
            <a:r>
              <a:rPr lang="en-US"/>
              <a:t>Indonesia's Iron and Steel Industry to Achieve Net-Zero</a:t>
            </a:r>
          </a:p>
          <a:p>
            <a:pPr>
              <a:defRPr/>
            </a:pPr>
            <a:r>
              <a:rPr lang="en-US"/>
              <a:t>(including RE Expansion)</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25905125281925"/>
          <c:y val="0.15082670732158562"/>
          <c:w val="0.42568303551176889"/>
          <c:h val="0.78364330983546004"/>
        </c:manualLayout>
      </c:layout>
      <c:barChart>
        <c:barDir val="col"/>
        <c:grouping val="stacked"/>
        <c:varyColors val="0"/>
        <c:ser>
          <c:idx val="0"/>
          <c:order val="0"/>
          <c:tx>
            <c:strRef>
              <c:f>'Steel Cost Model-Indonesia'!$A$123:$B$123</c:f>
              <c:strCache>
                <c:ptCount val="2"/>
                <c:pt idx="0">
                  <c:v>Energy Efficiency: BF-BOF </c:v>
                </c:pt>
              </c:strCache>
            </c:strRef>
          </c:tx>
          <c:spPr>
            <a:solidFill>
              <a:srgbClr val="215F9A"/>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Model-Indonesia'!$C$123:$D$123</c:f>
              <c:numCache>
                <c:formatCode>_(* #,##0_);_(* \(#,##0\);_(* "-"??_);_(@_)</c:formatCode>
                <c:ptCount val="2"/>
                <c:pt idx="0">
                  <c:v>1.8696000000000002</c:v>
                </c:pt>
                <c:pt idx="1">
                  <c:v>3.7392000000000003</c:v>
                </c:pt>
              </c:numCache>
            </c:numRef>
          </c:val>
          <c:extLst>
            <c:ext xmlns:c16="http://schemas.microsoft.com/office/drawing/2014/chart" uri="{C3380CC4-5D6E-409C-BE32-E72D297353CC}">
              <c16:uniqueId val="{00000000-850E-43C6-B61F-CFE05027113E}"/>
            </c:ext>
          </c:extLst>
        </c:ser>
        <c:ser>
          <c:idx val="5"/>
          <c:order val="1"/>
          <c:tx>
            <c:strRef>
              <c:f>'Steel Cost Model-Indonesia'!$A$127:$B$127</c:f>
              <c:strCache>
                <c:ptCount val="2"/>
                <c:pt idx="0">
                  <c:v>Direct Electrification: Scrap-based EAF (brownfield)</c:v>
                </c:pt>
              </c:strCache>
            </c:strRef>
          </c:tx>
          <c:spPr>
            <a:solidFill>
              <a:schemeClr val="tx2">
                <a:lumMod val="50000"/>
                <a:lumOff val="5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Model-Indonesia'!$C$127:$D$127</c:f>
              <c:numCache>
                <c:formatCode>_(* #,##0_);_(* \(#,##0\);_(* "-"??_);_(@_)</c:formatCode>
                <c:ptCount val="2"/>
                <c:pt idx="0">
                  <c:v>3.9744805497845204</c:v>
                </c:pt>
                <c:pt idx="1">
                  <c:v>4.3980162791793846</c:v>
                </c:pt>
              </c:numCache>
            </c:numRef>
          </c:val>
          <c:extLst>
            <c:ext xmlns:c16="http://schemas.microsoft.com/office/drawing/2014/chart" uri="{C3380CC4-5D6E-409C-BE32-E72D297353CC}">
              <c16:uniqueId val="{00000001-850E-43C6-B61F-CFE05027113E}"/>
            </c:ext>
          </c:extLst>
        </c:ser>
        <c:ser>
          <c:idx val="6"/>
          <c:order val="2"/>
          <c:tx>
            <c:strRef>
              <c:f>'Steel Cost Model-Indonesia'!$A$126:$B$126</c:f>
              <c:strCache>
                <c:ptCount val="2"/>
                <c:pt idx="0">
                  <c:v>Direct Electrification: Scrap-based EAF (greenfield)</c:v>
                </c:pt>
              </c:strCache>
            </c:strRef>
          </c:tx>
          <c:spPr>
            <a:solidFill>
              <a:schemeClr val="accent1">
                <a:lumMod val="20000"/>
                <a:lumOff val="8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Model-Indonesia'!$C$126:$D$126</c:f>
              <c:numCache>
                <c:formatCode>_(* #,##0_);_(* \(#,##0\);_(* "-"??_);_(@_)</c:formatCode>
                <c:ptCount val="2"/>
                <c:pt idx="0">
                  <c:v>6.6542439507755997</c:v>
                </c:pt>
                <c:pt idx="1">
                  <c:v>7.5406208086947757</c:v>
                </c:pt>
              </c:numCache>
            </c:numRef>
          </c:val>
          <c:extLst>
            <c:ext xmlns:c16="http://schemas.microsoft.com/office/drawing/2014/chart" uri="{C3380CC4-5D6E-409C-BE32-E72D297353CC}">
              <c16:uniqueId val="{00000002-850E-43C6-B61F-CFE05027113E}"/>
            </c:ext>
          </c:extLst>
        </c:ser>
        <c:ser>
          <c:idx val="2"/>
          <c:order val="3"/>
          <c:tx>
            <c:strRef>
              <c:f>'Steel Cost Model-Indonesia'!$A$129:$B$129</c:f>
              <c:strCache>
                <c:ptCount val="2"/>
                <c:pt idx="0">
                  <c:v>Green H2: H2-DRI-EAF</c:v>
                </c:pt>
              </c:strCache>
            </c:strRef>
          </c:tx>
          <c:spPr>
            <a:solidFill>
              <a:schemeClr val="accent6">
                <a:lumMod val="75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Model-Indonesia'!$C$129:$D$129</c:f>
              <c:numCache>
                <c:formatCode>_(* #,##0_);_(* \(#,##0\);_(* "-"??_);_(@_)</c:formatCode>
                <c:ptCount val="2"/>
                <c:pt idx="0">
                  <c:v>3.5455074316767066</c:v>
                </c:pt>
                <c:pt idx="1">
                  <c:v>11.345623781365459</c:v>
                </c:pt>
              </c:numCache>
            </c:numRef>
          </c:val>
          <c:extLst>
            <c:ext xmlns:c16="http://schemas.microsoft.com/office/drawing/2014/chart" uri="{C3380CC4-5D6E-409C-BE32-E72D297353CC}">
              <c16:uniqueId val="{00000003-850E-43C6-B61F-CFE05027113E}"/>
            </c:ext>
          </c:extLst>
        </c:ser>
        <c:ser>
          <c:idx val="4"/>
          <c:order val="5"/>
          <c:tx>
            <c:strRef>
              <c:f>'Steel Cost Model-Indonesia'!$A$124:$B$124</c:f>
              <c:strCache>
                <c:ptCount val="2"/>
                <c:pt idx="0">
                  <c:v>Fossil CCS: BF-BOF + CCUS </c:v>
                </c:pt>
              </c:strCache>
            </c:strRef>
          </c:tx>
          <c:spPr>
            <a:solidFill>
              <a:schemeClr val="accent2">
                <a:lumMod val="40000"/>
                <a:lumOff val="6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Model-Indonesia'!$C$124:$D$124</c:f>
              <c:numCache>
                <c:formatCode>_(* #,##0_);_(* \(#,##0\);_(* "-"??_);_(@_)</c:formatCode>
                <c:ptCount val="2"/>
                <c:pt idx="0">
                  <c:v>2.419287423967635</c:v>
                </c:pt>
                <c:pt idx="1">
                  <c:v>2.419287423967635</c:v>
                </c:pt>
              </c:numCache>
            </c:numRef>
          </c:val>
          <c:extLst>
            <c:ext xmlns:c16="http://schemas.microsoft.com/office/drawing/2014/chart" uri="{C3380CC4-5D6E-409C-BE32-E72D297353CC}">
              <c16:uniqueId val="{00000005-850E-43C6-B61F-CFE05027113E}"/>
            </c:ext>
          </c:extLst>
        </c:ser>
        <c:ser>
          <c:idx val="3"/>
          <c:order val="6"/>
          <c:tx>
            <c:strRef>
              <c:f>'Steel Cost Model-Indonesia'!$A$125:$B$125</c:f>
              <c:strCache>
                <c:ptCount val="2"/>
                <c:pt idx="0">
                  <c:v>Fossil CCS: NG-DRI-EAF + CCUS </c:v>
                </c:pt>
              </c:strCache>
            </c:strRef>
          </c:tx>
          <c:spPr>
            <a:solidFill>
              <a:schemeClr val="tx1">
                <a:lumMod val="50000"/>
                <a:lumOff val="5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Model-Indonesia'!$C$125:$D$125</c:f>
              <c:numCache>
                <c:formatCode>_(* #,##0_);_(* \(#,##0\);_(* "-"??_);_(@_)</c:formatCode>
                <c:ptCount val="2"/>
                <c:pt idx="0">
                  <c:v>0</c:v>
                </c:pt>
                <c:pt idx="1">
                  <c:v>1.9508312384248299</c:v>
                </c:pt>
              </c:numCache>
            </c:numRef>
          </c:val>
          <c:extLst>
            <c:ext xmlns:c16="http://schemas.microsoft.com/office/drawing/2014/chart" uri="{C3380CC4-5D6E-409C-BE32-E72D297353CC}">
              <c16:uniqueId val="{00000006-850E-43C6-B61F-CFE05027113E}"/>
            </c:ext>
          </c:extLst>
        </c:ser>
        <c:ser>
          <c:idx val="7"/>
          <c:order val="7"/>
          <c:tx>
            <c:strRef>
              <c:f>'Steel Cost Model-Indonesia'!$A$131:$B$131</c:f>
              <c:strCache>
                <c:ptCount val="2"/>
                <c:pt idx="0">
                  <c:v>Electrolyzer CAPEX (renewables)</c:v>
                </c:pt>
              </c:strCache>
            </c:strRef>
          </c:tx>
          <c:spPr>
            <a:solidFill>
              <a:schemeClr val="accent6">
                <a:lumMod val="60000"/>
                <a:lumOff val="4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Model-Indonesia'!$C$131:$D$131</c:f>
              <c:numCache>
                <c:formatCode>_(* #,##0_);_(* \(#,##0\);_(* "-"??_);_(@_)</c:formatCode>
                <c:ptCount val="2"/>
                <c:pt idx="0">
                  <c:v>1.4010171621483292</c:v>
                </c:pt>
                <c:pt idx="1">
                  <c:v>3.0261970702403915</c:v>
                </c:pt>
              </c:numCache>
            </c:numRef>
          </c:val>
          <c:extLst>
            <c:ext xmlns:c16="http://schemas.microsoft.com/office/drawing/2014/chart" uri="{C3380CC4-5D6E-409C-BE32-E72D297353CC}">
              <c16:uniqueId val="{00000007-850E-43C6-B61F-CFE05027113E}"/>
            </c:ext>
          </c:extLst>
        </c:ser>
        <c:ser>
          <c:idx val="8"/>
          <c:order val="8"/>
          <c:tx>
            <c:strRef>
              <c:f>'Steel Cost Model-Indonesia'!$A$133</c:f>
              <c:strCache>
                <c:ptCount val="1"/>
                <c:pt idx="0">
                  <c:v>RE Supply CAPEX (renewables)</c:v>
                </c:pt>
              </c:strCache>
            </c:strRef>
          </c:tx>
          <c:spPr>
            <a:solidFill>
              <a:schemeClr val="accent6">
                <a:lumMod val="20000"/>
                <a:lumOff val="8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Model-Indonesia'!$C$133:$D$133</c:f>
              <c:numCache>
                <c:formatCode>_(* #,##0_);_(* \(#,##0\);_(* "-"??_);_(@_)</c:formatCode>
                <c:ptCount val="2"/>
                <c:pt idx="0">
                  <c:v>5.0957111485642708</c:v>
                </c:pt>
                <c:pt idx="1">
                  <c:v>15.938077665606418</c:v>
                </c:pt>
              </c:numCache>
            </c:numRef>
          </c:val>
          <c:extLst>
            <c:ext xmlns:c16="http://schemas.microsoft.com/office/drawing/2014/chart" uri="{C3380CC4-5D6E-409C-BE32-E72D297353CC}">
              <c16:uniqueId val="{00000001-7481-4A31-993F-8AD7A55FFE21}"/>
            </c:ext>
          </c:extLst>
        </c:ser>
        <c:dLbls>
          <c:showLegendKey val="0"/>
          <c:showVal val="0"/>
          <c:showCatName val="0"/>
          <c:showSerName val="0"/>
          <c:showPercent val="0"/>
          <c:showBubbleSize val="0"/>
        </c:dLbls>
        <c:gapWidth val="55"/>
        <c:overlap val="100"/>
        <c:axId val="695306704"/>
        <c:axId val="722281296"/>
        <c:extLst>
          <c:ext xmlns:c15="http://schemas.microsoft.com/office/drawing/2012/chart" uri="{02D57815-91ED-43cb-92C2-25804820EDAC}">
            <c15:filteredBarSeries>
              <c15:ser>
                <c:idx val="1"/>
                <c:order val="4"/>
                <c:tx>
                  <c:strRef>
                    <c:extLst>
                      <c:ext uri="{02D57815-91ED-43cb-92C2-25804820EDAC}">
                        <c15:formulaRef>
                          <c15:sqref>'Steel Cost Model-Indonesia'!$A$128:$B$128</c15:sqref>
                        </c15:formulaRef>
                      </c:ext>
                    </c:extLst>
                    <c:strCache>
                      <c:ptCount val="2"/>
                      <c:pt idx="0">
                        <c:v>Fuel Switching: DRI-EAF</c:v>
                      </c:pt>
                    </c:strCache>
                  </c:strRef>
                </c:tx>
                <c:spPr>
                  <a:solidFill>
                    <a:srgbClr val="D09E00"/>
                  </a:solidFill>
                  <a:ln>
                    <a:solidFill>
                      <a:schemeClr val="tx1"/>
                    </a:solidFill>
                  </a:ln>
                  <a:effectLst/>
                </c:spPr>
                <c:invertIfNegative val="0"/>
                <c:cat>
                  <c:numRef>
                    <c:extLst>
                      <c:ext uri="{02D57815-91ED-43cb-92C2-25804820EDAC}">
                        <c15:formulaRef>
                          <c15:sqref>'Steel Cost Model-Indonesia'!$C$122:$D$122</c15:sqref>
                        </c15:formulaRef>
                      </c:ext>
                    </c:extLst>
                    <c:numCache>
                      <c:formatCode>General</c:formatCode>
                      <c:ptCount val="2"/>
                      <c:pt idx="0">
                        <c:v>2030</c:v>
                      </c:pt>
                      <c:pt idx="1">
                        <c:v>2060</c:v>
                      </c:pt>
                    </c:numCache>
                  </c:numRef>
                </c:cat>
                <c:val>
                  <c:numRef>
                    <c:extLst>
                      <c:ext uri="{02D57815-91ED-43cb-92C2-25804820EDAC}">
                        <c15:formulaRef>
                          <c15:sqref>'Steel Cost Model-Indonesia'!$C$128:$D$128</c15:sqref>
                        </c15:formulaRef>
                      </c:ext>
                    </c:extLst>
                    <c:numCache>
                      <c:formatCode>_(* #,##0_);_(* \(#,##0\);_(* "-"??_);_(@_)</c:formatCode>
                      <c:ptCount val="2"/>
                      <c:pt idx="0">
                        <c:v>0</c:v>
                      </c:pt>
                      <c:pt idx="1">
                        <c:v>0</c:v>
                      </c:pt>
                    </c:numCache>
                  </c:numRef>
                </c:val>
                <c:extLst>
                  <c:ext xmlns:c16="http://schemas.microsoft.com/office/drawing/2014/chart" uri="{C3380CC4-5D6E-409C-BE32-E72D297353CC}">
                    <c16:uniqueId val="{00000004-850E-43C6-B61F-CFE05027113E}"/>
                  </c:ext>
                </c:extLst>
              </c15:ser>
            </c15:filteredBarSeries>
          </c:ext>
        </c:extLst>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US"/>
                  <a:t>billion USD</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7379283456572516"/>
          <c:y val="0.23277465412228268"/>
          <c:w val="0.38496026616595624"/>
          <c:h val="0.68966306172001157"/>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mn-lt"/>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Cumulative Investment (CAPEX) Needs for </a:t>
            </a:r>
          </a:p>
          <a:p>
            <a:pPr>
              <a:defRPr/>
            </a:pPr>
            <a:r>
              <a:rPr lang="en-US"/>
              <a:t>Indonesia's Iron and Steel Industry to Achieve Net-Zero</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25905125281925"/>
          <c:y val="0.15082670732158562"/>
          <c:w val="0.42568303551176889"/>
          <c:h val="0.78364330983546004"/>
        </c:manualLayout>
      </c:layout>
      <c:barChart>
        <c:barDir val="col"/>
        <c:grouping val="stacked"/>
        <c:varyColors val="0"/>
        <c:ser>
          <c:idx val="0"/>
          <c:order val="0"/>
          <c:tx>
            <c:strRef>
              <c:f>'Steel Cost Model-Indonesia'!$A$123:$B$123</c:f>
              <c:strCache>
                <c:ptCount val="2"/>
                <c:pt idx="0">
                  <c:v>Energy Efficiency: BF-BOF </c:v>
                </c:pt>
              </c:strCache>
            </c:strRef>
          </c:tx>
          <c:spPr>
            <a:solidFill>
              <a:srgbClr val="215F9A"/>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Model-Indonesia'!$C$123:$D$123</c:f>
              <c:numCache>
                <c:formatCode>_(* #,##0_);_(* \(#,##0\);_(* "-"??_);_(@_)</c:formatCode>
                <c:ptCount val="2"/>
                <c:pt idx="0">
                  <c:v>1.8696000000000002</c:v>
                </c:pt>
                <c:pt idx="1">
                  <c:v>3.7392000000000003</c:v>
                </c:pt>
              </c:numCache>
            </c:numRef>
          </c:val>
          <c:extLst>
            <c:ext xmlns:c16="http://schemas.microsoft.com/office/drawing/2014/chart" uri="{C3380CC4-5D6E-409C-BE32-E72D297353CC}">
              <c16:uniqueId val="{00000000-29E6-423F-B8CB-E1D7EC3BA8AE}"/>
            </c:ext>
          </c:extLst>
        </c:ser>
        <c:ser>
          <c:idx val="5"/>
          <c:order val="1"/>
          <c:tx>
            <c:strRef>
              <c:f>'Steel Cost Model-Indonesia'!$A$127:$B$127</c:f>
              <c:strCache>
                <c:ptCount val="2"/>
                <c:pt idx="0">
                  <c:v>Direct Electrification: Scrap-based EAF (brownfield)</c:v>
                </c:pt>
              </c:strCache>
            </c:strRef>
          </c:tx>
          <c:spPr>
            <a:solidFill>
              <a:schemeClr val="tx2">
                <a:lumMod val="50000"/>
                <a:lumOff val="5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Model-Indonesia'!$C$127:$D$127</c:f>
              <c:numCache>
                <c:formatCode>_(* #,##0_);_(* \(#,##0\);_(* "-"??_);_(@_)</c:formatCode>
                <c:ptCount val="2"/>
                <c:pt idx="0">
                  <c:v>3.9744805497845204</c:v>
                </c:pt>
                <c:pt idx="1">
                  <c:v>4.3980162791793846</c:v>
                </c:pt>
              </c:numCache>
            </c:numRef>
          </c:val>
          <c:extLst>
            <c:ext xmlns:c16="http://schemas.microsoft.com/office/drawing/2014/chart" uri="{C3380CC4-5D6E-409C-BE32-E72D297353CC}">
              <c16:uniqueId val="{00000001-29E6-423F-B8CB-E1D7EC3BA8AE}"/>
            </c:ext>
          </c:extLst>
        </c:ser>
        <c:ser>
          <c:idx val="6"/>
          <c:order val="2"/>
          <c:tx>
            <c:strRef>
              <c:f>'Steel Cost Model-Indonesia'!$A$126:$B$126</c:f>
              <c:strCache>
                <c:ptCount val="2"/>
                <c:pt idx="0">
                  <c:v>Direct Electrification: Scrap-based EAF (greenfield)</c:v>
                </c:pt>
              </c:strCache>
            </c:strRef>
          </c:tx>
          <c:spPr>
            <a:solidFill>
              <a:schemeClr val="accent1">
                <a:lumMod val="20000"/>
                <a:lumOff val="8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Model-Indonesia'!$C$126:$D$126</c:f>
              <c:numCache>
                <c:formatCode>_(* #,##0_);_(* \(#,##0\);_(* "-"??_);_(@_)</c:formatCode>
                <c:ptCount val="2"/>
                <c:pt idx="0">
                  <c:v>6.6542439507755997</c:v>
                </c:pt>
                <c:pt idx="1">
                  <c:v>7.5406208086947757</c:v>
                </c:pt>
              </c:numCache>
            </c:numRef>
          </c:val>
          <c:extLst>
            <c:ext xmlns:c16="http://schemas.microsoft.com/office/drawing/2014/chart" uri="{C3380CC4-5D6E-409C-BE32-E72D297353CC}">
              <c16:uniqueId val="{00000002-29E6-423F-B8CB-E1D7EC3BA8AE}"/>
            </c:ext>
          </c:extLst>
        </c:ser>
        <c:ser>
          <c:idx val="2"/>
          <c:order val="3"/>
          <c:tx>
            <c:strRef>
              <c:f>'Steel Cost Model-Indonesia'!$A$129:$B$129</c:f>
              <c:strCache>
                <c:ptCount val="2"/>
                <c:pt idx="0">
                  <c:v>Green H2: H2-DRI-EAF</c:v>
                </c:pt>
              </c:strCache>
            </c:strRef>
          </c:tx>
          <c:spPr>
            <a:solidFill>
              <a:schemeClr val="accent6">
                <a:lumMod val="75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Model-Indonesia'!$C$129:$D$129</c:f>
              <c:numCache>
                <c:formatCode>_(* #,##0_);_(* \(#,##0\);_(* "-"??_);_(@_)</c:formatCode>
                <c:ptCount val="2"/>
                <c:pt idx="0">
                  <c:v>3.5455074316767066</c:v>
                </c:pt>
                <c:pt idx="1">
                  <c:v>11.345623781365459</c:v>
                </c:pt>
              </c:numCache>
            </c:numRef>
          </c:val>
          <c:extLst>
            <c:ext xmlns:c16="http://schemas.microsoft.com/office/drawing/2014/chart" uri="{C3380CC4-5D6E-409C-BE32-E72D297353CC}">
              <c16:uniqueId val="{00000003-29E6-423F-B8CB-E1D7EC3BA8AE}"/>
            </c:ext>
          </c:extLst>
        </c:ser>
        <c:ser>
          <c:idx val="4"/>
          <c:order val="5"/>
          <c:tx>
            <c:strRef>
              <c:f>'Steel Cost Model-Indonesia'!$A$124:$B$124</c:f>
              <c:strCache>
                <c:ptCount val="2"/>
                <c:pt idx="0">
                  <c:v>Fossil CCS: BF-BOF + CCUS </c:v>
                </c:pt>
              </c:strCache>
            </c:strRef>
          </c:tx>
          <c:spPr>
            <a:solidFill>
              <a:schemeClr val="accent2">
                <a:lumMod val="40000"/>
                <a:lumOff val="6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Model-Indonesia'!$C$124:$D$124</c:f>
              <c:numCache>
                <c:formatCode>_(* #,##0_);_(* \(#,##0\);_(* "-"??_);_(@_)</c:formatCode>
                <c:ptCount val="2"/>
                <c:pt idx="0">
                  <c:v>2.419287423967635</c:v>
                </c:pt>
                <c:pt idx="1">
                  <c:v>2.419287423967635</c:v>
                </c:pt>
              </c:numCache>
            </c:numRef>
          </c:val>
          <c:extLst>
            <c:ext xmlns:c16="http://schemas.microsoft.com/office/drawing/2014/chart" uri="{C3380CC4-5D6E-409C-BE32-E72D297353CC}">
              <c16:uniqueId val="{00000004-29E6-423F-B8CB-E1D7EC3BA8AE}"/>
            </c:ext>
          </c:extLst>
        </c:ser>
        <c:ser>
          <c:idx val="3"/>
          <c:order val="6"/>
          <c:tx>
            <c:strRef>
              <c:f>'Steel Cost Model-Indonesia'!$A$125:$B$125</c:f>
              <c:strCache>
                <c:ptCount val="2"/>
                <c:pt idx="0">
                  <c:v>Fossil CCS: NG-DRI-EAF + CCUS </c:v>
                </c:pt>
              </c:strCache>
            </c:strRef>
          </c:tx>
          <c:spPr>
            <a:solidFill>
              <a:schemeClr val="tx1">
                <a:lumMod val="50000"/>
                <a:lumOff val="5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Model-Indonesia'!$C$125:$D$125</c:f>
              <c:numCache>
                <c:formatCode>_(* #,##0_);_(* \(#,##0\);_(* "-"??_);_(@_)</c:formatCode>
                <c:ptCount val="2"/>
                <c:pt idx="0">
                  <c:v>0</c:v>
                </c:pt>
                <c:pt idx="1">
                  <c:v>1.9508312384248299</c:v>
                </c:pt>
              </c:numCache>
            </c:numRef>
          </c:val>
          <c:extLst>
            <c:ext xmlns:c16="http://schemas.microsoft.com/office/drawing/2014/chart" uri="{C3380CC4-5D6E-409C-BE32-E72D297353CC}">
              <c16:uniqueId val="{00000005-29E6-423F-B8CB-E1D7EC3BA8AE}"/>
            </c:ext>
          </c:extLst>
        </c:ser>
        <c:ser>
          <c:idx val="7"/>
          <c:order val="7"/>
          <c:tx>
            <c:strRef>
              <c:f>'Steel Cost Model-Indonesia'!$A$131:$B$131</c:f>
              <c:strCache>
                <c:ptCount val="2"/>
                <c:pt idx="0">
                  <c:v>Electrolyzer CAPEX (renewables)</c:v>
                </c:pt>
              </c:strCache>
            </c:strRef>
          </c:tx>
          <c:spPr>
            <a:solidFill>
              <a:schemeClr val="accent6">
                <a:lumMod val="60000"/>
                <a:lumOff val="40000"/>
              </a:schemeClr>
            </a:solidFill>
            <a:ln>
              <a:solidFill>
                <a:schemeClr val="tx1"/>
              </a:solidFill>
            </a:ln>
            <a:effectLst/>
          </c:spPr>
          <c:invertIfNegative val="0"/>
          <c:cat>
            <c:numRef>
              <c:f>'Steel Cost Model-Indonesia'!$C$122:$D$122</c:f>
              <c:numCache>
                <c:formatCode>General</c:formatCode>
                <c:ptCount val="2"/>
                <c:pt idx="0">
                  <c:v>2030</c:v>
                </c:pt>
                <c:pt idx="1">
                  <c:v>2060</c:v>
                </c:pt>
              </c:numCache>
            </c:numRef>
          </c:cat>
          <c:val>
            <c:numRef>
              <c:f>'Steel Cost Model-Indonesia'!$C$131:$D$131</c:f>
              <c:numCache>
                <c:formatCode>_(* #,##0_);_(* \(#,##0\);_(* "-"??_);_(@_)</c:formatCode>
                <c:ptCount val="2"/>
                <c:pt idx="0">
                  <c:v>1.4010171621483292</c:v>
                </c:pt>
                <c:pt idx="1">
                  <c:v>3.0261970702403915</c:v>
                </c:pt>
              </c:numCache>
            </c:numRef>
          </c:val>
          <c:extLst>
            <c:ext xmlns:c16="http://schemas.microsoft.com/office/drawing/2014/chart" uri="{C3380CC4-5D6E-409C-BE32-E72D297353CC}">
              <c16:uniqueId val="{00000006-29E6-423F-B8CB-E1D7EC3BA8AE}"/>
            </c:ext>
          </c:extLst>
        </c:ser>
        <c:dLbls>
          <c:showLegendKey val="0"/>
          <c:showVal val="0"/>
          <c:showCatName val="0"/>
          <c:showSerName val="0"/>
          <c:showPercent val="0"/>
          <c:showBubbleSize val="0"/>
        </c:dLbls>
        <c:gapWidth val="55"/>
        <c:overlap val="100"/>
        <c:axId val="695306704"/>
        <c:axId val="722281296"/>
        <c:extLst>
          <c:ext xmlns:c15="http://schemas.microsoft.com/office/drawing/2012/chart" uri="{02D57815-91ED-43cb-92C2-25804820EDAC}">
            <c15:filteredBarSeries>
              <c15:ser>
                <c:idx val="1"/>
                <c:order val="4"/>
                <c:tx>
                  <c:strRef>
                    <c:extLst>
                      <c:ext uri="{02D57815-91ED-43cb-92C2-25804820EDAC}">
                        <c15:formulaRef>
                          <c15:sqref>'Steel Cost Model-Indonesia'!$A$128:$B$128</c15:sqref>
                        </c15:formulaRef>
                      </c:ext>
                    </c:extLst>
                    <c:strCache>
                      <c:ptCount val="2"/>
                      <c:pt idx="0">
                        <c:v>Fuel Switching: DRI-EAF</c:v>
                      </c:pt>
                    </c:strCache>
                  </c:strRef>
                </c:tx>
                <c:spPr>
                  <a:solidFill>
                    <a:srgbClr val="D09E00"/>
                  </a:solidFill>
                  <a:ln>
                    <a:solidFill>
                      <a:schemeClr val="tx1"/>
                    </a:solidFill>
                  </a:ln>
                  <a:effectLst/>
                </c:spPr>
                <c:invertIfNegative val="0"/>
                <c:cat>
                  <c:numRef>
                    <c:extLst>
                      <c:ext uri="{02D57815-91ED-43cb-92C2-25804820EDAC}">
                        <c15:formulaRef>
                          <c15:sqref>'Steel Cost Model-Indonesia'!$C$122:$D$122</c15:sqref>
                        </c15:formulaRef>
                      </c:ext>
                    </c:extLst>
                    <c:numCache>
                      <c:formatCode>General</c:formatCode>
                      <c:ptCount val="2"/>
                      <c:pt idx="0">
                        <c:v>2030</c:v>
                      </c:pt>
                      <c:pt idx="1">
                        <c:v>2060</c:v>
                      </c:pt>
                    </c:numCache>
                  </c:numRef>
                </c:cat>
                <c:val>
                  <c:numRef>
                    <c:extLst>
                      <c:ext uri="{02D57815-91ED-43cb-92C2-25804820EDAC}">
                        <c15:formulaRef>
                          <c15:sqref>'Steel Cost Model-Indonesia'!$C$128:$D$128</c15:sqref>
                        </c15:formulaRef>
                      </c:ext>
                    </c:extLst>
                    <c:numCache>
                      <c:formatCode>_(* #,##0_);_(* \(#,##0\);_(* "-"??_);_(@_)</c:formatCode>
                      <c:ptCount val="2"/>
                      <c:pt idx="0">
                        <c:v>0</c:v>
                      </c:pt>
                      <c:pt idx="1">
                        <c:v>0</c:v>
                      </c:pt>
                    </c:numCache>
                  </c:numRef>
                </c:val>
                <c:extLst>
                  <c:ext xmlns:c16="http://schemas.microsoft.com/office/drawing/2014/chart" uri="{C3380CC4-5D6E-409C-BE32-E72D297353CC}">
                    <c16:uniqueId val="{00000008-29E6-423F-B8CB-E1D7EC3BA8AE}"/>
                  </c:ext>
                </c:extLst>
              </c15:ser>
            </c15:filteredBarSeries>
          </c:ext>
        </c:extLst>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US"/>
                  <a:t>billion USD</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7379283456572516"/>
          <c:y val="0.23277465412228268"/>
          <c:w val="0.38496026616595624"/>
          <c:h val="0.68966306172001157"/>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mn-lt"/>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Cumulative Investment (CAPEX) Needs for </a:t>
            </a:r>
          </a:p>
          <a:p>
            <a:pPr>
              <a:defRPr/>
            </a:pPr>
            <a:r>
              <a:rPr lang="en-US"/>
              <a:t>Vietnam's Iron and Steel Industry to Achieve Net-Zero</a:t>
            </a:r>
          </a:p>
          <a:p>
            <a:pPr>
              <a:defRPr/>
            </a:pPr>
            <a:r>
              <a:rPr lang="en-US"/>
              <a:t>(including RE Expansion)</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25905125281925"/>
          <c:y val="0.15082670732158562"/>
          <c:w val="0.42568303551176889"/>
          <c:h val="0.78364330983546004"/>
        </c:manualLayout>
      </c:layout>
      <c:barChart>
        <c:barDir val="col"/>
        <c:grouping val="stacked"/>
        <c:varyColors val="0"/>
        <c:ser>
          <c:idx val="0"/>
          <c:order val="0"/>
          <c:tx>
            <c:strRef>
              <c:f>'Steel Cost Model-Vietnam'!$A$125:$B$125</c:f>
              <c:strCache>
                <c:ptCount val="2"/>
                <c:pt idx="0">
                  <c:v>Energy Efficiency: BF-BOF </c:v>
                </c:pt>
              </c:strCache>
            </c:strRef>
          </c:tx>
          <c:spPr>
            <a:solidFill>
              <a:srgbClr val="095F80"/>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Model-Vietnam'!$C$125:$D$125</c:f>
              <c:numCache>
                <c:formatCode>_(* #,##0.0_);_(* \(#,##0.0\);_(* "-"??_);_(@_)</c:formatCode>
                <c:ptCount val="2"/>
                <c:pt idx="0">
                  <c:v>0.92469093749999998</c:v>
                </c:pt>
                <c:pt idx="1">
                  <c:v>0.63421875000000005</c:v>
                </c:pt>
              </c:numCache>
            </c:numRef>
          </c:val>
          <c:extLst>
            <c:ext xmlns:c16="http://schemas.microsoft.com/office/drawing/2014/chart" uri="{C3380CC4-5D6E-409C-BE32-E72D297353CC}">
              <c16:uniqueId val="{00000000-6B35-448A-A514-465237BD6874}"/>
            </c:ext>
          </c:extLst>
        </c:ser>
        <c:ser>
          <c:idx val="1"/>
          <c:order val="1"/>
          <c:tx>
            <c:strRef>
              <c:f>'Steel Cost Model-Vietnam'!$A$129:$B$129</c:f>
              <c:strCache>
                <c:ptCount val="2"/>
                <c:pt idx="0">
                  <c:v>Direct Electrification: Scrap-based EAF (brownfield)</c:v>
                </c:pt>
              </c:strCache>
            </c:strRef>
          </c:tx>
          <c:spPr>
            <a:solidFill>
              <a:schemeClr val="tx2">
                <a:lumMod val="50000"/>
                <a:lumOff val="50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Model-Vietnam'!$C$129:$D$129</c:f>
              <c:numCache>
                <c:formatCode>_(* #,##0.0_);_(* \(#,##0.0\);_(* "-"??_);_(@_)</c:formatCode>
                <c:ptCount val="2"/>
                <c:pt idx="0">
                  <c:v>0.81192374999999994</c:v>
                </c:pt>
                <c:pt idx="1">
                  <c:v>0.75549375000000007</c:v>
                </c:pt>
              </c:numCache>
            </c:numRef>
          </c:val>
          <c:extLst>
            <c:ext xmlns:c16="http://schemas.microsoft.com/office/drawing/2014/chart" uri="{C3380CC4-5D6E-409C-BE32-E72D297353CC}">
              <c16:uniqueId val="{00000004-6B35-448A-A514-465237BD6874}"/>
            </c:ext>
          </c:extLst>
        </c:ser>
        <c:ser>
          <c:idx val="2"/>
          <c:order val="2"/>
          <c:tx>
            <c:strRef>
              <c:f>'Steel Cost Model-Vietnam'!$A$128:$B$128</c:f>
              <c:strCache>
                <c:ptCount val="2"/>
                <c:pt idx="0">
                  <c:v>Direct Electrification: Scrap-based EAF (greenfield)</c:v>
                </c:pt>
              </c:strCache>
            </c:strRef>
          </c:tx>
          <c:spPr>
            <a:solidFill>
              <a:schemeClr val="accent1">
                <a:lumMod val="20000"/>
                <a:lumOff val="80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Model-Vietnam'!$C$128:$D$128</c:f>
              <c:numCache>
                <c:formatCode>_(* #,##0.0_);_(* \(#,##0.0\);_(* "-"??_);_(@_)</c:formatCode>
                <c:ptCount val="2"/>
                <c:pt idx="0">
                  <c:v>1.3593571875000001</c:v>
                </c:pt>
                <c:pt idx="1">
                  <c:v>1.3660700625000002</c:v>
                </c:pt>
              </c:numCache>
            </c:numRef>
          </c:val>
          <c:extLst>
            <c:ext xmlns:c16="http://schemas.microsoft.com/office/drawing/2014/chart" uri="{C3380CC4-5D6E-409C-BE32-E72D297353CC}">
              <c16:uniqueId val="{00000003-6B35-448A-A514-465237BD6874}"/>
            </c:ext>
          </c:extLst>
        </c:ser>
        <c:ser>
          <c:idx val="4"/>
          <c:order val="3"/>
          <c:tx>
            <c:strRef>
              <c:f>'Steel Cost Model-Vietnam'!$A$130:$B$130</c:f>
              <c:strCache>
                <c:ptCount val="2"/>
                <c:pt idx="0">
                  <c:v>Fuel Switching: DRI-EAF</c:v>
                </c:pt>
              </c:strCache>
            </c:strRef>
          </c:tx>
          <c:spPr>
            <a:solidFill>
              <a:srgbClr val="D09E00"/>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Model-Vietnam'!$C$130:$D$130</c:f>
              <c:numCache>
                <c:formatCode>_(* #,##0.0_);_(* \(#,##0.0\);_(* "-"??_);_(@_)</c:formatCode>
                <c:ptCount val="2"/>
                <c:pt idx="0">
                  <c:v>0.5528209500000002</c:v>
                </c:pt>
                <c:pt idx="1">
                  <c:v>0</c:v>
                </c:pt>
              </c:numCache>
            </c:numRef>
          </c:val>
          <c:extLst>
            <c:ext xmlns:c16="http://schemas.microsoft.com/office/drawing/2014/chart" uri="{C3380CC4-5D6E-409C-BE32-E72D297353CC}">
              <c16:uniqueId val="{00000005-6B35-448A-A514-465237BD6874}"/>
            </c:ext>
          </c:extLst>
        </c:ser>
        <c:ser>
          <c:idx val="3"/>
          <c:order val="4"/>
          <c:tx>
            <c:strRef>
              <c:f>'Steel Cost Model-Vietnam'!$A$131:$B$131</c:f>
              <c:strCache>
                <c:ptCount val="2"/>
                <c:pt idx="0">
                  <c:v>Green H2: H2-DRI-EAF</c:v>
                </c:pt>
              </c:strCache>
            </c:strRef>
          </c:tx>
          <c:spPr>
            <a:solidFill>
              <a:schemeClr val="accent6">
                <a:lumMod val="75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Model-Vietnam'!$C$131:$D$131</c:f>
              <c:numCache>
                <c:formatCode>_(* #,##0.0_);_(* \(#,##0.0\);_(* "-"??_);_(@_)</c:formatCode>
                <c:ptCount val="2"/>
                <c:pt idx="0" formatCode="_(* #,##0_);_(* \(#,##0\);_(* &quot;-&quot;??_);_(@_)">
                  <c:v>0</c:v>
                </c:pt>
                <c:pt idx="1">
                  <c:v>1.2796781250000002</c:v>
                </c:pt>
              </c:numCache>
            </c:numRef>
          </c:val>
          <c:extLst>
            <c:ext xmlns:c16="http://schemas.microsoft.com/office/drawing/2014/chart" uri="{C3380CC4-5D6E-409C-BE32-E72D297353CC}">
              <c16:uniqueId val="{00000006-6B35-448A-A514-465237BD6874}"/>
            </c:ext>
          </c:extLst>
        </c:ser>
        <c:ser>
          <c:idx val="5"/>
          <c:order val="5"/>
          <c:tx>
            <c:strRef>
              <c:f>'Steel Cost Model-Vietnam'!$A$126:$B$126</c:f>
              <c:strCache>
                <c:ptCount val="2"/>
                <c:pt idx="0">
                  <c:v>Fossil CCS: BF-BOF + CCUS </c:v>
                </c:pt>
              </c:strCache>
            </c:strRef>
          </c:tx>
          <c:spPr>
            <a:solidFill>
              <a:schemeClr val="tx1">
                <a:lumMod val="50000"/>
                <a:lumOff val="50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Model-Vietnam'!$C$126:$D$126</c:f>
              <c:numCache>
                <c:formatCode>_(* #,##0_);_(* \(#,##0\);_(* "-"??_);_(@_)</c:formatCode>
                <c:ptCount val="2"/>
                <c:pt idx="0" formatCode="_(* #,##0.0_);_(* \(#,##0.0\);_(* &quot;-&quot;??_);_(@_)">
                  <c:v>0.68021167500000013</c:v>
                </c:pt>
                <c:pt idx="1">
                  <c:v>3.1491281250000003</c:v>
                </c:pt>
              </c:numCache>
            </c:numRef>
          </c:val>
          <c:extLst>
            <c:ext xmlns:c16="http://schemas.microsoft.com/office/drawing/2014/chart" uri="{C3380CC4-5D6E-409C-BE32-E72D297353CC}">
              <c16:uniqueId val="{00000001-6B35-448A-A514-465237BD6874}"/>
            </c:ext>
          </c:extLst>
        </c:ser>
        <c:ser>
          <c:idx val="6"/>
          <c:order val="6"/>
          <c:tx>
            <c:strRef>
              <c:f>'Steel Cost Model-Vietnam'!$A$127:$B$127</c:f>
              <c:strCache>
                <c:ptCount val="2"/>
                <c:pt idx="0">
                  <c:v>Fossil CCS: DRI-EAF + CCUS </c:v>
                </c:pt>
              </c:strCache>
            </c:strRef>
          </c:tx>
          <c:spPr>
            <a:solidFill>
              <a:schemeClr val="bg2">
                <a:lumMod val="90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Model-Vietnam'!$C$127:$D$127</c:f>
              <c:numCache>
                <c:formatCode>_(* #,##0.0_);_(* \(#,##0.0\);_(* "-"??_);_(@_)</c:formatCode>
                <c:ptCount val="2"/>
                <c:pt idx="0">
                  <c:v>0</c:v>
                </c:pt>
                <c:pt idx="1">
                  <c:v>0.6771600000000001</c:v>
                </c:pt>
              </c:numCache>
            </c:numRef>
          </c:val>
          <c:extLst>
            <c:ext xmlns:c16="http://schemas.microsoft.com/office/drawing/2014/chart" uri="{C3380CC4-5D6E-409C-BE32-E72D297353CC}">
              <c16:uniqueId val="{00000002-6B35-448A-A514-465237BD6874}"/>
            </c:ext>
          </c:extLst>
        </c:ser>
        <c:ser>
          <c:idx val="8"/>
          <c:order val="7"/>
          <c:tx>
            <c:strRef>
              <c:f>'Steel Cost Model-Vietnam'!$A$133:$B$133</c:f>
              <c:strCache>
                <c:ptCount val="2"/>
                <c:pt idx="0">
                  <c:v>Electrolyzer CAPEX (renewables)</c:v>
                </c:pt>
              </c:strCache>
            </c:strRef>
          </c:tx>
          <c:spPr>
            <a:solidFill>
              <a:schemeClr val="accent6">
                <a:lumMod val="60000"/>
                <a:lumOff val="40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Model-Vietnam'!$C$133:$D$133</c:f>
              <c:numCache>
                <c:formatCode>_(* #,##0.0_);_(* \(#,##0.0\);_(* "-"??_);_(@_)</c:formatCode>
                <c:ptCount val="2"/>
                <c:pt idx="0" formatCode="_(* #,##0_);_(* \(#,##0\);_(* &quot;-&quot;??_);_(@_)">
                  <c:v>0</c:v>
                </c:pt>
                <c:pt idx="1">
                  <c:v>0.41106898238747552</c:v>
                </c:pt>
              </c:numCache>
            </c:numRef>
          </c:val>
          <c:extLst>
            <c:ext xmlns:c16="http://schemas.microsoft.com/office/drawing/2014/chart" uri="{C3380CC4-5D6E-409C-BE32-E72D297353CC}">
              <c16:uniqueId val="{00000008-6B35-448A-A514-465237BD6874}"/>
            </c:ext>
          </c:extLst>
        </c:ser>
        <c:ser>
          <c:idx val="10"/>
          <c:order val="8"/>
          <c:tx>
            <c:strRef>
              <c:f>'Steel Cost Model-Vietnam'!$A$135:$B$135</c:f>
              <c:strCache>
                <c:ptCount val="2"/>
                <c:pt idx="0">
                  <c:v>RE Supply CAPEX (renewables)</c:v>
                </c:pt>
              </c:strCache>
            </c:strRef>
          </c:tx>
          <c:spPr>
            <a:solidFill>
              <a:schemeClr val="accent6">
                <a:lumMod val="20000"/>
                <a:lumOff val="80000"/>
              </a:schemeClr>
            </a:solidFill>
            <a:ln>
              <a:solidFill>
                <a:schemeClr val="tx1"/>
              </a:solidFill>
            </a:ln>
            <a:effectLst/>
          </c:spPr>
          <c:invertIfNegative val="0"/>
          <c:cat>
            <c:numRef>
              <c:f>'Steel Cost Model-Vietnam'!$C$124:$D$124</c:f>
              <c:numCache>
                <c:formatCode>General</c:formatCode>
                <c:ptCount val="2"/>
                <c:pt idx="0">
                  <c:v>2030</c:v>
                </c:pt>
                <c:pt idx="1">
                  <c:v>2050</c:v>
                </c:pt>
              </c:numCache>
            </c:numRef>
          </c:cat>
          <c:val>
            <c:numRef>
              <c:f>'Steel Cost Model-Vietnam'!$C$135:$D$135</c:f>
              <c:numCache>
                <c:formatCode>_(* #,##0_);_(* \(#,##0\);_(* "-"??_);_(@_)</c:formatCode>
                <c:ptCount val="2"/>
                <c:pt idx="0">
                  <c:v>0</c:v>
                </c:pt>
                <c:pt idx="1">
                  <c:v>1.5746979390450573</c:v>
                </c:pt>
              </c:numCache>
            </c:numRef>
          </c:val>
          <c:extLst>
            <c:ext xmlns:c16="http://schemas.microsoft.com/office/drawing/2014/chart" uri="{C3380CC4-5D6E-409C-BE32-E72D297353CC}">
              <c16:uniqueId val="{0000000A-6B35-448A-A514-465237BD6874}"/>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US"/>
                  <a:t>billion USD</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7379283456572516"/>
          <c:y val="0.33612406423163288"/>
          <c:w val="0.37842075613845844"/>
          <c:h val="0.5916782225918224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mn-lt"/>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Cumulative Investment (CAPEX) Needs for </a:t>
            </a:r>
          </a:p>
          <a:p>
            <a:pPr>
              <a:defRPr/>
            </a:pPr>
            <a:r>
              <a:rPr lang="en-US"/>
              <a:t>Vietnam's Iron and Steel Industry to Achieve Net-Zero</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25905125281925"/>
          <c:y val="0.15082670732158562"/>
          <c:w val="0.42568303551176889"/>
          <c:h val="0.78364330983546004"/>
        </c:manualLayout>
      </c:layout>
      <c:barChart>
        <c:barDir val="col"/>
        <c:grouping val="stacked"/>
        <c:varyColors val="0"/>
        <c:ser>
          <c:idx val="0"/>
          <c:order val="0"/>
          <c:tx>
            <c:strRef>
              <c:f>'Steel Cost Model-Vietnam'!$A$125:$B$125</c:f>
              <c:strCache>
                <c:ptCount val="2"/>
                <c:pt idx="0">
                  <c:v>Energy Efficiency: BF-BOF </c:v>
                </c:pt>
              </c:strCache>
            </c:strRef>
          </c:tx>
          <c:spPr>
            <a:solidFill>
              <a:srgbClr val="095F8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Model-Vietnam'!$C$125:$D$125</c:f>
              <c:numCache>
                <c:formatCode>_(* #,##0.0_);_(* \(#,##0.0\);_(* "-"??_);_(@_)</c:formatCode>
                <c:ptCount val="2"/>
                <c:pt idx="0">
                  <c:v>0.92469093749999998</c:v>
                </c:pt>
                <c:pt idx="1">
                  <c:v>0.63421875000000005</c:v>
                </c:pt>
              </c:numCache>
            </c:numRef>
          </c:val>
          <c:extLst>
            <c:ext xmlns:c16="http://schemas.microsoft.com/office/drawing/2014/chart" uri="{C3380CC4-5D6E-409C-BE32-E72D297353CC}">
              <c16:uniqueId val="{00000000-6676-4415-BE24-2899F422FD03}"/>
            </c:ext>
          </c:extLst>
        </c:ser>
        <c:ser>
          <c:idx val="1"/>
          <c:order val="1"/>
          <c:tx>
            <c:strRef>
              <c:f>'Steel Cost Model-Vietnam'!$A$129:$B$129</c:f>
              <c:strCache>
                <c:ptCount val="2"/>
                <c:pt idx="0">
                  <c:v>Direct Electrification: Scrap-based EAF (brownfield)</c:v>
                </c:pt>
              </c:strCache>
            </c:strRef>
          </c:tx>
          <c:spPr>
            <a:solidFill>
              <a:schemeClr val="tx2">
                <a:lumMod val="50000"/>
                <a:lumOff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Model-Vietnam'!$C$129:$D$129</c:f>
              <c:numCache>
                <c:formatCode>_(* #,##0.0_);_(* \(#,##0.0\);_(* "-"??_);_(@_)</c:formatCode>
                <c:ptCount val="2"/>
                <c:pt idx="0">
                  <c:v>0.81192374999999994</c:v>
                </c:pt>
                <c:pt idx="1">
                  <c:v>0.75549375000000007</c:v>
                </c:pt>
              </c:numCache>
            </c:numRef>
          </c:val>
          <c:extLst>
            <c:ext xmlns:c16="http://schemas.microsoft.com/office/drawing/2014/chart" uri="{C3380CC4-5D6E-409C-BE32-E72D297353CC}">
              <c16:uniqueId val="{00000001-6676-4415-BE24-2899F422FD03}"/>
            </c:ext>
          </c:extLst>
        </c:ser>
        <c:ser>
          <c:idx val="2"/>
          <c:order val="2"/>
          <c:tx>
            <c:strRef>
              <c:f>'Steel Cost Model-Vietnam'!$A$128:$B$128</c:f>
              <c:strCache>
                <c:ptCount val="2"/>
                <c:pt idx="0">
                  <c:v>Direct Electrification: Scrap-based EAF (greenfield)</c:v>
                </c:pt>
              </c:strCache>
            </c:strRef>
          </c:tx>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Model-Vietnam'!$C$128:$D$128</c:f>
              <c:numCache>
                <c:formatCode>_(* #,##0.0_);_(* \(#,##0.0\);_(* "-"??_);_(@_)</c:formatCode>
                <c:ptCount val="2"/>
                <c:pt idx="0">
                  <c:v>1.3593571875000001</c:v>
                </c:pt>
                <c:pt idx="1">
                  <c:v>1.3660700625000002</c:v>
                </c:pt>
              </c:numCache>
            </c:numRef>
          </c:val>
          <c:extLst>
            <c:ext xmlns:c16="http://schemas.microsoft.com/office/drawing/2014/chart" uri="{C3380CC4-5D6E-409C-BE32-E72D297353CC}">
              <c16:uniqueId val="{00000002-6676-4415-BE24-2899F422FD03}"/>
            </c:ext>
          </c:extLst>
        </c:ser>
        <c:ser>
          <c:idx val="4"/>
          <c:order val="3"/>
          <c:tx>
            <c:strRef>
              <c:f>'Steel Cost Model-Vietnam'!$A$130:$B$130</c:f>
              <c:strCache>
                <c:ptCount val="2"/>
                <c:pt idx="0">
                  <c:v>Fuel Switching: DRI-EAF</c:v>
                </c:pt>
              </c:strCache>
            </c:strRef>
          </c:tx>
          <c:spPr>
            <a:solidFill>
              <a:srgbClr val="D09E00"/>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6676-4415-BE24-2899F422FD0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Model-Vietnam'!$C$130:$D$130</c:f>
              <c:numCache>
                <c:formatCode>_(* #,##0.0_);_(* \(#,##0.0\);_(* "-"??_);_(@_)</c:formatCode>
                <c:ptCount val="2"/>
                <c:pt idx="0">
                  <c:v>0.5528209500000002</c:v>
                </c:pt>
                <c:pt idx="1">
                  <c:v>0</c:v>
                </c:pt>
              </c:numCache>
            </c:numRef>
          </c:val>
          <c:extLst>
            <c:ext xmlns:c16="http://schemas.microsoft.com/office/drawing/2014/chart" uri="{C3380CC4-5D6E-409C-BE32-E72D297353CC}">
              <c16:uniqueId val="{00000003-6676-4415-BE24-2899F422FD03}"/>
            </c:ext>
          </c:extLst>
        </c:ser>
        <c:ser>
          <c:idx val="3"/>
          <c:order val="4"/>
          <c:tx>
            <c:strRef>
              <c:f>'Steel Cost Model-Vietnam'!$A$131:$B$131</c:f>
              <c:strCache>
                <c:ptCount val="2"/>
                <c:pt idx="0">
                  <c:v>Green H2: H2-DRI-EAF</c:v>
                </c:pt>
              </c:strCache>
            </c:strRef>
          </c:tx>
          <c:spPr>
            <a:solidFill>
              <a:schemeClr val="accent6">
                <a:lumMod val="75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6676-4415-BE24-2899F422FD0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Model-Vietnam'!$C$131:$D$131</c:f>
              <c:numCache>
                <c:formatCode>_(* #,##0.0_);_(* \(#,##0.0\);_(* "-"??_);_(@_)</c:formatCode>
                <c:ptCount val="2"/>
                <c:pt idx="0" formatCode="_(* #,##0_);_(* \(#,##0\);_(* &quot;-&quot;??_);_(@_)">
                  <c:v>0</c:v>
                </c:pt>
                <c:pt idx="1">
                  <c:v>1.2796781250000002</c:v>
                </c:pt>
              </c:numCache>
            </c:numRef>
          </c:val>
          <c:extLst>
            <c:ext xmlns:c16="http://schemas.microsoft.com/office/drawing/2014/chart" uri="{C3380CC4-5D6E-409C-BE32-E72D297353CC}">
              <c16:uniqueId val="{00000004-6676-4415-BE24-2899F422FD03}"/>
            </c:ext>
          </c:extLst>
        </c:ser>
        <c:ser>
          <c:idx val="5"/>
          <c:order val="5"/>
          <c:tx>
            <c:strRef>
              <c:f>'Steel Cost Model-Vietnam'!$A$126:$B$126</c:f>
              <c:strCache>
                <c:ptCount val="2"/>
                <c:pt idx="0">
                  <c:v>Fossil CCS: BF-BOF + CCUS </c:v>
                </c:pt>
              </c:strCache>
            </c:strRef>
          </c:tx>
          <c:spPr>
            <a:solidFill>
              <a:schemeClr val="tx1">
                <a:lumMod val="50000"/>
                <a:lumOff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Model-Vietnam'!$C$126:$D$126</c:f>
              <c:numCache>
                <c:formatCode>_(* #,##0_);_(* \(#,##0\);_(* "-"??_);_(@_)</c:formatCode>
                <c:ptCount val="2"/>
                <c:pt idx="0" formatCode="_(* #,##0.0_);_(* \(#,##0.0\);_(* &quot;-&quot;??_);_(@_)">
                  <c:v>0.68021167500000013</c:v>
                </c:pt>
                <c:pt idx="1">
                  <c:v>3.1491281250000003</c:v>
                </c:pt>
              </c:numCache>
            </c:numRef>
          </c:val>
          <c:extLst>
            <c:ext xmlns:c16="http://schemas.microsoft.com/office/drawing/2014/chart" uri="{C3380CC4-5D6E-409C-BE32-E72D297353CC}">
              <c16:uniqueId val="{00000005-6676-4415-BE24-2899F422FD03}"/>
            </c:ext>
          </c:extLst>
        </c:ser>
        <c:ser>
          <c:idx val="6"/>
          <c:order val="6"/>
          <c:tx>
            <c:strRef>
              <c:f>'Steel Cost Model-Vietnam'!$A$127:$B$127</c:f>
              <c:strCache>
                <c:ptCount val="2"/>
                <c:pt idx="0">
                  <c:v>Fossil CCS: DRI-EAF + CCUS </c:v>
                </c:pt>
              </c:strCache>
            </c:strRef>
          </c:tx>
          <c:spPr>
            <a:solidFill>
              <a:schemeClr val="bg2">
                <a:lumMod val="9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6676-4415-BE24-2899F422FD0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Model-Vietnam'!$C$127:$D$127</c:f>
              <c:numCache>
                <c:formatCode>_(* #,##0.0_);_(* \(#,##0.0\);_(* "-"??_);_(@_)</c:formatCode>
                <c:ptCount val="2"/>
                <c:pt idx="0">
                  <c:v>0</c:v>
                </c:pt>
                <c:pt idx="1">
                  <c:v>0.6771600000000001</c:v>
                </c:pt>
              </c:numCache>
            </c:numRef>
          </c:val>
          <c:extLst>
            <c:ext xmlns:c16="http://schemas.microsoft.com/office/drawing/2014/chart" uri="{C3380CC4-5D6E-409C-BE32-E72D297353CC}">
              <c16:uniqueId val="{00000006-6676-4415-BE24-2899F422FD03}"/>
            </c:ext>
          </c:extLst>
        </c:ser>
        <c:ser>
          <c:idx val="8"/>
          <c:order val="7"/>
          <c:tx>
            <c:strRef>
              <c:f>'Steel Cost Model-Vietnam'!$A$133:$B$133</c:f>
              <c:strCache>
                <c:ptCount val="2"/>
                <c:pt idx="0">
                  <c:v>Electrolyzer CAPEX (renewables)</c:v>
                </c:pt>
              </c:strCache>
            </c:strRef>
          </c:tx>
          <c:spPr>
            <a:solidFill>
              <a:schemeClr val="accent6">
                <a:lumMod val="60000"/>
                <a:lumOff val="4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6676-4415-BE24-2899F422FD0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'Steel Cost Model-Vietnam'!$C$124:$D$124</c:f>
              <c:numCache>
                <c:formatCode>General</c:formatCode>
                <c:ptCount val="2"/>
                <c:pt idx="0">
                  <c:v>2030</c:v>
                </c:pt>
                <c:pt idx="1">
                  <c:v>2050</c:v>
                </c:pt>
              </c:numCache>
            </c:numRef>
          </c:cat>
          <c:val>
            <c:numRef>
              <c:f>'Steel Cost Model-Vietnam'!$C$133:$D$133</c:f>
              <c:numCache>
                <c:formatCode>_(* #,##0.0_);_(* \(#,##0.0\);_(* "-"??_);_(@_)</c:formatCode>
                <c:ptCount val="2"/>
                <c:pt idx="0" formatCode="_(* #,##0_);_(* \(#,##0\);_(* &quot;-&quot;??_);_(@_)">
                  <c:v>0</c:v>
                </c:pt>
                <c:pt idx="1">
                  <c:v>0.41106898238747552</c:v>
                </c:pt>
              </c:numCache>
            </c:numRef>
          </c:val>
          <c:extLst>
            <c:ext xmlns:c16="http://schemas.microsoft.com/office/drawing/2014/chart" uri="{C3380CC4-5D6E-409C-BE32-E72D297353CC}">
              <c16:uniqueId val="{00000007-6676-4415-BE24-2899F422FD03}"/>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US"/>
                  <a:t>billion USD</a:t>
                </a:r>
              </a:p>
            </c:rich>
          </c:tx>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7379283456572516"/>
          <c:y val="0.33612406423163288"/>
          <c:w val="0.37842075613845844"/>
          <c:h val="0.5916782225918224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mn-lt"/>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400" b="1" i="0" baseline="0">
                <a:effectLst/>
              </a:rPr>
              <a:t>Cumulative Investment (CAPEX) Needs for</a:t>
            </a:r>
          </a:p>
          <a:p>
            <a:pPr>
              <a:defRPr/>
            </a:pPr>
            <a:r>
              <a:rPr lang="en-US" sz="1400" b="1" i="0" baseline="0">
                <a:effectLst/>
              </a:rPr>
              <a:t> China's Cement Industry Energy Transition</a:t>
            </a:r>
            <a:endParaRPr lang="en-US" sz="1100">
              <a:effectLst/>
            </a:endParaRPr>
          </a:p>
          <a:p>
            <a:pPr>
              <a:defRPr/>
            </a:pPr>
            <a:r>
              <a:rPr lang="en-US" sz="1400" b="1" i="1" u="none" baseline="0">
                <a:effectLst/>
              </a:rPr>
              <a:t>Circular Economy Pathway </a:t>
            </a:r>
          </a:p>
          <a:p>
            <a:pPr>
              <a:defRPr/>
            </a:pPr>
            <a:r>
              <a:rPr lang="en-US" sz="1400" b="1" i="1" u="none" baseline="0">
                <a:effectLst/>
              </a:rPr>
              <a:t>(including RE Expansion)</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0203245217288652E-2"/>
          <c:y val="0.20216207771856323"/>
          <c:w val="0.46903317549884271"/>
          <c:h val="0.7367483600878072"/>
        </c:manualLayout>
      </c:layout>
      <c:barChart>
        <c:barDir val="col"/>
        <c:grouping val="stacked"/>
        <c:varyColors val="0"/>
        <c:ser>
          <c:idx val="1"/>
          <c:order val="0"/>
          <c:tx>
            <c:strRef>
              <c:f>'Cement Cost Model-China'!$A$149</c:f>
              <c:strCache>
                <c:ptCount val="1"/>
                <c:pt idx="0">
                  <c:v>Energy Efficiency</c:v>
                </c:pt>
              </c:strCache>
            </c:strRef>
          </c:tx>
          <c:spPr>
            <a:solidFill>
              <a:schemeClr val="accent5">
                <a:lumMod val="5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Model-China'!$B$149:$C$149</c:f>
              <c:numCache>
                <c:formatCode>_(* #,##0.0_);_(* \(#,##0.0\);_(* "-"??_);_(@_)</c:formatCode>
                <c:ptCount val="2"/>
                <c:pt idx="0">
                  <c:v>2.3681042799205181</c:v>
                </c:pt>
                <c:pt idx="1">
                  <c:v>8.7619858357059162</c:v>
                </c:pt>
              </c:numCache>
            </c:numRef>
          </c:val>
          <c:extLst>
            <c:ext xmlns:c16="http://schemas.microsoft.com/office/drawing/2014/chart" uri="{C3380CC4-5D6E-409C-BE32-E72D297353CC}">
              <c16:uniqueId val="{00000001-FA4E-4A17-9361-BAB93B509A84}"/>
            </c:ext>
          </c:extLst>
        </c:ser>
        <c:ser>
          <c:idx val="9"/>
          <c:order val="1"/>
          <c:tx>
            <c:strRef>
              <c:f>'Cement Cost Model-China'!$A$151</c:f>
              <c:strCache>
                <c:ptCount val="1"/>
                <c:pt idx="0">
                  <c:v>Calcined Clay (CAEPX for kilns)</c:v>
                </c:pt>
              </c:strCache>
            </c:strRef>
          </c:tx>
          <c:spPr>
            <a:solidFill>
              <a:schemeClr val="accent2">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Model-China'!$B$151:$C$151</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3-FA4E-4A17-9361-BAB93B509A84}"/>
            </c:ext>
          </c:extLst>
        </c:ser>
        <c:ser>
          <c:idx val="10"/>
          <c:order val="2"/>
          <c:tx>
            <c:strRef>
              <c:f>'Cement Cost Model-China'!$A$152</c:f>
              <c:strCache>
                <c:ptCount val="1"/>
                <c:pt idx="0">
                  <c:v>Calcined Clay (CAPEX for storage)</c:v>
                </c:pt>
              </c:strCache>
            </c:strRef>
          </c:tx>
          <c:spPr>
            <a:solidFill>
              <a:schemeClr val="accent2">
                <a:lumMod val="40000"/>
                <a:lumOff val="6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Model-China'!$B$152:$C$152</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4-FA4E-4A17-9361-BAB93B509A84}"/>
            </c:ext>
          </c:extLst>
        </c:ser>
        <c:ser>
          <c:idx val="0"/>
          <c:order val="3"/>
          <c:tx>
            <c:strRef>
              <c:f>'Cement Cost Model-China'!$A$154</c:f>
              <c:strCache>
                <c:ptCount val="1"/>
                <c:pt idx="0">
                  <c:v>Industrial and solid wastes </c:v>
                </c:pt>
              </c:strCache>
            </c:strRef>
          </c:tx>
          <c:spPr>
            <a:solidFill>
              <a:schemeClr val="accent5"/>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Model-China'!$B$154:$C$154</c:f>
              <c:numCache>
                <c:formatCode>_(* #,##0.0_);_(* \(#,##0.0\);_(* "-"??_);_(@_)</c:formatCode>
                <c:ptCount val="2"/>
                <c:pt idx="0">
                  <c:v>1.9033327283656511</c:v>
                </c:pt>
                <c:pt idx="1">
                  <c:v>4.4150580505263157</c:v>
                </c:pt>
              </c:numCache>
            </c:numRef>
          </c:val>
          <c:extLst>
            <c:ext xmlns:c16="http://schemas.microsoft.com/office/drawing/2014/chart" uri="{C3380CC4-5D6E-409C-BE32-E72D297353CC}">
              <c16:uniqueId val="{00000006-FA4E-4A17-9361-BAB93B509A84}"/>
            </c:ext>
          </c:extLst>
        </c:ser>
        <c:ser>
          <c:idx val="5"/>
          <c:order val="4"/>
          <c:tx>
            <c:strRef>
              <c:f>'Cement Cost Model-China'!$A$155</c:f>
              <c:strCache>
                <c:ptCount val="1"/>
                <c:pt idx="0">
                  <c:v>Biomass </c:v>
                </c:pt>
              </c:strCache>
            </c:strRef>
          </c:tx>
          <c:spPr>
            <a:solidFill>
              <a:schemeClr val="accent4"/>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Model-China'!$B$155:$C$155</c:f>
              <c:numCache>
                <c:formatCode>_(* #,##0.0_);_(* \(#,##0.0\);_(* "-"??_);_(@_)</c:formatCode>
                <c:ptCount val="2"/>
                <c:pt idx="0">
                  <c:v>0.28596229224376735</c:v>
                </c:pt>
                <c:pt idx="1">
                  <c:v>0.67543859649122817</c:v>
                </c:pt>
              </c:numCache>
            </c:numRef>
          </c:val>
          <c:extLst>
            <c:ext xmlns:c16="http://schemas.microsoft.com/office/drawing/2014/chart" uri="{C3380CC4-5D6E-409C-BE32-E72D297353CC}">
              <c16:uniqueId val="{00000007-FA4E-4A17-9361-BAB93B509A84}"/>
            </c:ext>
          </c:extLst>
        </c:ser>
        <c:ser>
          <c:idx val="6"/>
          <c:order val="5"/>
          <c:tx>
            <c:strRef>
              <c:f>'Cement Cost Model-China'!$A$156</c:f>
              <c:strCache>
                <c:ptCount val="1"/>
                <c:pt idx="0">
                  <c:v>H2 Injection</c:v>
                </c:pt>
              </c:strCache>
            </c:strRef>
          </c:tx>
          <c:spPr>
            <a:solidFill>
              <a:schemeClr val="accent3"/>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Model-China'!$B$156:$C$156</c:f>
              <c:numCache>
                <c:formatCode>_(* #,##0.0_);_(* \(#,##0.0\);_(* "-"??_);_(@_)</c:formatCode>
                <c:ptCount val="2"/>
                <c:pt idx="0">
                  <c:v>8.3645190587082183E-2</c:v>
                </c:pt>
                <c:pt idx="1">
                  <c:v>1.724751141689046</c:v>
                </c:pt>
              </c:numCache>
            </c:numRef>
          </c:val>
          <c:extLst>
            <c:ext xmlns:c16="http://schemas.microsoft.com/office/drawing/2014/chart" uri="{C3380CC4-5D6E-409C-BE32-E72D297353CC}">
              <c16:uniqueId val="{00000008-FA4E-4A17-9361-BAB93B509A84}"/>
            </c:ext>
          </c:extLst>
        </c:ser>
        <c:ser>
          <c:idx val="11"/>
          <c:order val="6"/>
          <c:tx>
            <c:v>Electrolyzers for H2 Production</c:v>
          </c:tx>
          <c:spPr>
            <a:solidFill>
              <a:schemeClr val="accent6">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Model-China'!$B$159:$C$159</c:f>
              <c:numCache>
                <c:formatCode>_(* #,##0.0_);_(* \(#,##0.0\);_(* "-"??_);_(@_)</c:formatCode>
                <c:ptCount val="2"/>
                <c:pt idx="0">
                  <c:v>6.766231074260995</c:v>
                </c:pt>
                <c:pt idx="1">
                  <c:v>19.977168949771695</c:v>
                </c:pt>
              </c:numCache>
            </c:numRef>
          </c:val>
          <c:extLst>
            <c:ext xmlns:c16="http://schemas.microsoft.com/office/drawing/2014/chart" uri="{C3380CC4-5D6E-409C-BE32-E72D297353CC}">
              <c16:uniqueId val="{0000000B-FA4E-4A17-9361-BAB93B509A84}"/>
            </c:ext>
          </c:extLst>
        </c:ser>
        <c:ser>
          <c:idx val="2"/>
          <c:order val="7"/>
          <c:tx>
            <c:v>RE Supply for H2 Production</c:v>
          </c:tx>
          <c:spPr>
            <a:solidFill>
              <a:schemeClr val="accent6">
                <a:lumMod val="20000"/>
                <a:lumOff val="8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Model-China'!$B$161:$C$161</c:f>
              <c:numCache>
                <c:formatCode>_(* #,##0.0_);_(* \(#,##0.0\);_(* "-"??_);_(@_)</c:formatCode>
                <c:ptCount val="2"/>
                <c:pt idx="0">
                  <c:v>8.626658412772473</c:v>
                </c:pt>
                <c:pt idx="1">
                  <c:v>43.446796537728936</c:v>
                </c:pt>
              </c:numCache>
            </c:numRef>
          </c:val>
          <c:extLst>
            <c:ext xmlns:c16="http://schemas.microsoft.com/office/drawing/2014/chart" uri="{C3380CC4-5D6E-409C-BE32-E72D297353CC}">
              <c16:uniqueId val="{00000000-2B1A-42FE-83AB-CFDC9AB6768F}"/>
            </c:ext>
          </c:extLst>
        </c:ser>
        <c:ser>
          <c:idx val="12"/>
          <c:order val="8"/>
          <c:tx>
            <c:strRef>
              <c:f>'Cement Cost Model-China'!$A$162</c:f>
              <c:strCache>
                <c:ptCount val="1"/>
                <c:pt idx="0">
                  <c:v>CCS</c:v>
                </c:pt>
              </c:strCache>
            </c:strRef>
          </c:tx>
          <c:spPr>
            <a:solidFill>
              <a:srgbClr val="0D3A4E"/>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Model-China'!$B$162:$C$162</c:f>
              <c:numCache>
                <c:formatCode>_(* #,##0.0_);_(* \(#,##0.0\);_(* "-"??_);_(@_)</c:formatCode>
                <c:ptCount val="2"/>
                <c:pt idx="0">
                  <c:v>12.582340858725763</c:v>
                </c:pt>
                <c:pt idx="1">
                  <c:v>111.44736842105264</c:v>
                </c:pt>
              </c:numCache>
            </c:numRef>
          </c:val>
          <c:extLst>
            <c:ext xmlns:c16="http://schemas.microsoft.com/office/drawing/2014/chart" uri="{C3380CC4-5D6E-409C-BE32-E72D297353CC}">
              <c16:uniqueId val="{0000000C-FA4E-4A17-9361-BAB93B509A84}"/>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5298267784349231"/>
          <c:y val="0.53587013861450294"/>
          <c:w val="0.39484680180226139"/>
          <c:h val="0.401517040336320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 Energy Use by Subindustry by Energy Type:</a:t>
            </a:r>
          </a:p>
          <a:p>
            <a:pPr>
              <a:defRPr sz="1600"/>
            </a:pPr>
            <a:r>
              <a:rPr lang="en-US" sz="1600" b="1"/>
              <a:t>Most Recent Year with Data Available</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Graphs!$B$251</c:f>
              <c:strCache>
                <c:ptCount val="1"/>
                <c:pt idx="0">
                  <c:v>Fossil Feedstocks</c:v>
                </c:pt>
              </c:strCache>
            </c:strRef>
          </c:tx>
          <c:spPr>
            <a:solidFill>
              <a:schemeClr val="accent1"/>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Graphs!$B$252:$B$266</c:f>
              <c:numCache>
                <c:formatCode>0.00</c:formatCode>
                <c:ptCount val="15"/>
                <c:pt idx="0">
                  <c:v>0</c:v>
                </c:pt>
                <c:pt idx="1">
                  <c:v>4.6586104395654244</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BA2-4C11-9481-0F51AF71DB6B}"/>
            </c:ext>
          </c:extLst>
        </c:ser>
        <c:ser>
          <c:idx val="1"/>
          <c:order val="1"/>
          <c:tx>
            <c:strRef>
              <c:f>Graphs!$C$251</c:f>
              <c:strCache>
                <c:ptCount val="1"/>
                <c:pt idx="0">
                  <c:v>Coal</c:v>
                </c:pt>
              </c:strCache>
            </c:strRef>
          </c:tx>
          <c:spPr>
            <a:solidFill>
              <a:schemeClr val="tx1"/>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Graphs!$C$252:$C$266</c:f>
              <c:numCache>
                <c:formatCode>0.00</c:formatCode>
                <c:ptCount val="15"/>
                <c:pt idx="0">
                  <c:v>2.5689595545134818</c:v>
                </c:pt>
                <c:pt idx="1">
                  <c:v>2.9021805392731537</c:v>
                </c:pt>
                <c:pt idx="2">
                  <c:v>0.70563012895662369</c:v>
                </c:pt>
                <c:pt idx="3">
                  <c:v>4.6974853458382189</c:v>
                </c:pt>
                <c:pt idx="4">
                  <c:v>0.33543376318874563</c:v>
                </c:pt>
                <c:pt idx="5">
                  <c:v>0.22229484173505279</c:v>
                </c:pt>
                <c:pt idx="6">
                  <c:v>6.1195779601406807E-3</c:v>
                </c:pt>
                <c:pt idx="7">
                  <c:v>3.6034583821805397E-2</c:v>
                </c:pt>
                <c:pt idx="8">
                  <c:v>4.9129542790152407E-2</c:v>
                </c:pt>
                <c:pt idx="9">
                  <c:v>4.7948417350527558E-3</c:v>
                </c:pt>
                <c:pt idx="10">
                  <c:v>8.4818288393903887E-2</c:v>
                </c:pt>
                <c:pt idx="11">
                  <c:v>1.0234466588511138E-2</c:v>
                </c:pt>
                <c:pt idx="12">
                  <c:v>3.6362837045720985E-2</c:v>
                </c:pt>
                <c:pt idx="13">
                  <c:v>2.2684642438452517E-3</c:v>
                </c:pt>
                <c:pt idx="14">
                  <c:v>1.3628370457209849E-3</c:v>
                </c:pt>
              </c:numCache>
            </c:numRef>
          </c:val>
          <c:extLst>
            <c:ext xmlns:c16="http://schemas.microsoft.com/office/drawing/2014/chart" uri="{C3380CC4-5D6E-409C-BE32-E72D297353CC}">
              <c16:uniqueId val="{00000001-DBA2-4C11-9481-0F51AF71DB6B}"/>
            </c:ext>
          </c:extLst>
        </c:ser>
        <c:ser>
          <c:idx val="2"/>
          <c:order val="2"/>
          <c:tx>
            <c:strRef>
              <c:f>Graphs!$D$251</c:f>
              <c:strCache>
                <c:ptCount val="1"/>
                <c:pt idx="0">
                  <c:v>Coke</c:v>
                </c:pt>
              </c:strCache>
            </c:strRef>
          </c:tx>
          <c:spPr>
            <a:solidFill>
              <a:srgbClr val="762700"/>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Graphs!$D$252:$D$266</c:f>
              <c:numCache>
                <c:formatCode>0.00</c:formatCode>
                <c:ptCount val="15"/>
                <c:pt idx="0">
                  <c:v>11.204997069167643</c:v>
                </c:pt>
                <c:pt idx="1">
                  <c:v>1.190143610785463</c:v>
                </c:pt>
                <c:pt idx="2">
                  <c:v>2.5445486518171159E-2</c:v>
                </c:pt>
                <c:pt idx="3">
                  <c:v>0.29203106682297775</c:v>
                </c:pt>
                <c:pt idx="4">
                  <c:v>0.10435228604923799</c:v>
                </c:pt>
                <c:pt idx="5">
                  <c:v>3.8276670574443139E-3</c:v>
                </c:pt>
                <c:pt idx="6">
                  <c:v>5.4091441969519344E-2</c:v>
                </c:pt>
                <c:pt idx="7">
                  <c:v>1.4331770222743259E-3</c:v>
                </c:pt>
                <c:pt idx="8">
                  <c:v>0.12964536928487691</c:v>
                </c:pt>
                <c:pt idx="9">
                  <c:v>1.7584994138335289E-5</c:v>
                </c:pt>
                <c:pt idx="10">
                  <c:v>4.3083235638921455E-4</c:v>
                </c:pt>
                <c:pt idx="11">
                  <c:v>4.1441969519343501E-3</c:v>
                </c:pt>
                <c:pt idx="12">
                  <c:v>1.6031652989449004E-3</c:v>
                </c:pt>
                <c:pt idx="13">
                  <c:v>2.9308323563892146E-6</c:v>
                </c:pt>
                <c:pt idx="14">
                  <c:v>1.1723329425556858E-5</c:v>
                </c:pt>
              </c:numCache>
            </c:numRef>
          </c:val>
          <c:extLst>
            <c:ext xmlns:c16="http://schemas.microsoft.com/office/drawing/2014/chart" uri="{C3380CC4-5D6E-409C-BE32-E72D297353CC}">
              <c16:uniqueId val="{00000002-DBA2-4C11-9481-0F51AF71DB6B}"/>
            </c:ext>
          </c:extLst>
        </c:ser>
        <c:ser>
          <c:idx val="3"/>
          <c:order val="3"/>
          <c:tx>
            <c:strRef>
              <c:f>Graphs!$E$251</c:f>
              <c:strCache>
                <c:ptCount val="1"/>
                <c:pt idx="0">
                  <c:v>Coal/Coke Byproducts</c:v>
                </c:pt>
              </c:strCache>
            </c:strRef>
          </c:tx>
          <c:spPr>
            <a:solidFill>
              <a:srgbClr val="B45A00"/>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Graphs!$E$252:$E$266</c:f>
              <c:numCache>
                <c:formatCode>0.00</c:formatCode>
                <c:ptCount val="15"/>
                <c:pt idx="0">
                  <c:v>4.3196395076201641</c:v>
                </c:pt>
                <c:pt idx="1">
                  <c:v>0.39607854630715128</c:v>
                </c:pt>
                <c:pt idx="2">
                  <c:v>0.57957209847596725</c:v>
                </c:pt>
                <c:pt idx="3">
                  <c:v>0.20965709261430249</c:v>
                </c:pt>
                <c:pt idx="4">
                  <c:v>0.16550703399765535</c:v>
                </c:pt>
                <c:pt idx="5">
                  <c:v>1.7291910902696367E-4</c:v>
                </c:pt>
                <c:pt idx="6">
                  <c:v>3.4935521688159439E-3</c:v>
                </c:pt>
                <c:pt idx="7">
                  <c:v>2.9308323563892146E-6</c:v>
                </c:pt>
                <c:pt idx="8">
                  <c:v>3.6400937866354052E-2</c:v>
                </c:pt>
                <c:pt idx="9">
                  <c:v>2.01641266119578E-3</c:v>
                </c:pt>
                <c:pt idx="10">
                  <c:v>0</c:v>
                </c:pt>
                <c:pt idx="11">
                  <c:v>1.0990621336459557E-3</c:v>
                </c:pt>
                <c:pt idx="12">
                  <c:v>2.9894490035169987E-3</c:v>
                </c:pt>
                <c:pt idx="13">
                  <c:v>0</c:v>
                </c:pt>
                <c:pt idx="14">
                  <c:v>2.2567409144196954E-4</c:v>
                </c:pt>
              </c:numCache>
            </c:numRef>
          </c:val>
          <c:extLst>
            <c:ext xmlns:c16="http://schemas.microsoft.com/office/drawing/2014/chart" uri="{C3380CC4-5D6E-409C-BE32-E72D297353CC}">
              <c16:uniqueId val="{00000003-DBA2-4C11-9481-0F51AF71DB6B}"/>
            </c:ext>
          </c:extLst>
        </c:ser>
        <c:ser>
          <c:idx val="4"/>
          <c:order val="4"/>
          <c:tx>
            <c:strRef>
              <c:f>Graphs!$F$251</c:f>
              <c:strCache>
                <c:ptCount val="1"/>
                <c:pt idx="0">
                  <c:v>Petroleum</c:v>
                </c:pt>
              </c:strCache>
            </c:strRef>
          </c:tx>
          <c:spPr>
            <a:solidFill>
              <a:srgbClr val="7030A0"/>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Graphs!$F$252:$F$266</c:f>
              <c:numCache>
                <c:formatCode>0.00</c:formatCode>
                <c:ptCount val="15"/>
                <c:pt idx="0">
                  <c:v>3.8021688159437281E-2</c:v>
                </c:pt>
                <c:pt idx="1">
                  <c:v>4.092368112543963</c:v>
                </c:pt>
                <c:pt idx="2">
                  <c:v>5.7938247362250879</c:v>
                </c:pt>
                <c:pt idx="3">
                  <c:v>1.3918200468933177</c:v>
                </c:pt>
                <c:pt idx="4">
                  <c:v>0.10585287221570927</c:v>
                </c:pt>
                <c:pt idx="5">
                  <c:v>2.1374560375146543E-2</c:v>
                </c:pt>
                <c:pt idx="6">
                  <c:v>4.3783704572098493E-2</c:v>
                </c:pt>
                <c:pt idx="7">
                  <c:v>1.3748534583821808E-2</c:v>
                </c:pt>
                <c:pt idx="8">
                  <c:v>1.7734466588511136E-2</c:v>
                </c:pt>
                <c:pt idx="9">
                  <c:v>1.4589683470105509E-2</c:v>
                </c:pt>
                <c:pt idx="10">
                  <c:v>1.6647127784290741E-2</c:v>
                </c:pt>
                <c:pt idx="11">
                  <c:v>2.6699882766705749E-2</c:v>
                </c:pt>
                <c:pt idx="12">
                  <c:v>2.1195779601406797E-2</c:v>
                </c:pt>
                <c:pt idx="13">
                  <c:v>6.7350527549824152E-3</c:v>
                </c:pt>
                <c:pt idx="14">
                  <c:v>8.4056271981242658E-3</c:v>
                </c:pt>
              </c:numCache>
            </c:numRef>
          </c:val>
          <c:extLst>
            <c:ext xmlns:c16="http://schemas.microsoft.com/office/drawing/2014/chart" uri="{C3380CC4-5D6E-409C-BE32-E72D297353CC}">
              <c16:uniqueId val="{00000004-DBA2-4C11-9481-0F51AF71DB6B}"/>
            </c:ext>
          </c:extLst>
        </c:ser>
        <c:ser>
          <c:idx val="7"/>
          <c:order val="5"/>
          <c:tx>
            <c:strRef>
              <c:f>Graphs!$G$251</c:f>
              <c:strCache>
                <c:ptCount val="1"/>
                <c:pt idx="0">
                  <c:v>Natural Gas</c:v>
                </c:pt>
              </c:strCache>
            </c:strRef>
          </c:tx>
          <c:spPr>
            <a:solidFill>
              <a:srgbClr val="FF3399"/>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Graphs!$G$252:$G$266</c:f>
              <c:numCache>
                <c:formatCode>0.00</c:formatCode>
                <c:ptCount val="15"/>
                <c:pt idx="0">
                  <c:v>0.53608733880422055</c:v>
                </c:pt>
                <c:pt idx="1">
                  <c:v>1.9759056271981246</c:v>
                </c:pt>
                <c:pt idx="2">
                  <c:v>0.45433177022274324</c:v>
                </c:pt>
                <c:pt idx="3">
                  <c:v>0.952198124267292</c:v>
                </c:pt>
                <c:pt idx="4">
                  <c:v>0.27919988276670582</c:v>
                </c:pt>
                <c:pt idx="5">
                  <c:v>0.35146248534583829</c:v>
                </c:pt>
                <c:pt idx="6">
                  <c:v>0.25355803048065656</c:v>
                </c:pt>
                <c:pt idx="7">
                  <c:v>0.22776670574443142</c:v>
                </c:pt>
                <c:pt idx="8">
                  <c:v>0.26504103165298948</c:v>
                </c:pt>
                <c:pt idx="9">
                  <c:v>0.19302168815943729</c:v>
                </c:pt>
                <c:pt idx="10">
                  <c:v>8.8147713950762027E-2</c:v>
                </c:pt>
                <c:pt idx="11">
                  <c:v>0.24200762016412661</c:v>
                </c:pt>
                <c:pt idx="12">
                  <c:v>7.2523446658851118E-2</c:v>
                </c:pt>
                <c:pt idx="13">
                  <c:v>2.2898593200468935E-2</c:v>
                </c:pt>
                <c:pt idx="14">
                  <c:v>4.9618991793669402E-2</c:v>
                </c:pt>
              </c:numCache>
            </c:numRef>
          </c:val>
          <c:extLst>
            <c:ext xmlns:c16="http://schemas.microsoft.com/office/drawing/2014/chart" uri="{C3380CC4-5D6E-409C-BE32-E72D297353CC}">
              <c16:uniqueId val="{00000000-5538-40D5-BF1A-468DD5E33C73}"/>
            </c:ext>
          </c:extLst>
        </c:ser>
        <c:ser>
          <c:idx val="5"/>
          <c:order val="6"/>
          <c:tx>
            <c:strRef>
              <c:f>Graphs!$H$251</c:f>
              <c:strCache>
                <c:ptCount val="1"/>
                <c:pt idx="0">
                  <c:v>Bioenergy and Waste</c:v>
                </c:pt>
              </c:strCache>
            </c:strRef>
          </c:tx>
          <c:spPr>
            <a:solidFill>
              <a:schemeClr val="accent6">
                <a:lumMod val="75000"/>
              </a:schemeClr>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Graphs!$H$252:$H$266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DBA2-4C11-9481-0F51AF71DB6B}"/>
            </c:ext>
          </c:extLst>
        </c:ser>
        <c:ser>
          <c:idx val="6"/>
          <c:order val="7"/>
          <c:tx>
            <c:strRef>
              <c:f>Graphs!$I$251</c:f>
              <c:strCache>
                <c:ptCount val="1"/>
                <c:pt idx="0">
                  <c:v>Purchased Heat</c:v>
                </c:pt>
              </c:strCache>
            </c:strRef>
          </c:tx>
          <c:spPr>
            <a:solidFill>
              <a:srgbClr val="C00000"/>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Graphs!$I$252:$I$266</c:f>
              <c:numCache>
                <c:formatCode>0.00</c:formatCode>
                <c:ptCount val="15"/>
                <c:pt idx="0">
                  <c:v>0.18370457209847596</c:v>
                </c:pt>
                <c:pt idx="1">
                  <c:v>3.1916617819460731</c:v>
                </c:pt>
                <c:pt idx="2">
                  <c:v>0.92932883939038691</c:v>
                </c:pt>
                <c:pt idx="3">
                  <c:v>6.4258499413833534E-2</c:v>
                </c:pt>
                <c:pt idx="4">
                  <c:v>0.30917350527549825</c:v>
                </c:pt>
                <c:pt idx="5">
                  <c:v>0.39646541617819464</c:v>
                </c:pt>
                <c:pt idx="6">
                  <c:v>3.8774912075029311E-2</c:v>
                </c:pt>
                <c:pt idx="7">
                  <c:v>0.35373681125439627</c:v>
                </c:pt>
                <c:pt idx="8">
                  <c:v>7.8898007033997661E-3</c:v>
                </c:pt>
                <c:pt idx="9">
                  <c:v>3.4519343493552172E-2</c:v>
                </c:pt>
                <c:pt idx="10">
                  <c:v>0.35872508792497071</c:v>
                </c:pt>
                <c:pt idx="11">
                  <c:v>2.9264361078546311E-2</c:v>
                </c:pt>
                <c:pt idx="12">
                  <c:v>4.4073856975381014E-2</c:v>
                </c:pt>
                <c:pt idx="13">
                  <c:v>8.9361078546307138E-3</c:v>
                </c:pt>
                <c:pt idx="14">
                  <c:v>2.9454865181711611E-3</c:v>
                </c:pt>
              </c:numCache>
            </c:numRef>
          </c:val>
          <c:extLst>
            <c:ext xmlns:c16="http://schemas.microsoft.com/office/drawing/2014/chart" uri="{C3380CC4-5D6E-409C-BE32-E72D297353CC}">
              <c16:uniqueId val="{00000006-DBA2-4C11-9481-0F51AF71DB6B}"/>
            </c:ext>
          </c:extLst>
        </c:ser>
        <c:ser>
          <c:idx val="8"/>
          <c:order val="8"/>
          <c:tx>
            <c:strRef>
              <c:f>Graphs!$J$251</c:f>
              <c:strCache>
                <c:ptCount val="1"/>
                <c:pt idx="0">
                  <c:v>Direct Use of Electricity</c:v>
                </c:pt>
              </c:strCache>
            </c:strRef>
          </c:tx>
          <c:spPr>
            <a:solidFill>
              <a:srgbClr val="FFC000"/>
            </a:solidFill>
            <a:ln>
              <a:noFill/>
            </a:ln>
            <a:effectLst/>
          </c:spPr>
          <c:invertIfNegative val="0"/>
          <c:cat>
            <c:strRef>
              <c:f>Graphs!$A$252:$A$266</c:f>
              <c:strCache>
                <c:ptCount val="15"/>
                <c:pt idx="0">
                  <c:v>Iron &amp; steel</c:v>
                </c:pt>
                <c:pt idx="1">
                  <c:v>Chemicals</c:v>
                </c:pt>
                <c:pt idx="2">
                  <c:v>Refining &amp; fuel processing</c:v>
                </c:pt>
                <c:pt idx="3">
                  <c:v>Non-metallic minerals</c:v>
                </c:pt>
                <c:pt idx="4">
                  <c:v>Nonferrous metals</c:v>
                </c:pt>
                <c:pt idx="5">
                  <c:v>Food, beverage, &amp; tobacco</c:v>
                </c:pt>
                <c:pt idx="6">
                  <c:v>Machinery</c:v>
                </c:pt>
                <c:pt idx="7">
                  <c:v>Textiles, leather, &amp; apparel</c:v>
                </c:pt>
                <c:pt idx="8">
                  <c:v>Other metal products</c:v>
                </c:pt>
                <c:pt idx="9">
                  <c:v>Electronics</c:v>
                </c:pt>
                <c:pt idx="10">
                  <c:v>Pulp, paper, &amp; printing</c:v>
                </c:pt>
                <c:pt idx="11">
                  <c:v>Vehicles &amp; transport equipment</c:v>
                </c:pt>
                <c:pt idx="12">
                  <c:v>Plastic &amp; rubber products</c:v>
                </c:pt>
                <c:pt idx="13">
                  <c:v>Wood &amp; furniture</c:v>
                </c:pt>
                <c:pt idx="14">
                  <c:v>Other manufacturing</c:v>
                </c:pt>
              </c:strCache>
            </c:strRef>
          </c:cat>
          <c:val>
            <c:numRef>
              <c:f>Graphs!$J$252:$J$266</c:f>
              <c:numCache>
                <c:formatCode>0.00</c:formatCode>
                <c:ptCount val="15"/>
                <c:pt idx="0">
                  <c:v>2.4712250879249709</c:v>
                </c:pt>
                <c:pt idx="1">
                  <c:v>2.7509906213364603</c:v>
                </c:pt>
                <c:pt idx="2">
                  <c:v>0.57566822977725673</c:v>
                </c:pt>
                <c:pt idx="3">
                  <c:v>1.4475234466588511</c:v>
                </c:pt>
                <c:pt idx="4">
                  <c:v>2.8031477139507626</c:v>
                </c:pt>
                <c:pt idx="5">
                  <c:v>0.57035463071512327</c:v>
                </c:pt>
                <c:pt idx="6">
                  <c:v>1.1417203985932005</c:v>
                </c:pt>
                <c:pt idx="7">
                  <c:v>0.78564185228604944</c:v>
                </c:pt>
                <c:pt idx="8">
                  <c:v>0.59407092614302459</c:v>
                </c:pt>
                <c:pt idx="9">
                  <c:v>0.74964830011723338</c:v>
                </c:pt>
                <c:pt idx="10">
                  <c:v>0.37584701055099651</c:v>
                </c:pt>
                <c:pt idx="11">
                  <c:v>0.57022274325908562</c:v>
                </c:pt>
                <c:pt idx="12">
                  <c:v>0.5793991793669403</c:v>
                </c:pt>
                <c:pt idx="13">
                  <c:v>0.15977725674091442</c:v>
                </c:pt>
                <c:pt idx="14">
                  <c:v>0.31414419695193435</c:v>
                </c:pt>
              </c:numCache>
            </c:numRef>
          </c:val>
          <c:extLst>
            <c:ext xmlns:c16="http://schemas.microsoft.com/office/drawing/2014/chart" uri="{C3380CC4-5D6E-409C-BE32-E72D297353CC}">
              <c16:uniqueId val="{00000000-0F5E-4872-854C-3DB3DEA0CBD9}"/>
            </c:ext>
          </c:extLst>
        </c:ser>
        <c:dLbls>
          <c:showLegendKey val="0"/>
          <c:showVal val="0"/>
          <c:showCatName val="0"/>
          <c:showSerName val="0"/>
          <c:showPercent val="0"/>
          <c:showBubbleSize val="0"/>
        </c:dLbls>
        <c:gapWidth val="70"/>
        <c:overlap val="100"/>
        <c:axId val="1558695200"/>
        <c:axId val="1558696640"/>
      </c:barChart>
      <c:catAx>
        <c:axId val="1558695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558696640"/>
        <c:crosses val="autoZero"/>
        <c:auto val="1"/>
        <c:lblAlgn val="ctr"/>
        <c:lblOffset val="100"/>
        <c:noMultiLvlLbl val="0"/>
      </c:catAx>
      <c:valAx>
        <c:axId val="1558696640"/>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545775668059247"/>
              <c:y val="8.725747203639963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5586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China's Cement Industry Energy Transition</a:t>
            </a:r>
          </a:p>
          <a:p>
            <a:pPr>
              <a:defRPr/>
            </a:pPr>
            <a:r>
              <a:rPr lang="en-US" b="1" i="1" u="none"/>
              <a:t>Energy Technology Pathway</a:t>
            </a:r>
          </a:p>
          <a:p>
            <a:pPr>
              <a:defRPr/>
            </a:pPr>
            <a:r>
              <a:rPr lang="en-US" b="1" i="1" u="none"/>
              <a:t>(including RE Expansion)</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3353087035770888E-2"/>
          <c:y val="0.17389093585681473"/>
          <c:w val="0.49620071509139702"/>
          <c:h val="0.76502519110125933"/>
        </c:manualLayout>
      </c:layout>
      <c:barChart>
        <c:barDir val="col"/>
        <c:grouping val="stacked"/>
        <c:varyColors val="0"/>
        <c:ser>
          <c:idx val="4"/>
          <c:order val="0"/>
          <c:tx>
            <c:strRef>
              <c:f>'Cement Cost Model-China'!$A$130</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Model-China'!$B$130:$C$130</c:f>
              <c:numCache>
                <c:formatCode>_(* #,##0.0_);_(* \(#,##0.0\);_(* "-"??_);_(@_)</c:formatCode>
                <c:ptCount val="2"/>
                <c:pt idx="0">
                  <c:v>2.8951659238349907</c:v>
                </c:pt>
                <c:pt idx="1">
                  <c:v>11.580663695339963</c:v>
                </c:pt>
              </c:numCache>
            </c:numRef>
          </c:val>
          <c:extLst>
            <c:ext xmlns:c16="http://schemas.microsoft.com/office/drawing/2014/chart" uri="{C3380CC4-5D6E-409C-BE32-E72D297353CC}">
              <c16:uniqueId val="{00000000-A27D-4B28-AF73-F65771D6FCA1}"/>
            </c:ext>
          </c:extLst>
        </c:ser>
        <c:ser>
          <c:idx val="5"/>
          <c:order val="1"/>
          <c:tx>
            <c:strRef>
              <c:f>'Cement Cost Model-China'!$A$132</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Model-China'!$B$132:$C$132</c:f>
              <c:numCache>
                <c:formatCode>_(* #,##0.0_);_(* \(#,##0.0\);_(* "-"??_);_(@_)</c:formatCode>
                <c:ptCount val="2"/>
                <c:pt idx="0">
                  <c:v>1.2644210526315787</c:v>
                </c:pt>
                <c:pt idx="1">
                  <c:v>5.0576842105263147</c:v>
                </c:pt>
              </c:numCache>
            </c:numRef>
          </c:val>
          <c:extLst>
            <c:ext xmlns:c16="http://schemas.microsoft.com/office/drawing/2014/chart" uri="{C3380CC4-5D6E-409C-BE32-E72D297353CC}">
              <c16:uniqueId val="{00000002-A27D-4B28-AF73-F65771D6FCA1}"/>
            </c:ext>
          </c:extLst>
        </c:ser>
        <c:ser>
          <c:idx val="0"/>
          <c:order val="2"/>
          <c:tx>
            <c:strRef>
              <c:f>'Cement Cost Model-China'!$A$133</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Model-China'!$B$133:$C$133</c:f>
              <c:numCache>
                <c:formatCode>_(* #,##0.0_);_(* \(#,##0.0\);_(* "-"??_);_(@_)</c:formatCode>
                <c:ptCount val="2"/>
                <c:pt idx="0">
                  <c:v>1.2644210526315787</c:v>
                </c:pt>
                <c:pt idx="1">
                  <c:v>5.0576842105263147</c:v>
                </c:pt>
              </c:numCache>
            </c:numRef>
          </c:val>
          <c:extLst>
            <c:ext xmlns:c16="http://schemas.microsoft.com/office/drawing/2014/chart" uri="{C3380CC4-5D6E-409C-BE32-E72D297353CC}">
              <c16:uniqueId val="{00000000-E08E-41D7-8E70-D209122AFE18}"/>
            </c:ext>
          </c:extLst>
        </c:ser>
        <c:ser>
          <c:idx val="1"/>
          <c:order val="3"/>
          <c:tx>
            <c:strRef>
              <c:f>'Cement Cost Model-China'!$A$135</c:f>
              <c:strCache>
                <c:ptCount val="1"/>
                <c:pt idx="0">
                  <c:v>Industrial and solid wastes </c:v>
                </c:pt>
              </c:strCache>
            </c:strRef>
          </c:tx>
          <c:spPr>
            <a:solidFill>
              <a:schemeClr val="accent2"/>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Model-China'!$B$135:$C$135</c:f>
              <c:numCache>
                <c:formatCode>_(* #,##0.0_);_(* \(#,##0.0\);_(* "-"??_);_(@_)</c:formatCode>
                <c:ptCount val="2"/>
                <c:pt idx="0">
                  <c:v>1.2399002103601111</c:v>
                </c:pt>
                <c:pt idx="1">
                  <c:v>3.4748475242105261</c:v>
                </c:pt>
              </c:numCache>
            </c:numRef>
          </c:val>
          <c:extLst>
            <c:ext xmlns:c16="http://schemas.microsoft.com/office/drawing/2014/chart" uri="{C3380CC4-5D6E-409C-BE32-E72D297353CC}">
              <c16:uniqueId val="{00000001-E08E-41D7-8E70-D209122AFE18}"/>
            </c:ext>
          </c:extLst>
        </c:ser>
        <c:ser>
          <c:idx val="2"/>
          <c:order val="4"/>
          <c:tx>
            <c:strRef>
              <c:f>'Cement Cost Model-China'!$A$136</c:f>
              <c:strCache>
                <c:ptCount val="1"/>
                <c:pt idx="0">
                  <c:v>Biomass </c:v>
                </c:pt>
              </c:strCache>
            </c:strRef>
          </c:tx>
          <c:spPr>
            <a:solidFill>
              <a:schemeClr val="accent2">
                <a:lumMod val="5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Model-China'!$B$136:$C$136</c:f>
              <c:numCache>
                <c:formatCode>_(* #,##0.0_);_(* \(#,##0.0\);_(* "-"??_);_(@_)</c:formatCode>
                <c:ptCount val="2"/>
                <c:pt idx="0">
                  <c:v>0.14298114612188367</c:v>
                </c:pt>
                <c:pt idx="1">
                  <c:v>0.40526315789473683</c:v>
                </c:pt>
              </c:numCache>
            </c:numRef>
          </c:val>
          <c:extLst>
            <c:ext xmlns:c16="http://schemas.microsoft.com/office/drawing/2014/chart" uri="{C3380CC4-5D6E-409C-BE32-E72D297353CC}">
              <c16:uniqueId val="{00000002-E08E-41D7-8E70-D209122AFE18}"/>
            </c:ext>
          </c:extLst>
        </c:ser>
        <c:ser>
          <c:idx val="3"/>
          <c:order val="5"/>
          <c:tx>
            <c:strRef>
              <c:f>'Cement Cost Model-China'!$A$137</c:f>
              <c:strCache>
                <c:ptCount val="1"/>
                <c:pt idx="0">
                  <c:v>H2 Injection</c:v>
                </c:pt>
              </c:strCache>
            </c:strRef>
          </c:tx>
          <c:spPr>
            <a:solidFill>
              <a:schemeClr val="accent6">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Model-China'!$B$137:$C$137</c:f>
              <c:numCache>
                <c:formatCode>_(* #,##0.0_);_(* \(#,##0.0\);_(* "-"??_);_(@_)</c:formatCode>
                <c:ptCount val="2"/>
                <c:pt idx="0">
                  <c:v>8.3645190587082183E-2</c:v>
                </c:pt>
                <c:pt idx="1">
                  <c:v>3.8980065264843664</c:v>
                </c:pt>
              </c:numCache>
            </c:numRef>
          </c:val>
          <c:extLst>
            <c:ext xmlns:c16="http://schemas.microsoft.com/office/drawing/2014/chart" uri="{C3380CC4-5D6E-409C-BE32-E72D297353CC}">
              <c16:uniqueId val="{00000003-E08E-41D7-8E70-D209122AFE18}"/>
            </c:ext>
          </c:extLst>
        </c:ser>
        <c:ser>
          <c:idx val="6"/>
          <c:order val="6"/>
          <c:tx>
            <c:strRef>
              <c:f>'Cement Cost Model-China'!$A$140</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Model-China'!$B$140:$C$140</c:f>
              <c:numCache>
                <c:formatCode>_(* #,##0.0_);_(* \(#,##0.0\);_(* "-"??_);_(@_)</c:formatCode>
                <c:ptCount val="2"/>
                <c:pt idx="0">
                  <c:v>6.766231074260995</c:v>
                </c:pt>
                <c:pt idx="1">
                  <c:v>41.952054794520549</c:v>
                </c:pt>
              </c:numCache>
            </c:numRef>
          </c:val>
          <c:extLst>
            <c:ext xmlns:c16="http://schemas.microsoft.com/office/drawing/2014/chart" uri="{C3380CC4-5D6E-409C-BE32-E72D297353CC}">
              <c16:uniqueId val="{00000004-E08E-41D7-8E70-D209122AFE18}"/>
            </c:ext>
          </c:extLst>
        </c:ser>
        <c:ser>
          <c:idx val="8"/>
          <c:order val="7"/>
          <c:tx>
            <c:strRef>
              <c:f>'Cement Cost Model-China'!$A$142</c:f>
              <c:strCache>
                <c:ptCount val="1"/>
                <c:pt idx="0">
                  <c:v>RE Supply for H2 Production (renewables)</c:v>
                </c:pt>
              </c:strCache>
            </c:strRef>
          </c:tx>
          <c:spPr>
            <a:solidFill>
              <a:schemeClr val="accent6">
                <a:lumMod val="20000"/>
                <a:lumOff val="8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Model-China'!$B$142:$C$142</c:f>
              <c:numCache>
                <c:formatCode>_(* #,##0.0_);_(* \(#,##0.0\);_(* "-"??_);_(@_)</c:formatCode>
                <c:ptCount val="2"/>
                <c:pt idx="0">
                  <c:v>8.626658412772473</c:v>
                </c:pt>
                <c:pt idx="1">
                  <c:v>91.238272729230744</c:v>
                </c:pt>
              </c:numCache>
            </c:numRef>
          </c:val>
          <c:extLst>
            <c:ext xmlns:c16="http://schemas.microsoft.com/office/drawing/2014/chart" uri="{C3380CC4-5D6E-409C-BE32-E72D297353CC}">
              <c16:uniqueId val="{00000006-E08E-41D7-8E70-D209122AFE18}"/>
            </c:ext>
          </c:extLst>
        </c:ser>
        <c:ser>
          <c:idx val="7"/>
          <c:order val="8"/>
          <c:tx>
            <c:strRef>
              <c:f>'Cement Cost Model-China'!$A$143</c:f>
              <c:strCache>
                <c:ptCount val="1"/>
                <c:pt idx="0">
                  <c:v>CCS</c:v>
                </c:pt>
              </c:strCache>
            </c:strRef>
          </c:tx>
          <c:spPr>
            <a:solidFill>
              <a:schemeClr val="bg2">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Model-China'!$B$143:$C$143</c:f>
              <c:numCache>
                <c:formatCode>_(* #,##0_);_(* \(#,##0\);_(* "-"??_);_(@_)</c:formatCode>
                <c:ptCount val="2"/>
                <c:pt idx="0">
                  <c:v>12.582340858725763</c:v>
                </c:pt>
                <c:pt idx="1">
                  <c:v>290.00823408587257</c:v>
                </c:pt>
              </c:numCache>
            </c:numRef>
          </c:val>
          <c:extLst>
            <c:ext xmlns:c16="http://schemas.microsoft.com/office/drawing/2014/chart" uri="{C3380CC4-5D6E-409C-BE32-E72D297353CC}">
              <c16:uniqueId val="{00000005-E08E-41D7-8E70-D209122AFE18}"/>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480131465"/>
          <c:y val="0.26425042196680953"/>
          <c:w val="0.32178907290579983"/>
          <c:h val="0.7201478189913302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400" b="1" i="0" baseline="0">
                <a:effectLst/>
              </a:rPr>
              <a:t>Cumulative Investment (CAPEX) Needs for</a:t>
            </a:r>
          </a:p>
          <a:p>
            <a:pPr>
              <a:defRPr/>
            </a:pPr>
            <a:r>
              <a:rPr lang="en-US" sz="1400" b="1" i="0" baseline="0">
                <a:effectLst/>
              </a:rPr>
              <a:t> China's Cement Industry Energy Transition</a:t>
            </a:r>
            <a:endParaRPr lang="en-US" sz="1100">
              <a:effectLst/>
            </a:endParaRPr>
          </a:p>
          <a:p>
            <a:pPr>
              <a:defRPr/>
            </a:pPr>
            <a:r>
              <a:rPr lang="en-US" sz="1400" b="1" i="1" baseline="0">
                <a:effectLst/>
              </a:rPr>
              <a:t>Circular Economy Pathway; CCS Investment NOT Included</a:t>
            </a:r>
            <a:endParaRPr lang="en-US" sz="1100">
              <a:effectLst/>
            </a:endParaRP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0203245217288652E-2"/>
          <c:y val="0.20216207771856323"/>
          <c:w val="0.4748670246571956"/>
          <c:h val="0.7367483600878072"/>
        </c:manualLayout>
      </c:layout>
      <c:barChart>
        <c:barDir val="col"/>
        <c:grouping val="stacked"/>
        <c:varyColors val="0"/>
        <c:ser>
          <c:idx val="1"/>
          <c:order val="0"/>
          <c:tx>
            <c:strRef>
              <c:f>'Cement Cost Model-China'!$A$149</c:f>
              <c:strCache>
                <c:ptCount val="1"/>
                <c:pt idx="0">
                  <c:v>Energy Efficiency</c:v>
                </c:pt>
              </c:strCache>
            </c:strRef>
          </c:tx>
          <c:spPr>
            <a:solidFill>
              <a:schemeClr val="accent5">
                <a:lumMod val="5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Model-China'!$B$149:$C$149</c:f>
              <c:numCache>
                <c:formatCode>_(* #,##0.0_);_(* \(#,##0.0\);_(* "-"??_);_(@_)</c:formatCode>
                <c:ptCount val="2"/>
                <c:pt idx="0">
                  <c:v>2.3681042799205181</c:v>
                </c:pt>
                <c:pt idx="1">
                  <c:v>8.7619858357059162</c:v>
                </c:pt>
              </c:numCache>
            </c:numRef>
          </c:val>
          <c:extLst>
            <c:ext xmlns:c16="http://schemas.microsoft.com/office/drawing/2014/chart" uri="{C3380CC4-5D6E-409C-BE32-E72D297353CC}">
              <c16:uniqueId val="{00000000-B557-4723-9D2F-761923030DE4}"/>
            </c:ext>
          </c:extLst>
        </c:ser>
        <c:ser>
          <c:idx val="9"/>
          <c:order val="1"/>
          <c:tx>
            <c:strRef>
              <c:f>'Cement Cost Model-China'!$A$151</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Model-China'!$B$151:$C$151</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1-B557-4723-9D2F-761923030DE4}"/>
            </c:ext>
          </c:extLst>
        </c:ser>
        <c:ser>
          <c:idx val="10"/>
          <c:order val="2"/>
          <c:tx>
            <c:strRef>
              <c:f>'Cement Cost Model-China'!$A$152</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Model-China'!$B$152:$C$152</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2-B557-4723-9D2F-761923030DE4}"/>
            </c:ext>
          </c:extLst>
        </c:ser>
        <c:ser>
          <c:idx val="0"/>
          <c:order val="3"/>
          <c:tx>
            <c:strRef>
              <c:f>'Cement Cost Model-China'!$A$154</c:f>
              <c:strCache>
                <c:ptCount val="1"/>
                <c:pt idx="0">
                  <c:v>Industrial and solid wastes </c:v>
                </c:pt>
              </c:strCache>
            </c:strRef>
          </c:tx>
          <c:spPr>
            <a:solidFill>
              <a:schemeClr val="accent2"/>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Model-China'!$B$154:$C$154</c:f>
              <c:numCache>
                <c:formatCode>_(* #,##0.0_);_(* \(#,##0.0\);_(* "-"??_);_(@_)</c:formatCode>
                <c:ptCount val="2"/>
                <c:pt idx="0">
                  <c:v>1.9033327283656511</c:v>
                </c:pt>
                <c:pt idx="1">
                  <c:v>4.4150580505263157</c:v>
                </c:pt>
              </c:numCache>
            </c:numRef>
          </c:val>
          <c:extLst>
            <c:ext xmlns:c16="http://schemas.microsoft.com/office/drawing/2014/chart" uri="{C3380CC4-5D6E-409C-BE32-E72D297353CC}">
              <c16:uniqueId val="{00000003-B557-4723-9D2F-761923030DE4}"/>
            </c:ext>
          </c:extLst>
        </c:ser>
        <c:ser>
          <c:idx val="5"/>
          <c:order val="4"/>
          <c:tx>
            <c:strRef>
              <c:f>'Cement Cost Model-China'!$A$155</c:f>
              <c:strCache>
                <c:ptCount val="1"/>
                <c:pt idx="0">
                  <c:v>Biomass </c:v>
                </c:pt>
              </c:strCache>
            </c:strRef>
          </c:tx>
          <c:spPr>
            <a:solidFill>
              <a:schemeClr val="accent2">
                <a:lumMod val="5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Model-China'!$B$155:$C$155</c:f>
              <c:numCache>
                <c:formatCode>_(* #,##0.0_);_(* \(#,##0.0\);_(* "-"??_);_(@_)</c:formatCode>
                <c:ptCount val="2"/>
                <c:pt idx="0">
                  <c:v>0.28596229224376735</c:v>
                </c:pt>
                <c:pt idx="1">
                  <c:v>0.67543859649122817</c:v>
                </c:pt>
              </c:numCache>
            </c:numRef>
          </c:val>
          <c:extLst>
            <c:ext xmlns:c16="http://schemas.microsoft.com/office/drawing/2014/chart" uri="{C3380CC4-5D6E-409C-BE32-E72D297353CC}">
              <c16:uniqueId val="{00000004-B557-4723-9D2F-761923030DE4}"/>
            </c:ext>
          </c:extLst>
        </c:ser>
        <c:ser>
          <c:idx val="6"/>
          <c:order val="5"/>
          <c:tx>
            <c:strRef>
              <c:f>'Cement Cost Model-China'!$A$156</c:f>
              <c:strCache>
                <c:ptCount val="1"/>
                <c:pt idx="0">
                  <c:v>H2 Injection</c:v>
                </c:pt>
              </c:strCache>
            </c:strRef>
          </c:tx>
          <c:spPr>
            <a:solidFill>
              <a:schemeClr val="accent6">
                <a:lumMod val="75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Model-China'!$B$156:$C$156</c:f>
              <c:numCache>
                <c:formatCode>_(* #,##0.0_);_(* \(#,##0.0\);_(* "-"??_);_(@_)</c:formatCode>
                <c:ptCount val="2"/>
                <c:pt idx="0">
                  <c:v>8.3645190587082183E-2</c:v>
                </c:pt>
                <c:pt idx="1">
                  <c:v>1.724751141689046</c:v>
                </c:pt>
              </c:numCache>
            </c:numRef>
          </c:val>
          <c:extLst>
            <c:ext xmlns:c16="http://schemas.microsoft.com/office/drawing/2014/chart" uri="{C3380CC4-5D6E-409C-BE32-E72D297353CC}">
              <c16:uniqueId val="{00000005-B557-4723-9D2F-761923030DE4}"/>
            </c:ext>
          </c:extLst>
        </c:ser>
        <c:ser>
          <c:idx val="11"/>
          <c:order val="6"/>
          <c:tx>
            <c:strRef>
              <c:f>'Cement Cost Model-China'!$A$159</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Model-China'!$B$159:$C$159</c:f>
              <c:numCache>
                <c:formatCode>_(* #,##0.0_);_(* \(#,##0.0\);_(* "-"??_);_(@_)</c:formatCode>
                <c:ptCount val="2"/>
                <c:pt idx="0">
                  <c:v>6.766231074260995</c:v>
                </c:pt>
                <c:pt idx="1">
                  <c:v>19.977168949771695</c:v>
                </c:pt>
              </c:numCache>
            </c:numRef>
          </c:val>
          <c:extLst>
            <c:ext xmlns:c16="http://schemas.microsoft.com/office/drawing/2014/chart" uri="{C3380CC4-5D6E-409C-BE32-E72D297353CC}">
              <c16:uniqueId val="{00000006-B557-4723-9D2F-761923030DE4}"/>
            </c:ext>
          </c:extLst>
        </c:ser>
        <c:ser>
          <c:idx val="2"/>
          <c:order val="7"/>
          <c:tx>
            <c:strRef>
              <c:f>'Cement Cost Model-China'!$A$161</c:f>
              <c:strCache>
                <c:ptCount val="1"/>
                <c:pt idx="0">
                  <c:v>RE Supply for H2 Production (renewables)</c:v>
                </c:pt>
              </c:strCache>
            </c:strRef>
          </c:tx>
          <c:spPr>
            <a:solidFill>
              <a:schemeClr val="accent6">
                <a:lumMod val="20000"/>
                <a:lumOff val="8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Model-China'!$B$161:$C$161</c:f>
              <c:numCache>
                <c:formatCode>_(* #,##0.0_);_(* \(#,##0.0\);_(* "-"??_);_(@_)</c:formatCode>
                <c:ptCount val="2"/>
                <c:pt idx="0">
                  <c:v>8.626658412772473</c:v>
                </c:pt>
                <c:pt idx="1">
                  <c:v>43.446796537728936</c:v>
                </c:pt>
              </c:numCache>
            </c:numRef>
          </c:val>
          <c:extLst>
            <c:ext xmlns:c16="http://schemas.microsoft.com/office/drawing/2014/chart" uri="{C3380CC4-5D6E-409C-BE32-E72D297353CC}">
              <c16:uniqueId val="{00000007-B557-4723-9D2F-761923030DE4}"/>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9414464393469879"/>
          <c:y val="0.35026796294737389"/>
          <c:w val="0.32205466976761732"/>
          <c:h val="0.6497320961096020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China's Cement Industry Energy Transition</a:t>
            </a:r>
          </a:p>
          <a:p>
            <a:pPr>
              <a:defRPr/>
            </a:pPr>
            <a:r>
              <a:rPr lang="en-US" b="1" i="1"/>
              <a:t>Energy Technology Pathway;</a:t>
            </a:r>
            <a:r>
              <a:rPr lang="en-US" b="1" i="1" baseline="0"/>
              <a:t> CCS Investment NOT Included</a:t>
            </a:r>
            <a:endParaRPr lang="en-US" b="1" i="1"/>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3353087035770888E-2"/>
          <c:y val="0.17389093585681473"/>
          <c:w val="0.49620071509139702"/>
          <c:h val="0.76502519110125933"/>
        </c:manualLayout>
      </c:layout>
      <c:barChart>
        <c:barDir val="col"/>
        <c:grouping val="stacked"/>
        <c:varyColors val="0"/>
        <c:ser>
          <c:idx val="4"/>
          <c:order val="0"/>
          <c:tx>
            <c:strRef>
              <c:f>'Cement Cost Model-China'!$A$130</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Model-China'!$B$130:$C$130</c:f>
              <c:numCache>
                <c:formatCode>_(* #,##0.0_);_(* \(#,##0.0\);_(* "-"??_);_(@_)</c:formatCode>
                <c:ptCount val="2"/>
                <c:pt idx="0">
                  <c:v>2.8951659238349907</c:v>
                </c:pt>
                <c:pt idx="1">
                  <c:v>11.580663695339963</c:v>
                </c:pt>
              </c:numCache>
            </c:numRef>
          </c:val>
          <c:extLst>
            <c:ext xmlns:c16="http://schemas.microsoft.com/office/drawing/2014/chart" uri="{C3380CC4-5D6E-409C-BE32-E72D297353CC}">
              <c16:uniqueId val="{00000000-F31C-41C6-A663-5C95646D1444}"/>
            </c:ext>
          </c:extLst>
        </c:ser>
        <c:ser>
          <c:idx val="5"/>
          <c:order val="1"/>
          <c:tx>
            <c:strRef>
              <c:f>'Cement Cost Model-China'!$A$132</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Model-China'!$B$132:$C$132</c:f>
              <c:numCache>
                <c:formatCode>_(* #,##0.0_);_(* \(#,##0.0\);_(* "-"??_);_(@_)</c:formatCode>
                <c:ptCount val="2"/>
                <c:pt idx="0">
                  <c:v>1.2644210526315787</c:v>
                </c:pt>
                <c:pt idx="1">
                  <c:v>5.0576842105263147</c:v>
                </c:pt>
              </c:numCache>
            </c:numRef>
          </c:val>
          <c:extLst>
            <c:ext xmlns:c16="http://schemas.microsoft.com/office/drawing/2014/chart" uri="{C3380CC4-5D6E-409C-BE32-E72D297353CC}">
              <c16:uniqueId val="{00000001-F31C-41C6-A663-5C95646D1444}"/>
            </c:ext>
          </c:extLst>
        </c:ser>
        <c:ser>
          <c:idx val="0"/>
          <c:order val="2"/>
          <c:tx>
            <c:strRef>
              <c:f>'Cement Cost Model-China'!$A$133</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Model-China'!$B$133:$C$133</c:f>
              <c:numCache>
                <c:formatCode>_(* #,##0.0_);_(* \(#,##0.0\);_(* "-"??_);_(@_)</c:formatCode>
                <c:ptCount val="2"/>
                <c:pt idx="0">
                  <c:v>1.2644210526315787</c:v>
                </c:pt>
                <c:pt idx="1">
                  <c:v>5.0576842105263147</c:v>
                </c:pt>
              </c:numCache>
            </c:numRef>
          </c:val>
          <c:extLst>
            <c:ext xmlns:c16="http://schemas.microsoft.com/office/drawing/2014/chart" uri="{C3380CC4-5D6E-409C-BE32-E72D297353CC}">
              <c16:uniqueId val="{00000002-F31C-41C6-A663-5C95646D1444}"/>
            </c:ext>
          </c:extLst>
        </c:ser>
        <c:ser>
          <c:idx val="1"/>
          <c:order val="3"/>
          <c:tx>
            <c:strRef>
              <c:f>'Cement Cost Model-China'!$A$135</c:f>
              <c:strCache>
                <c:ptCount val="1"/>
                <c:pt idx="0">
                  <c:v>Industrial and solid wastes </c:v>
                </c:pt>
              </c:strCache>
            </c:strRef>
          </c:tx>
          <c:spPr>
            <a:solidFill>
              <a:schemeClr val="accent2"/>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Model-China'!$B$135:$C$135</c:f>
              <c:numCache>
                <c:formatCode>_(* #,##0.0_);_(* \(#,##0.0\);_(* "-"??_);_(@_)</c:formatCode>
                <c:ptCount val="2"/>
                <c:pt idx="0">
                  <c:v>1.2399002103601111</c:v>
                </c:pt>
                <c:pt idx="1">
                  <c:v>3.4748475242105261</c:v>
                </c:pt>
              </c:numCache>
            </c:numRef>
          </c:val>
          <c:extLst>
            <c:ext xmlns:c16="http://schemas.microsoft.com/office/drawing/2014/chart" uri="{C3380CC4-5D6E-409C-BE32-E72D297353CC}">
              <c16:uniqueId val="{00000003-F31C-41C6-A663-5C95646D1444}"/>
            </c:ext>
          </c:extLst>
        </c:ser>
        <c:ser>
          <c:idx val="2"/>
          <c:order val="4"/>
          <c:tx>
            <c:strRef>
              <c:f>'Cement Cost Model-China'!$A$136</c:f>
              <c:strCache>
                <c:ptCount val="1"/>
                <c:pt idx="0">
                  <c:v>Biomass </c:v>
                </c:pt>
              </c:strCache>
            </c:strRef>
          </c:tx>
          <c:spPr>
            <a:solidFill>
              <a:schemeClr val="accent2">
                <a:lumMod val="5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Model-China'!$B$136:$C$136</c:f>
              <c:numCache>
                <c:formatCode>_(* #,##0.0_);_(* \(#,##0.0\);_(* "-"??_);_(@_)</c:formatCode>
                <c:ptCount val="2"/>
                <c:pt idx="0">
                  <c:v>0.14298114612188367</c:v>
                </c:pt>
                <c:pt idx="1">
                  <c:v>0.40526315789473683</c:v>
                </c:pt>
              </c:numCache>
            </c:numRef>
          </c:val>
          <c:extLst>
            <c:ext xmlns:c16="http://schemas.microsoft.com/office/drawing/2014/chart" uri="{C3380CC4-5D6E-409C-BE32-E72D297353CC}">
              <c16:uniqueId val="{00000004-F31C-41C6-A663-5C95646D1444}"/>
            </c:ext>
          </c:extLst>
        </c:ser>
        <c:ser>
          <c:idx val="3"/>
          <c:order val="5"/>
          <c:tx>
            <c:strRef>
              <c:f>'Cement Cost Model-China'!$A$137</c:f>
              <c:strCache>
                <c:ptCount val="1"/>
                <c:pt idx="0">
                  <c:v>H2 Injection</c:v>
                </c:pt>
              </c:strCache>
            </c:strRef>
          </c:tx>
          <c:spPr>
            <a:solidFill>
              <a:schemeClr val="accent6">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Model-China'!$B$137:$C$137</c:f>
              <c:numCache>
                <c:formatCode>_(* #,##0.0_);_(* \(#,##0.0\);_(* "-"??_);_(@_)</c:formatCode>
                <c:ptCount val="2"/>
                <c:pt idx="0">
                  <c:v>8.3645190587082183E-2</c:v>
                </c:pt>
                <c:pt idx="1">
                  <c:v>3.8980065264843664</c:v>
                </c:pt>
              </c:numCache>
            </c:numRef>
          </c:val>
          <c:extLst>
            <c:ext xmlns:c16="http://schemas.microsoft.com/office/drawing/2014/chart" uri="{C3380CC4-5D6E-409C-BE32-E72D297353CC}">
              <c16:uniqueId val="{00000005-F31C-41C6-A663-5C95646D1444}"/>
            </c:ext>
          </c:extLst>
        </c:ser>
        <c:ser>
          <c:idx val="6"/>
          <c:order val="6"/>
          <c:tx>
            <c:strRef>
              <c:f>'Cement Cost Model-China'!$A$140</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Model-China'!$B$140:$C$140</c:f>
              <c:numCache>
                <c:formatCode>_(* #,##0.0_);_(* \(#,##0.0\);_(* "-"??_);_(@_)</c:formatCode>
                <c:ptCount val="2"/>
                <c:pt idx="0">
                  <c:v>6.766231074260995</c:v>
                </c:pt>
                <c:pt idx="1">
                  <c:v>41.952054794520549</c:v>
                </c:pt>
              </c:numCache>
            </c:numRef>
          </c:val>
          <c:extLst>
            <c:ext xmlns:c16="http://schemas.microsoft.com/office/drawing/2014/chart" uri="{C3380CC4-5D6E-409C-BE32-E72D297353CC}">
              <c16:uniqueId val="{00000006-F31C-41C6-A663-5C95646D1444}"/>
            </c:ext>
          </c:extLst>
        </c:ser>
        <c:ser>
          <c:idx val="8"/>
          <c:order val="7"/>
          <c:tx>
            <c:strRef>
              <c:f>'Cement Cost Model-China'!$A$142</c:f>
              <c:strCache>
                <c:ptCount val="1"/>
                <c:pt idx="0">
                  <c:v>RE Supply for H2 Production (renewables)</c:v>
                </c:pt>
              </c:strCache>
            </c:strRef>
          </c:tx>
          <c:spPr>
            <a:solidFill>
              <a:schemeClr val="accent6">
                <a:lumMod val="20000"/>
                <a:lumOff val="8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Model-China'!$B$142:$C$142</c:f>
              <c:numCache>
                <c:formatCode>_(* #,##0.0_);_(* \(#,##0.0\);_(* "-"??_);_(@_)</c:formatCode>
                <c:ptCount val="2"/>
                <c:pt idx="0">
                  <c:v>8.626658412772473</c:v>
                </c:pt>
                <c:pt idx="1">
                  <c:v>91.238272729230744</c:v>
                </c:pt>
              </c:numCache>
            </c:numRef>
          </c:val>
          <c:extLst>
            <c:ext xmlns:c16="http://schemas.microsoft.com/office/drawing/2014/chart" uri="{C3380CC4-5D6E-409C-BE32-E72D297353CC}">
              <c16:uniqueId val="{00000007-F31C-41C6-A663-5C95646D1444}"/>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480131465"/>
          <c:y val="0.26425042196680953"/>
          <c:w val="0.33541662277751266"/>
          <c:h val="0.7160923994657550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Marginal Abatement Cost Curve for the</a:t>
            </a:r>
            <a:r>
              <a:rPr lang="en-US" baseline="0"/>
              <a:t> Chinese </a:t>
            </a:r>
            <a:r>
              <a:rPr lang="en-US"/>
              <a:t>Cement Industry </a:t>
            </a:r>
          </a:p>
          <a:p>
            <a:pPr>
              <a:defRPr/>
            </a:pPr>
            <a:r>
              <a:rPr lang="en-US"/>
              <a:t>in 2060 (Circular Economy Pathway)</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1"/>
          <c:order val="1"/>
          <c:tx>
            <c:strRef>
              <c:f>'Cement Cost Model-China'!$E$292</c:f>
              <c:strCache>
                <c:ptCount val="1"/>
                <c:pt idx="0">
                  <c:v>Clinker Substitution</c:v>
                </c:pt>
              </c:strCache>
            </c:strRef>
          </c:tx>
          <c:spPr>
            <a:solidFill>
              <a:schemeClr val="accent2"/>
            </a:solidFill>
            <a:ln w="25400">
              <a:noFill/>
            </a:ln>
            <a:effectLst/>
          </c:spPr>
          <c:invertIfNegative val="0"/>
          <c:cat>
            <c:numRef>
              <c:f>'Cement Cost Model-China'!$N$327:$N$730</c:f>
              <c:numCache>
                <c:formatCode>General</c:formatCode>
                <c:ptCount val="404"/>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numCache>
            </c:numRef>
          </c:cat>
          <c:val>
            <c:numRef>
              <c:f>'Cement Cost Model-China'!$O$327:$O$730</c:f>
              <c:numCache>
                <c:formatCode>_("$"* #,##0.00_);_("$"* \(#,##0.00\);_("$"* "-"??_);_(@_)</c:formatCode>
                <c:ptCount val="4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numCache>
            </c:numRef>
          </c:val>
          <c:extLst>
            <c:ext xmlns:c16="http://schemas.microsoft.com/office/drawing/2014/chart" uri="{C3380CC4-5D6E-409C-BE32-E72D297353CC}">
              <c16:uniqueId val="{00000000-9CF9-494E-B040-45A19F0195D1}"/>
            </c:ext>
          </c:extLst>
        </c:ser>
        <c:ser>
          <c:idx val="2"/>
          <c:order val="2"/>
          <c:tx>
            <c:strRef>
              <c:f>'Cement Cost Model-China'!$P$326</c:f>
              <c:strCache>
                <c:ptCount val="1"/>
                <c:pt idx="0">
                  <c:v>Energy Efficiency</c:v>
                </c:pt>
              </c:strCache>
            </c:strRef>
          </c:tx>
          <c:spPr>
            <a:solidFill>
              <a:schemeClr val="accent6">
                <a:lumMod val="40000"/>
                <a:lumOff val="60000"/>
              </a:schemeClr>
            </a:solidFill>
            <a:ln w="25400">
              <a:noFill/>
            </a:ln>
            <a:effectLst/>
          </c:spPr>
          <c:invertIfNegative val="0"/>
          <c:cat>
            <c:numRef>
              <c:f>'Cement Cost Model-China'!$N$327:$N$730</c:f>
              <c:numCache>
                <c:formatCode>General</c:formatCode>
                <c:ptCount val="404"/>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numCache>
            </c:numRef>
          </c:cat>
          <c:val>
            <c:numRef>
              <c:f>'Cement Cost Model-China'!$P$327:$P$747</c:f>
              <c:numCache>
                <c:formatCode>General</c:formatCode>
                <c:ptCount val="421"/>
                <c:pt idx="170" formatCode="_(&quot;$&quot;* #,##0.00_);_(&quot;$&quot;* \(#,##0.00\);_(&quot;$&quot;* &quot;-&quot;??_);_(@_)">
                  <c:v>0</c:v>
                </c:pt>
                <c:pt idx="171" formatCode="_(&quot;$&quot;* #,##0.00_);_(&quot;$&quot;* \(#,##0.00\);_(&quot;$&quot;* &quot;-&quot;??_);_(@_)">
                  <c:v>0</c:v>
                </c:pt>
                <c:pt idx="172" formatCode="_(&quot;$&quot;* #,##0.00_);_(&quot;$&quot;* \(#,##0.00\);_(&quot;$&quot;* &quot;-&quot;??_);_(@_)">
                  <c:v>0</c:v>
                </c:pt>
                <c:pt idx="173" formatCode="_(&quot;$&quot;* #,##0.00_);_(&quot;$&quot;* \(#,##0.00\);_(&quot;$&quot;* &quot;-&quot;??_);_(@_)">
                  <c:v>0</c:v>
                </c:pt>
                <c:pt idx="174" formatCode="_(&quot;$&quot;* #,##0.00_);_(&quot;$&quot;* \(#,##0.00\);_(&quot;$&quot;* &quot;-&quot;??_);_(@_)">
                  <c:v>0</c:v>
                </c:pt>
                <c:pt idx="175" formatCode="_(&quot;$&quot;* #,##0.00_);_(&quot;$&quot;* \(#,##0.00\);_(&quot;$&quot;* &quot;-&quot;??_);_(@_)">
                  <c:v>0</c:v>
                </c:pt>
                <c:pt idx="176" formatCode="_(&quot;$&quot;* #,##0.00_);_(&quot;$&quot;* \(#,##0.00\);_(&quot;$&quot;* &quot;-&quot;??_);_(@_)">
                  <c:v>0</c:v>
                </c:pt>
                <c:pt idx="177" formatCode="_(&quot;$&quot;* #,##0.00_);_(&quot;$&quot;* \(#,##0.00\);_(&quot;$&quot;* &quot;-&quot;??_);_(@_)">
                  <c:v>0</c:v>
                </c:pt>
                <c:pt idx="178" formatCode="_(&quot;$&quot;* #,##0.00_);_(&quot;$&quot;* \(#,##0.00\);_(&quot;$&quot;* &quot;-&quot;??_);_(@_)">
                  <c:v>0</c:v>
                </c:pt>
                <c:pt idx="179" formatCode="_(&quot;$&quot;* #,##0.00_);_(&quot;$&quot;* \(#,##0.00\);_(&quot;$&quot;* &quot;-&quot;??_);_(@_)">
                  <c:v>0</c:v>
                </c:pt>
                <c:pt idx="180" formatCode="_(&quot;$&quot;* #,##0.00_);_(&quot;$&quot;* \(#,##0.00\);_(&quot;$&quot;* &quot;-&quot;??_);_(@_)">
                  <c:v>0</c:v>
                </c:pt>
                <c:pt idx="181" formatCode="_(&quot;$&quot;* #,##0.00_);_(&quot;$&quot;* \(#,##0.00\);_(&quot;$&quot;* &quot;-&quot;??_);_(@_)">
                  <c:v>0</c:v>
                </c:pt>
                <c:pt idx="182" formatCode="_(&quot;$&quot;* #,##0.00_);_(&quot;$&quot;* \(#,##0.00\);_(&quot;$&quot;* &quot;-&quot;??_);_(@_)">
                  <c:v>0</c:v>
                </c:pt>
                <c:pt idx="183" formatCode="_(&quot;$&quot;* #,##0.00_);_(&quot;$&quot;* \(#,##0.00\);_(&quot;$&quot;* &quot;-&quot;??_);_(@_)">
                  <c:v>0</c:v>
                </c:pt>
                <c:pt idx="184" formatCode="_(&quot;$&quot;* #,##0.00_);_(&quot;$&quot;* \(#,##0.00\);_(&quot;$&quot;* &quot;-&quot;??_);_(@_)">
                  <c:v>0</c:v>
                </c:pt>
                <c:pt idx="185" formatCode="_(&quot;$&quot;* #,##0.00_);_(&quot;$&quot;* \(#,##0.00\);_(&quot;$&quot;* &quot;-&quot;??_);_(@_)">
                  <c:v>0</c:v>
                </c:pt>
                <c:pt idx="186" formatCode="_(&quot;$&quot;* #,##0.00_);_(&quot;$&quot;* \(#,##0.00\);_(&quot;$&quot;* &quot;-&quot;??_);_(@_)">
                  <c:v>0</c:v>
                </c:pt>
                <c:pt idx="187" formatCode="_(&quot;$&quot;* #,##0.00_);_(&quot;$&quot;* \(#,##0.00\);_(&quot;$&quot;* &quot;-&quot;??_);_(@_)">
                  <c:v>0</c:v>
                </c:pt>
                <c:pt idx="188" formatCode="_(&quot;$&quot;* #,##0.00_);_(&quot;$&quot;* \(#,##0.00\);_(&quot;$&quot;* &quot;-&quot;??_);_(@_)">
                  <c:v>0</c:v>
                </c:pt>
                <c:pt idx="189" formatCode="_(&quot;$&quot;* #,##0.00_);_(&quot;$&quot;* \(#,##0.00\);_(&quot;$&quot;* &quot;-&quot;??_);_(@_)">
                  <c:v>0</c:v>
                </c:pt>
                <c:pt idx="190" formatCode="_(&quot;$&quot;* #,##0.00_);_(&quot;$&quot;* \(#,##0.00\);_(&quot;$&quot;* &quot;-&quot;??_);_(@_)">
                  <c:v>0</c:v>
                </c:pt>
                <c:pt idx="191" formatCode="_(&quot;$&quot;* #,##0.00_);_(&quot;$&quot;* \(#,##0.00\);_(&quot;$&quot;* &quot;-&quot;??_);_(@_)">
                  <c:v>0</c:v>
                </c:pt>
                <c:pt idx="192" formatCode="_(&quot;$&quot;* #,##0.00_);_(&quot;$&quot;* \(#,##0.00\);_(&quot;$&quot;* &quot;-&quot;??_);_(@_)">
                  <c:v>0</c:v>
                </c:pt>
                <c:pt idx="193" formatCode="_(&quot;$&quot;* #,##0.00_);_(&quot;$&quot;* \(#,##0.00\);_(&quot;$&quot;* &quot;-&quot;??_);_(@_)">
                  <c:v>0</c:v>
                </c:pt>
                <c:pt idx="194" formatCode="_(&quot;$&quot;* #,##0.00_);_(&quot;$&quot;* \(#,##0.00\);_(&quot;$&quot;* &quot;-&quot;??_);_(@_)">
                  <c:v>0</c:v>
                </c:pt>
                <c:pt idx="195" formatCode="_(&quot;$&quot;* #,##0.00_);_(&quot;$&quot;* \(#,##0.00\);_(&quot;$&quot;* &quot;-&quot;??_);_(@_)">
                  <c:v>0</c:v>
                </c:pt>
                <c:pt idx="196" formatCode="_(&quot;$&quot;* #,##0.00_);_(&quot;$&quot;* \(#,##0.00\);_(&quot;$&quot;* &quot;-&quot;??_);_(@_)">
                  <c:v>0</c:v>
                </c:pt>
                <c:pt idx="197" formatCode="_(&quot;$&quot;* #,##0.00_);_(&quot;$&quot;* \(#,##0.00\);_(&quot;$&quot;* &quot;-&quot;??_);_(@_)">
                  <c:v>0</c:v>
                </c:pt>
                <c:pt idx="198" formatCode="_(&quot;$&quot;* #,##0.00_);_(&quot;$&quot;* \(#,##0.00\);_(&quot;$&quot;* &quot;-&quot;??_);_(@_)">
                  <c:v>0</c:v>
                </c:pt>
                <c:pt idx="199" formatCode="_(&quot;$&quot;* #,##0.00_);_(&quot;$&quot;* \(#,##0.00\);_(&quot;$&quot;* &quot;-&quot;??_);_(@_)">
                  <c:v>0</c:v>
                </c:pt>
                <c:pt idx="200" formatCode="_(&quot;$&quot;* #,##0.00_);_(&quot;$&quot;* \(#,##0.00\);_(&quot;$&quot;* &quot;-&quot;??_);_(@_)">
                  <c:v>0</c:v>
                </c:pt>
                <c:pt idx="201" formatCode="_(&quot;$&quot;* #,##0.00_);_(&quot;$&quot;* \(#,##0.00\);_(&quot;$&quot;* &quot;-&quot;??_);_(@_)">
                  <c:v>0</c:v>
                </c:pt>
                <c:pt idx="202" formatCode="_(&quot;$&quot;* #,##0.00_);_(&quot;$&quot;* \(#,##0.00\);_(&quot;$&quot;* &quot;-&quot;??_);_(@_)">
                  <c:v>0</c:v>
                </c:pt>
                <c:pt idx="203" formatCode="_(&quot;$&quot;* #,##0.00_);_(&quot;$&quot;* \(#,##0.00\);_(&quot;$&quot;* &quot;-&quot;??_);_(@_)">
                  <c:v>0</c:v>
                </c:pt>
                <c:pt idx="204" formatCode="_(&quot;$&quot;* #,##0.00_);_(&quot;$&quot;* \(#,##0.00\);_(&quot;$&quot;* &quot;-&quot;??_);_(@_)">
                  <c:v>0</c:v>
                </c:pt>
              </c:numCache>
            </c:numRef>
          </c:val>
          <c:extLst>
            <c:ext xmlns:c16="http://schemas.microsoft.com/office/drawing/2014/chart" uri="{C3380CC4-5D6E-409C-BE32-E72D297353CC}">
              <c16:uniqueId val="{00000001-9CF9-494E-B040-45A19F0195D1}"/>
            </c:ext>
          </c:extLst>
        </c:ser>
        <c:ser>
          <c:idx val="3"/>
          <c:order val="3"/>
          <c:tx>
            <c:strRef>
              <c:f>'Cement Cost Model-China'!$Q$326</c:f>
              <c:strCache>
                <c:ptCount val="1"/>
                <c:pt idx="0">
                  <c:v>Alternative Fuels: Biomass</c:v>
                </c:pt>
              </c:strCache>
            </c:strRef>
          </c:tx>
          <c:spPr>
            <a:solidFill>
              <a:schemeClr val="accent4"/>
            </a:solidFill>
            <a:ln w="25400">
              <a:noFill/>
            </a:ln>
            <a:effectLst/>
          </c:spPr>
          <c:invertIfNegative val="0"/>
          <c:cat>
            <c:numRef>
              <c:f>'Cement Cost Model-China'!$N$327:$N$730</c:f>
              <c:numCache>
                <c:formatCode>General</c:formatCode>
                <c:ptCount val="404"/>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numCache>
            </c:numRef>
          </c:cat>
          <c:val>
            <c:numRef>
              <c:f>'Cement Cost Model-China'!$Q$327:$Q$747</c:f>
              <c:numCache>
                <c:formatCode>General</c:formatCode>
                <c:ptCount val="421"/>
                <c:pt idx="205" formatCode="_(&quot;$&quot;* #,##0.00_);_(&quot;$&quot;* \(#,##0.00\);_(&quot;$&quot;* &quot;-&quot;??_);_(@_)">
                  <c:v>56.306088364464749</c:v>
                </c:pt>
                <c:pt idx="206" formatCode="_(&quot;$&quot;* #,##0.00_);_(&quot;$&quot;* \(#,##0.00\);_(&quot;$&quot;* &quot;-&quot;??_);_(@_)">
                  <c:v>56.306088364464749</c:v>
                </c:pt>
                <c:pt idx="207" formatCode="_(&quot;$&quot;* #,##0.00_);_(&quot;$&quot;* \(#,##0.00\);_(&quot;$&quot;* &quot;-&quot;??_);_(@_)">
                  <c:v>56.306088364464749</c:v>
                </c:pt>
                <c:pt idx="208" formatCode="_(&quot;$&quot;* #,##0.00_);_(&quot;$&quot;* \(#,##0.00\);_(&quot;$&quot;* &quot;-&quot;??_);_(@_)">
                  <c:v>56.306088364464749</c:v>
                </c:pt>
              </c:numCache>
            </c:numRef>
          </c:val>
          <c:extLst>
            <c:ext xmlns:c16="http://schemas.microsoft.com/office/drawing/2014/chart" uri="{C3380CC4-5D6E-409C-BE32-E72D297353CC}">
              <c16:uniqueId val="{00000002-9CF9-494E-B040-45A19F0195D1}"/>
            </c:ext>
          </c:extLst>
        </c:ser>
        <c:ser>
          <c:idx val="4"/>
          <c:order val="4"/>
          <c:tx>
            <c:strRef>
              <c:f>'Cement Cost Model-China'!$R$326</c:f>
              <c:strCache>
                <c:ptCount val="1"/>
                <c:pt idx="0">
                  <c:v>Alternative Fuels: Industrial Wastes</c:v>
                </c:pt>
              </c:strCache>
            </c:strRef>
          </c:tx>
          <c:spPr>
            <a:solidFill>
              <a:schemeClr val="accent5"/>
            </a:solidFill>
            <a:ln>
              <a:noFill/>
            </a:ln>
            <a:effectLst/>
          </c:spPr>
          <c:invertIfNegative val="0"/>
          <c:cat>
            <c:numRef>
              <c:f>'Cement Cost Model-China'!$N$327:$N$730</c:f>
              <c:numCache>
                <c:formatCode>General</c:formatCode>
                <c:ptCount val="404"/>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numCache>
            </c:numRef>
          </c:cat>
          <c:val>
            <c:numRef>
              <c:f>'Cement Cost Model-China'!$R$327:$R$747</c:f>
              <c:numCache>
                <c:formatCode>General</c:formatCode>
                <c:ptCount val="421"/>
                <c:pt idx="209" formatCode="_(&quot;$&quot;* #,##0.00_);_(&quot;$&quot;* \(#,##0.00\);_(&quot;$&quot;* &quot;-&quot;??_);_(@_)">
                  <c:v>223.67308638302552</c:v>
                </c:pt>
                <c:pt idx="210" formatCode="_(&quot;$&quot;* #,##0.00_);_(&quot;$&quot;* \(#,##0.00\);_(&quot;$&quot;* &quot;-&quot;??_);_(@_)">
                  <c:v>223.67308638302552</c:v>
                </c:pt>
                <c:pt idx="211" formatCode="_(&quot;$&quot;* #,##0.00_);_(&quot;$&quot;* \(#,##0.00\);_(&quot;$&quot;* &quot;-&quot;??_);_(@_)">
                  <c:v>223.67308638302552</c:v>
                </c:pt>
                <c:pt idx="212" formatCode="_(&quot;$&quot;* #,##0.00_);_(&quot;$&quot;* \(#,##0.00\);_(&quot;$&quot;* &quot;-&quot;??_);_(@_)">
                  <c:v>223.67308638302552</c:v>
                </c:pt>
                <c:pt idx="213" formatCode="_(&quot;$&quot;* #,##0.00_);_(&quot;$&quot;* \(#,##0.00\);_(&quot;$&quot;* &quot;-&quot;??_);_(@_)">
                  <c:v>223.67308638302552</c:v>
                </c:pt>
                <c:pt idx="214" formatCode="_(&quot;$&quot;* #,##0.00_);_(&quot;$&quot;* \(#,##0.00\);_(&quot;$&quot;* &quot;-&quot;??_);_(@_)">
                  <c:v>223.67308638302552</c:v>
                </c:pt>
                <c:pt idx="215" formatCode="_(&quot;$&quot;* #,##0.00_);_(&quot;$&quot;* \(#,##0.00\);_(&quot;$&quot;* &quot;-&quot;??_);_(@_)">
                  <c:v>223.67308638302552</c:v>
                </c:pt>
                <c:pt idx="216" formatCode="_(&quot;$&quot;* #,##0.00_);_(&quot;$&quot;* \(#,##0.00\);_(&quot;$&quot;* &quot;-&quot;??_);_(@_)">
                  <c:v>223.67308638302552</c:v>
                </c:pt>
                <c:pt idx="217" formatCode="_(&quot;$&quot;* #,##0.00_);_(&quot;$&quot;* \(#,##0.00\);_(&quot;$&quot;* &quot;-&quot;??_);_(@_)">
                  <c:v>223.67308638302552</c:v>
                </c:pt>
                <c:pt idx="218" formatCode="_(&quot;$&quot;* #,##0.00_);_(&quot;$&quot;* \(#,##0.00\);_(&quot;$&quot;* &quot;-&quot;??_);_(@_)">
                  <c:v>223.67308638302552</c:v>
                </c:pt>
                <c:pt idx="219" formatCode="_(&quot;$&quot;* #,##0.00_);_(&quot;$&quot;* \(#,##0.00\);_(&quot;$&quot;* &quot;-&quot;??_);_(@_)">
                  <c:v>223.67308638302552</c:v>
                </c:pt>
                <c:pt idx="220" formatCode="_(&quot;$&quot;* #,##0.00_);_(&quot;$&quot;* \(#,##0.00\);_(&quot;$&quot;* &quot;-&quot;??_);_(@_)">
                  <c:v>223.67308638302552</c:v>
                </c:pt>
                <c:pt idx="221" formatCode="_(&quot;$&quot;* #,##0.00_);_(&quot;$&quot;* \(#,##0.00\);_(&quot;$&quot;* &quot;-&quot;??_);_(@_)">
                  <c:v>223.67308638302552</c:v>
                </c:pt>
                <c:pt idx="222" formatCode="_(&quot;$&quot;* #,##0.00_);_(&quot;$&quot;* \(#,##0.00\);_(&quot;$&quot;* &quot;-&quot;??_);_(@_)">
                  <c:v>223.67308638302552</c:v>
                </c:pt>
                <c:pt idx="223" formatCode="_(&quot;$&quot;* #,##0.00_);_(&quot;$&quot;* \(#,##0.00\);_(&quot;$&quot;* &quot;-&quot;??_);_(@_)">
                  <c:v>223.67308638302552</c:v>
                </c:pt>
                <c:pt idx="224" formatCode="_(&quot;$&quot;* #,##0.00_);_(&quot;$&quot;* \(#,##0.00\);_(&quot;$&quot;* &quot;-&quot;??_);_(@_)">
                  <c:v>223.67308638302552</c:v>
                </c:pt>
                <c:pt idx="225" formatCode="_(&quot;$&quot;* #,##0.00_);_(&quot;$&quot;* \(#,##0.00\);_(&quot;$&quot;* &quot;-&quot;??_);_(@_)">
                  <c:v>223.67308638302552</c:v>
                </c:pt>
                <c:pt idx="226" formatCode="_(&quot;$&quot;* #,##0.00_);_(&quot;$&quot;* \(#,##0.00\);_(&quot;$&quot;* &quot;-&quot;??_);_(@_)">
                  <c:v>223.67308638302552</c:v>
                </c:pt>
                <c:pt idx="227" formatCode="_(&quot;$&quot;* #,##0.00_);_(&quot;$&quot;* \(#,##0.00\);_(&quot;$&quot;* &quot;-&quot;??_);_(@_)">
                  <c:v>223.67308638302552</c:v>
                </c:pt>
                <c:pt idx="228" formatCode="_(&quot;$&quot;* #,##0.00_);_(&quot;$&quot;* \(#,##0.00\);_(&quot;$&quot;* &quot;-&quot;??_);_(@_)">
                  <c:v>223.67308638302552</c:v>
                </c:pt>
                <c:pt idx="229" formatCode="_(&quot;$&quot;* #,##0.00_);_(&quot;$&quot;* \(#,##0.00\);_(&quot;$&quot;* &quot;-&quot;??_);_(@_)">
                  <c:v>223.67308638302552</c:v>
                </c:pt>
                <c:pt idx="230" formatCode="_(&quot;$&quot;* #,##0.00_);_(&quot;$&quot;* \(#,##0.00\);_(&quot;$&quot;* &quot;-&quot;??_);_(@_)">
                  <c:v>223.67308638302552</c:v>
                </c:pt>
                <c:pt idx="231" formatCode="_(&quot;$&quot;* #,##0.00_);_(&quot;$&quot;* \(#,##0.00\);_(&quot;$&quot;* &quot;-&quot;??_);_(@_)">
                  <c:v>223.67308638302552</c:v>
                </c:pt>
                <c:pt idx="232" formatCode="_(&quot;$&quot;* #,##0.00_);_(&quot;$&quot;* \(#,##0.00\);_(&quot;$&quot;* &quot;-&quot;??_);_(@_)">
                  <c:v>223.67308638302552</c:v>
                </c:pt>
                <c:pt idx="233" formatCode="_(&quot;$&quot;* #,##0.00_);_(&quot;$&quot;* \(#,##0.00\);_(&quot;$&quot;* &quot;-&quot;??_);_(@_)">
                  <c:v>223.67308638302552</c:v>
                </c:pt>
              </c:numCache>
            </c:numRef>
          </c:val>
          <c:extLst>
            <c:ext xmlns:c16="http://schemas.microsoft.com/office/drawing/2014/chart" uri="{C3380CC4-5D6E-409C-BE32-E72D297353CC}">
              <c16:uniqueId val="{00000003-9CF9-494E-B040-45A19F0195D1}"/>
            </c:ext>
          </c:extLst>
        </c:ser>
        <c:ser>
          <c:idx val="5"/>
          <c:order val="5"/>
          <c:tx>
            <c:strRef>
              <c:f>'Cement Cost Model-China'!$T$326</c:f>
              <c:strCache>
                <c:ptCount val="1"/>
                <c:pt idx="0">
                  <c:v>CCS</c:v>
                </c:pt>
              </c:strCache>
            </c:strRef>
          </c:tx>
          <c:spPr>
            <a:solidFill>
              <a:schemeClr val="accent6"/>
            </a:solidFill>
            <a:ln>
              <a:noFill/>
            </a:ln>
            <a:effectLst/>
          </c:spPr>
          <c:invertIfNegative val="0"/>
          <c:cat>
            <c:numRef>
              <c:f>'Cement Cost Model-China'!$N$327:$N$730</c:f>
              <c:numCache>
                <c:formatCode>General</c:formatCode>
                <c:ptCount val="404"/>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numCache>
            </c:numRef>
          </c:cat>
          <c:val>
            <c:numRef>
              <c:f>'Cement Cost Model-China'!$S$327:$S$747</c:f>
              <c:numCache>
                <c:formatCode>General</c:formatCode>
                <c:ptCount val="421"/>
                <c:pt idx="234" formatCode="_(&quot;$&quot;* #,##0.00_);_(&quot;$&quot;* \(#,##0.00\);_(&quot;$&quot;* &quot;-&quot;??_);_(@_)">
                  <c:v>0</c:v>
                </c:pt>
                <c:pt idx="235" formatCode="_(&quot;$&quot;* #,##0.00_);_(&quot;$&quot;* \(#,##0.00\);_(&quot;$&quot;* &quot;-&quot;??_);_(@_)">
                  <c:v>0</c:v>
                </c:pt>
                <c:pt idx="236" formatCode="_(&quot;$&quot;* #,##0.00_);_(&quot;$&quot;* \(#,##0.00\);_(&quot;$&quot;* &quot;-&quot;??_);_(@_)">
                  <c:v>0</c:v>
                </c:pt>
                <c:pt idx="237" formatCode="_(&quot;$&quot;* #,##0.00_);_(&quot;$&quot;* \(#,##0.00\);_(&quot;$&quot;* &quot;-&quot;??_);_(@_)">
                  <c:v>0</c:v>
                </c:pt>
                <c:pt idx="238" formatCode="_(&quot;$&quot;* #,##0.00_);_(&quot;$&quot;* \(#,##0.00\);_(&quot;$&quot;* &quot;-&quot;??_);_(@_)">
                  <c:v>0</c:v>
                </c:pt>
                <c:pt idx="239" formatCode="_(&quot;$&quot;* #,##0.00_);_(&quot;$&quot;* \(#,##0.00\);_(&quot;$&quot;* &quot;-&quot;??_);_(@_)">
                  <c:v>0</c:v>
                </c:pt>
                <c:pt idx="240" formatCode="_(&quot;$&quot;* #,##0.00_);_(&quot;$&quot;* \(#,##0.00\);_(&quot;$&quot;* &quot;-&quot;??_);_(@_)">
                  <c:v>0</c:v>
                </c:pt>
                <c:pt idx="241" formatCode="_(&quot;$&quot;* #,##0.00_);_(&quot;$&quot;* \(#,##0.00\);_(&quot;$&quot;* &quot;-&quot;??_);_(@_)">
                  <c:v>0</c:v>
                </c:pt>
                <c:pt idx="242" formatCode="_(&quot;$&quot;* #,##0.00_);_(&quot;$&quot;* \(#,##0.00\);_(&quot;$&quot;* &quot;-&quot;??_);_(@_)">
                  <c:v>0</c:v>
                </c:pt>
                <c:pt idx="243" formatCode="_(&quot;$&quot;* #,##0.00_);_(&quot;$&quot;* \(#,##0.00\);_(&quot;$&quot;* &quot;-&quot;??_);_(@_)">
                  <c:v>0</c:v>
                </c:pt>
                <c:pt idx="244" formatCode="_(&quot;$&quot;* #,##0.00_);_(&quot;$&quot;* \(#,##0.00\);_(&quot;$&quot;* &quot;-&quot;??_);_(@_)">
                  <c:v>0</c:v>
                </c:pt>
                <c:pt idx="245" formatCode="_(&quot;$&quot;* #,##0.00_);_(&quot;$&quot;* \(#,##0.00\);_(&quot;$&quot;* &quot;-&quot;??_);_(@_)">
                  <c:v>0</c:v>
                </c:pt>
                <c:pt idx="246" formatCode="_(&quot;$&quot;* #,##0.00_);_(&quot;$&quot;* \(#,##0.00\);_(&quot;$&quot;* &quot;-&quot;??_);_(@_)">
                  <c:v>0</c:v>
                </c:pt>
                <c:pt idx="247" formatCode="_(&quot;$&quot;* #,##0.00_);_(&quot;$&quot;* \(#,##0.00\);_(&quot;$&quot;* &quot;-&quot;??_);_(@_)">
                  <c:v>0</c:v>
                </c:pt>
                <c:pt idx="248" formatCode="_(&quot;$&quot;* #,##0.00_);_(&quot;$&quot;* \(#,##0.00\);_(&quot;$&quot;* &quot;-&quot;??_);_(@_)">
                  <c:v>0</c:v>
                </c:pt>
                <c:pt idx="249" formatCode="_(&quot;$&quot;* #,##0.00_);_(&quot;$&quot;* \(#,##0.00\);_(&quot;$&quot;* &quot;-&quot;??_);_(@_)">
                  <c:v>0</c:v>
                </c:pt>
                <c:pt idx="250" formatCode="_(&quot;$&quot;* #,##0.00_);_(&quot;$&quot;* \(#,##0.00\);_(&quot;$&quot;* &quot;-&quot;??_);_(@_)">
                  <c:v>0</c:v>
                </c:pt>
                <c:pt idx="251" formatCode="_(&quot;$&quot;* #,##0.00_);_(&quot;$&quot;* \(#,##0.00\);_(&quot;$&quot;* &quot;-&quot;??_);_(@_)">
                  <c:v>0</c:v>
                </c:pt>
                <c:pt idx="252" formatCode="_(&quot;$&quot;* #,##0.00_);_(&quot;$&quot;* \(#,##0.00\);_(&quot;$&quot;* &quot;-&quot;??_);_(@_)">
                  <c:v>0</c:v>
                </c:pt>
                <c:pt idx="253" formatCode="_(&quot;$&quot;* #,##0.00_);_(&quot;$&quot;* \(#,##0.00\);_(&quot;$&quot;* &quot;-&quot;??_);_(@_)">
                  <c:v>0</c:v>
                </c:pt>
                <c:pt idx="254" formatCode="_(&quot;$&quot;* #,##0.00_);_(&quot;$&quot;* \(#,##0.00\);_(&quot;$&quot;* &quot;-&quot;??_);_(@_)">
                  <c:v>0</c:v>
                </c:pt>
                <c:pt idx="255" formatCode="_(&quot;$&quot;* #,##0.00_);_(&quot;$&quot;* \(#,##0.00\);_(&quot;$&quot;* &quot;-&quot;??_);_(@_)">
                  <c:v>0</c:v>
                </c:pt>
                <c:pt idx="256" formatCode="_(&quot;$&quot;* #,##0.00_);_(&quot;$&quot;* \(#,##0.00\);_(&quot;$&quot;* &quot;-&quot;??_);_(@_)">
                  <c:v>0</c:v>
                </c:pt>
                <c:pt idx="257" formatCode="_(&quot;$&quot;* #,##0.00_);_(&quot;$&quot;* \(#,##0.00\);_(&quot;$&quot;* &quot;-&quot;??_);_(@_)">
                  <c:v>0</c:v>
                </c:pt>
                <c:pt idx="258" formatCode="_(&quot;$&quot;* #,##0.00_);_(&quot;$&quot;* \(#,##0.00\);_(&quot;$&quot;* &quot;-&quot;??_);_(@_)">
                  <c:v>0</c:v>
                </c:pt>
                <c:pt idx="259" formatCode="_(&quot;$&quot;* #,##0.00_);_(&quot;$&quot;* \(#,##0.00\);_(&quot;$&quot;* &quot;-&quot;??_);_(@_)">
                  <c:v>0</c:v>
                </c:pt>
                <c:pt idx="260" formatCode="_(&quot;$&quot;* #,##0.00_);_(&quot;$&quot;* \(#,##0.00\);_(&quot;$&quot;* &quot;-&quot;??_);_(@_)">
                  <c:v>0</c:v>
                </c:pt>
                <c:pt idx="261" formatCode="_(&quot;$&quot;* #,##0.00_);_(&quot;$&quot;* \(#,##0.00\);_(&quot;$&quot;* &quot;-&quot;??_);_(@_)">
                  <c:v>0</c:v>
                </c:pt>
                <c:pt idx="262" formatCode="_(&quot;$&quot;* #,##0.00_);_(&quot;$&quot;* \(#,##0.00\);_(&quot;$&quot;* &quot;-&quot;??_);_(@_)">
                  <c:v>0</c:v>
                </c:pt>
                <c:pt idx="263" formatCode="_(&quot;$&quot;* #,##0.00_);_(&quot;$&quot;* \(#,##0.00\);_(&quot;$&quot;* &quot;-&quot;??_);_(@_)">
                  <c:v>0</c:v>
                </c:pt>
                <c:pt idx="264" formatCode="_(&quot;$&quot;* #,##0.00_);_(&quot;$&quot;* \(#,##0.00\);_(&quot;$&quot;* &quot;-&quot;??_);_(@_)">
                  <c:v>0</c:v>
                </c:pt>
                <c:pt idx="265" formatCode="_(&quot;$&quot;* #,##0.00_);_(&quot;$&quot;* \(#,##0.00\);_(&quot;$&quot;* &quot;-&quot;??_);_(@_)">
                  <c:v>0</c:v>
                </c:pt>
                <c:pt idx="266" formatCode="_(&quot;$&quot;* #,##0.00_);_(&quot;$&quot;* \(#,##0.00\);_(&quot;$&quot;* &quot;-&quot;??_);_(@_)">
                  <c:v>0</c:v>
                </c:pt>
                <c:pt idx="267" formatCode="_(&quot;$&quot;* #,##0.00_);_(&quot;$&quot;* \(#,##0.00\);_(&quot;$&quot;* &quot;-&quot;??_);_(@_)">
                  <c:v>0</c:v>
                </c:pt>
                <c:pt idx="268" formatCode="_(&quot;$&quot;* #,##0.00_);_(&quot;$&quot;* \(#,##0.00\);_(&quot;$&quot;* &quot;-&quot;??_);_(@_)">
                  <c:v>0</c:v>
                </c:pt>
                <c:pt idx="269" formatCode="_(&quot;$&quot;* #,##0.00_);_(&quot;$&quot;* \(#,##0.00\);_(&quot;$&quot;* &quot;-&quot;??_);_(@_)">
                  <c:v>0</c:v>
                </c:pt>
                <c:pt idx="270" formatCode="_(&quot;$&quot;* #,##0.00_);_(&quot;$&quot;* \(#,##0.00\);_(&quot;$&quot;* &quot;-&quot;??_);_(@_)">
                  <c:v>0</c:v>
                </c:pt>
                <c:pt idx="271" formatCode="_(&quot;$&quot;* #,##0.00_);_(&quot;$&quot;* \(#,##0.00\);_(&quot;$&quot;* &quot;-&quot;??_);_(@_)">
                  <c:v>0</c:v>
                </c:pt>
                <c:pt idx="272" formatCode="_(&quot;$&quot;* #,##0.00_);_(&quot;$&quot;* \(#,##0.00\);_(&quot;$&quot;* &quot;-&quot;??_);_(@_)">
                  <c:v>0</c:v>
                </c:pt>
                <c:pt idx="273" formatCode="_(&quot;$&quot;* #,##0.00_);_(&quot;$&quot;* \(#,##0.00\);_(&quot;$&quot;* &quot;-&quot;??_);_(@_)">
                  <c:v>0</c:v>
                </c:pt>
                <c:pt idx="274" formatCode="_(&quot;$&quot;* #,##0.00_);_(&quot;$&quot;* \(#,##0.00\);_(&quot;$&quot;* &quot;-&quot;??_);_(@_)">
                  <c:v>0</c:v>
                </c:pt>
                <c:pt idx="275" formatCode="_(&quot;$&quot;* #,##0.00_);_(&quot;$&quot;* \(#,##0.00\);_(&quot;$&quot;* &quot;-&quot;??_);_(@_)">
                  <c:v>0</c:v>
                </c:pt>
                <c:pt idx="276" formatCode="_(&quot;$&quot;* #,##0.00_);_(&quot;$&quot;* \(#,##0.00\);_(&quot;$&quot;* &quot;-&quot;??_);_(@_)">
                  <c:v>0</c:v>
                </c:pt>
                <c:pt idx="277" formatCode="_(&quot;$&quot;* #,##0.00_);_(&quot;$&quot;* \(#,##0.00\);_(&quot;$&quot;* &quot;-&quot;??_);_(@_)">
                  <c:v>0</c:v>
                </c:pt>
                <c:pt idx="278" formatCode="_(&quot;$&quot;* #,##0.00_);_(&quot;$&quot;* \(#,##0.00\);_(&quot;$&quot;* &quot;-&quot;??_);_(@_)">
                  <c:v>0</c:v>
                </c:pt>
                <c:pt idx="279" formatCode="_(&quot;$&quot;* #,##0.00_);_(&quot;$&quot;* \(#,##0.00\);_(&quot;$&quot;* &quot;-&quot;??_);_(@_)">
                  <c:v>0</c:v>
                </c:pt>
                <c:pt idx="280" formatCode="_(&quot;$&quot;* #,##0.00_);_(&quot;$&quot;* \(#,##0.00\);_(&quot;$&quot;* &quot;-&quot;??_);_(@_)">
                  <c:v>0</c:v>
                </c:pt>
                <c:pt idx="281" formatCode="_(&quot;$&quot;* #,##0.00_);_(&quot;$&quot;* \(#,##0.00\);_(&quot;$&quot;* &quot;-&quot;??_);_(@_)">
                  <c:v>0</c:v>
                </c:pt>
                <c:pt idx="282" formatCode="_(&quot;$&quot;* #,##0.00_);_(&quot;$&quot;* \(#,##0.00\);_(&quot;$&quot;* &quot;-&quot;??_);_(@_)">
                  <c:v>0</c:v>
                </c:pt>
                <c:pt idx="283" formatCode="_(&quot;$&quot;* #,##0.00_);_(&quot;$&quot;* \(#,##0.00\);_(&quot;$&quot;* &quot;-&quot;??_);_(@_)">
                  <c:v>0</c:v>
                </c:pt>
                <c:pt idx="284" formatCode="_(&quot;$&quot;* #,##0.00_);_(&quot;$&quot;* \(#,##0.00\);_(&quot;$&quot;* &quot;-&quot;??_);_(@_)">
                  <c:v>0</c:v>
                </c:pt>
                <c:pt idx="285" formatCode="_(&quot;$&quot;* #,##0.00_);_(&quot;$&quot;* \(#,##0.00\);_(&quot;$&quot;* &quot;-&quot;??_);_(@_)">
                  <c:v>0</c:v>
                </c:pt>
                <c:pt idx="286" formatCode="_(&quot;$&quot;* #,##0.00_);_(&quot;$&quot;* \(#,##0.00\);_(&quot;$&quot;* &quot;-&quot;??_);_(@_)">
                  <c:v>0</c:v>
                </c:pt>
                <c:pt idx="287" formatCode="_(&quot;$&quot;* #,##0.00_);_(&quot;$&quot;* \(#,##0.00\);_(&quot;$&quot;* &quot;-&quot;??_);_(@_)">
                  <c:v>0</c:v>
                </c:pt>
                <c:pt idx="288" formatCode="_(&quot;$&quot;* #,##0.00_);_(&quot;$&quot;* \(#,##0.00\);_(&quot;$&quot;* &quot;-&quot;??_);_(@_)">
                  <c:v>0</c:v>
                </c:pt>
                <c:pt idx="289" formatCode="_(&quot;$&quot;* #,##0.00_);_(&quot;$&quot;* \(#,##0.00\);_(&quot;$&quot;* &quot;-&quot;??_);_(@_)">
                  <c:v>0</c:v>
                </c:pt>
                <c:pt idx="290" formatCode="_(&quot;$&quot;* #,##0.00_);_(&quot;$&quot;* \(#,##0.00\);_(&quot;$&quot;* &quot;-&quot;??_);_(@_)">
                  <c:v>0</c:v>
                </c:pt>
              </c:numCache>
            </c:numRef>
          </c:val>
          <c:extLst>
            <c:ext xmlns:c16="http://schemas.microsoft.com/office/drawing/2014/chart" uri="{C3380CC4-5D6E-409C-BE32-E72D297353CC}">
              <c16:uniqueId val="{00000004-9CF9-494E-B040-45A19F0195D1}"/>
            </c:ext>
          </c:extLst>
        </c:ser>
        <c:ser>
          <c:idx val="6"/>
          <c:order val="6"/>
          <c:tx>
            <c:strRef>
              <c:f>'Cement Cost Model-China'!$S$326</c:f>
              <c:strCache>
                <c:ptCount val="1"/>
                <c:pt idx="0">
                  <c:v>Alternative Fuels: H2 Injection (including RE and Electrolyzer CAPEX)</c:v>
                </c:pt>
              </c:strCache>
            </c:strRef>
          </c:tx>
          <c:spPr>
            <a:solidFill>
              <a:schemeClr val="accent1">
                <a:lumMod val="60000"/>
              </a:schemeClr>
            </a:solidFill>
            <a:ln>
              <a:noFill/>
            </a:ln>
            <a:effectLst/>
          </c:spPr>
          <c:invertIfNegative val="0"/>
          <c:cat>
            <c:numRef>
              <c:f>'Cement Cost Model-China'!$N$327:$N$730</c:f>
              <c:numCache>
                <c:formatCode>General</c:formatCode>
                <c:ptCount val="404"/>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numCache>
            </c:numRef>
          </c:cat>
          <c:val>
            <c:numRef>
              <c:f>'Cement Cost Model-China'!$T$327:$T$747</c:f>
              <c:numCache>
                <c:formatCode>General</c:formatCode>
                <c:ptCount val="421"/>
                <c:pt idx="291" formatCode="_(&quot;$&quot;* #,##0.00_);_(&quot;$&quot;* \(#,##0.00\);_(&quot;$&quot;* &quot;-&quot;??_);_(@_)">
                  <c:v>0</c:v>
                </c:pt>
                <c:pt idx="292" formatCode="_(&quot;$&quot;* #,##0.00_);_(&quot;$&quot;* \(#,##0.00\);_(&quot;$&quot;* &quot;-&quot;??_);_(@_)">
                  <c:v>0</c:v>
                </c:pt>
                <c:pt idx="293" formatCode="_(&quot;$&quot;* #,##0.00_);_(&quot;$&quot;* \(#,##0.00\);_(&quot;$&quot;* &quot;-&quot;??_);_(@_)">
                  <c:v>0</c:v>
                </c:pt>
                <c:pt idx="294" formatCode="_(&quot;$&quot;* #,##0.00_);_(&quot;$&quot;* \(#,##0.00\);_(&quot;$&quot;* &quot;-&quot;??_);_(@_)">
                  <c:v>0</c:v>
                </c:pt>
                <c:pt idx="295" formatCode="_(&quot;$&quot;* #,##0.00_);_(&quot;$&quot;* \(#,##0.00\);_(&quot;$&quot;* &quot;-&quot;??_);_(@_)">
                  <c:v>0</c:v>
                </c:pt>
                <c:pt idx="296" formatCode="_(&quot;$&quot;* #,##0.00_);_(&quot;$&quot;* \(#,##0.00\);_(&quot;$&quot;* &quot;-&quot;??_);_(@_)">
                  <c:v>0</c:v>
                </c:pt>
                <c:pt idx="297" formatCode="_(&quot;$&quot;* #,##0.00_);_(&quot;$&quot;* \(#,##0.00\);_(&quot;$&quot;* &quot;-&quot;??_);_(@_)">
                  <c:v>0</c:v>
                </c:pt>
                <c:pt idx="298" formatCode="_(&quot;$&quot;* #,##0.00_);_(&quot;$&quot;* \(#,##0.00\);_(&quot;$&quot;* &quot;-&quot;??_);_(@_)">
                  <c:v>0</c:v>
                </c:pt>
                <c:pt idx="299" formatCode="_(&quot;$&quot;* #,##0.00_);_(&quot;$&quot;* \(#,##0.00\);_(&quot;$&quot;* &quot;-&quot;??_);_(@_)">
                  <c:v>0</c:v>
                </c:pt>
                <c:pt idx="300" formatCode="_(&quot;$&quot;* #,##0.00_);_(&quot;$&quot;* \(#,##0.00\);_(&quot;$&quot;* &quot;-&quot;??_);_(@_)">
                  <c:v>0</c:v>
                </c:pt>
                <c:pt idx="301" formatCode="_(&quot;$&quot;* #,##0.00_);_(&quot;$&quot;* \(#,##0.00\);_(&quot;$&quot;* &quot;-&quot;??_);_(@_)">
                  <c:v>0</c:v>
                </c:pt>
                <c:pt idx="302" formatCode="_(&quot;$&quot;* #,##0.00_);_(&quot;$&quot;* \(#,##0.00\);_(&quot;$&quot;* &quot;-&quot;??_);_(@_)">
                  <c:v>0</c:v>
                </c:pt>
                <c:pt idx="303" formatCode="_(&quot;$&quot;* #,##0.00_);_(&quot;$&quot;* \(#,##0.00\);_(&quot;$&quot;* &quot;-&quot;??_);_(@_)">
                  <c:v>0</c:v>
                </c:pt>
                <c:pt idx="304" formatCode="_(&quot;$&quot;* #,##0.00_);_(&quot;$&quot;* \(#,##0.00\);_(&quot;$&quot;* &quot;-&quot;??_);_(@_)">
                  <c:v>0</c:v>
                </c:pt>
                <c:pt idx="305" formatCode="_(&quot;$&quot;* #,##0.00_);_(&quot;$&quot;* \(#,##0.00\);_(&quot;$&quot;* &quot;-&quot;??_);_(@_)">
                  <c:v>0</c:v>
                </c:pt>
                <c:pt idx="306" formatCode="_(&quot;$&quot;* #,##0.00_);_(&quot;$&quot;* \(#,##0.00\);_(&quot;$&quot;* &quot;-&quot;??_);_(@_)">
                  <c:v>0</c:v>
                </c:pt>
                <c:pt idx="307" formatCode="_(&quot;$&quot;* #,##0.00_);_(&quot;$&quot;* \(#,##0.00\);_(&quot;$&quot;* &quot;-&quot;??_);_(@_)">
                  <c:v>0</c:v>
                </c:pt>
                <c:pt idx="308" formatCode="_(&quot;$&quot;* #,##0.00_);_(&quot;$&quot;* \(#,##0.00\);_(&quot;$&quot;* &quot;-&quot;??_);_(@_)">
                  <c:v>0</c:v>
                </c:pt>
                <c:pt idx="309" formatCode="_(&quot;$&quot;* #,##0.00_);_(&quot;$&quot;* \(#,##0.00\);_(&quot;$&quot;* &quot;-&quot;??_);_(@_)">
                  <c:v>0</c:v>
                </c:pt>
                <c:pt idx="310" formatCode="_(&quot;$&quot;* #,##0.00_);_(&quot;$&quot;* \(#,##0.00\);_(&quot;$&quot;* &quot;-&quot;??_);_(@_)">
                  <c:v>0</c:v>
                </c:pt>
                <c:pt idx="311" formatCode="_(&quot;$&quot;* #,##0.00_);_(&quot;$&quot;* \(#,##0.00\);_(&quot;$&quot;* &quot;-&quot;??_);_(@_)">
                  <c:v>0</c:v>
                </c:pt>
                <c:pt idx="312" formatCode="_(&quot;$&quot;* #,##0.00_);_(&quot;$&quot;* \(#,##0.00\);_(&quot;$&quot;* &quot;-&quot;??_);_(@_)">
                  <c:v>0</c:v>
                </c:pt>
                <c:pt idx="313" formatCode="_(&quot;$&quot;* #,##0.00_);_(&quot;$&quot;* \(#,##0.00\);_(&quot;$&quot;* &quot;-&quot;??_);_(@_)">
                  <c:v>0</c:v>
                </c:pt>
                <c:pt idx="314" formatCode="_(&quot;$&quot;* #,##0.00_);_(&quot;$&quot;* \(#,##0.00\);_(&quot;$&quot;* &quot;-&quot;??_);_(@_)">
                  <c:v>0</c:v>
                </c:pt>
                <c:pt idx="315" formatCode="_(&quot;$&quot;* #,##0.00_);_(&quot;$&quot;* \(#,##0.00\);_(&quot;$&quot;* &quot;-&quot;??_);_(@_)">
                  <c:v>0</c:v>
                </c:pt>
                <c:pt idx="316" formatCode="_(&quot;$&quot;* #,##0.00_);_(&quot;$&quot;* \(#,##0.00\);_(&quot;$&quot;* &quot;-&quot;??_);_(@_)">
                  <c:v>0</c:v>
                </c:pt>
                <c:pt idx="317" formatCode="_(&quot;$&quot;* #,##0.00_);_(&quot;$&quot;* \(#,##0.00\);_(&quot;$&quot;* &quot;-&quot;??_);_(@_)">
                  <c:v>0</c:v>
                </c:pt>
                <c:pt idx="318" formatCode="_(&quot;$&quot;* #,##0.00_);_(&quot;$&quot;* \(#,##0.00\);_(&quot;$&quot;* &quot;-&quot;??_);_(@_)">
                  <c:v>0</c:v>
                </c:pt>
                <c:pt idx="319" formatCode="_(&quot;$&quot;* #,##0.00_);_(&quot;$&quot;* \(#,##0.00\);_(&quot;$&quot;* &quot;-&quot;??_);_(@_)">
                  <c:v>0</c:v>
                </c:pt>
                <c:pt idx="320" formatCode="_(&quot;$&quot;* #,##0.00_);_(&quot;$&quot;* \(#,##0.00\);_(&quot;$&quot;* &quot;-&quot;??_);_(@_)">
                  <c:v>0</c:v>
                </c:pt>
                <c:pt idx="321" formatCode="_(&quot;$&quot;* #,##0.00_);_(&quot;$&quot;* \(#,##0.00\);_(&quot;$&quot;* &quot;-&quot;??_);_(@_)">
                  <c:v>0</c:v>
                </c:pt>
                <c:pt idx="322" formatCode="_(&quot;$&quot;* #,##0.00_);_(&quot;$&quot;* \(#,##0.00\);_(&quot;$&quot;* &quot;-&quot;??_);_(@_)">
                  <c:v>0</c:v>
                </c:pt>
                <c:pt idx="323" formatCode="_(&quot;$&quot;* #,##0.00_);_(&quot;$&quot;* \(#,##0.00\);_(&quot;$&quot;* &quot;-&quot;??_);_(@_)">
                  <c:v>0</c:v>
                </c:pt>
                <c:pt idx="324" formatCode="_(&quot;$&quot;* #,##0.00_);_(&quot;$&quot;* \(#,##0.00\);_(&quot;$&quot;* &quot;-&quot;??_);_(@_)">
                  <c:v>0</c:v>
                </c:pt>
                <c:pt idx="325" formatCode="_(&quot;$&quot;* #,##0.00_);_(&quot;$&quot;* \(#,##0.00\);_(&quot;$&quot;* &quot;-&quot;??_);_(@_)">
                  <c:v>0</c:v>
                </c:pt>
                <c:pt idx="326" formatCode="_(&quot;$&quot;* #,##0.00_);_(&quot;$&quot;* \(#,##0.00\);_(&quot;$&quot;* &quot;-&quot;??_);_(@_)">
                  <c:v>0</c:v>
                </c:pt>
                <c:pt idx="327" formatCode="_(&quot;$&quot;* #,##0.00_);_(&quot;$&quot;* \(#,##0.00\);_(&quot;$&quot;* &quot;-&quot;??_);_(@_)">
                  <c:v>0</c:v>
                </c:pt>
                <c:pt idx="328" formatCode="_(&quot;$&quot;* #,##0.00_);_(&quot;$&quot;* \(#,##0.00\);_(&quot;$&quot;* &quot;-&quot;??_);_(@_)">
                  <c:v>0</c:v>
                </c:pt>
                <c:pt idx="329" formatCode="_(&quot;$&quot;* #,##0.00_);_(&quot;$&quot;* \(#,##0.00\);_(&quot;$&quot;* &quot;-&quot;??_);_(@_)">
                  <c:v>0</c:v>
                </c:pt>
                <c:pt idx="330" formatCode="_(&quot;$&quot;* #,##0.00_);_(&quot;$&quot;* \(#,##0.00\);_(&quot;$&quot;* &quot;-&quot;??_);_(@_)">
                  <c:v>0</c:v>
                </c:pt>
                <c:pt idx="331" formatCode="_(&quot;$&quot;* #,##0.00_);_(&quot;$&quot;* \(#,##0.00\);_(&quot;$&quot;* &quot;-&quot;??_);_(@_)">
                  <c:v>0</c:v>
                </c:pt>
                <c:pt idx="332" formatCode="_(&quot;$&quot;* #,##0.00_);_(&quot;$&quot;* \(#,##0.00\);_(&quot;$&quot;* &quot;-&quot;??_);_(@_)">
                  <c:v>0</c:v>
                </c:pt>
                <c:pt idx="333" formatCode="_(&quot;$&quot;* #,##0.00_);_(&quot;$&quot;* \(#,##0.00\);_(&quot;$&quot;* &quot;-&quot;??_);_(@_)">
                  <c:v>0</c:v>
                </c:pt>
                <c:pt idx="334" formatCode="_(&quot;$&quot;* #,##0.00_);_(&quot;$&quot;* \(#,##0.00\);_(&quot;$&quot;* &quot;-&quot;??_);_(@_)">
                  <c:v>0</c:v>
                </c:pt>
                <c:pt idx="335" formatCode="_(&quot;$&quot;* #,##0.00_);_(&quot;$&quot;* \(#,##0.00\);_(&quot;$&quot;* &quot;-&quot;??_);_(@_)">
                  <c:v>0</c:v>
                </c:pt>
                <c:pt idx="336" formatCode="_(&quot;$&quot;* #,##0.00_);_(&quot;$&quot;* \(#,##0.00\);_(&quot;$&quot;* &quot;-&quot;??_);_(@_)">
                  <c:v>0</c:v>
                </c:pt>
                <c:pt idx="337" formatCode="_(&quot;$&quot;* #,##0.00_);_(&quot;$&quot;* \(#,##0.00\);_(&quot;$&quot;* &quot;-&quot;??_);_(@_)">
                  <c:v>0</c:v>
                </c:pt>
                <c:pt idx="338" formatCode="_(&quot;$&quot;* #,##0.00_);_(&quot;$&quot;* \(#,##0.00\);_(&quot;$&quot;* &quot;-&quot;??_);_(@_)">
                  <c:v>0</c:v>
                </c:pt>
                <c:pt idx="339" formatCode="_(&quot;$&quot;* #,##0.00_);_(&quot;$&quot;* \(#,##0.00\);_(&quot;$&quot;* &quot;-&quot;??_);_(@_)">
                  <c:v>0</c:v>
                </c:pt>
                <c:pt idx="340" formatCode="_(&quot;$&quot;* #,##0.00_);_(&quot;$&quot;* \(#,##0.00\);_(&quot;$&quot;* &quot;-&quot;??_);_(@_)">
                  <c:v>0</c:v>
                </c:pt>
                <c:pt idx="341" formatCode="_(&quot;$&quot;* #,##0.00_);_(&quot;$&quot;* \(#,##0.00\);_(&quot;$&quot;* &quot;-&quot;??_);_(@_)">
                  <c:v>0</c:v>
                </c:pt>
                <c:pt idx="342" formatCode="_(&quot;$&quot;* #,##0.00_);_(&quot;$&quot;* \(#,##0.00\);_(&quot;$&quot;* &quot;-&quot;??_);_(@_)">
                  <c:v>0</c:v>
                </c:pt>
                <c:pt idx="343" formatCode="_(&quot;$&quot;* #,##0.00_);_(&quot;$&quot;* \(#,##0.00\);_(&quot;$&quot;* &quot;-&quot;??_);_(@_)">
                  <c:v>0</c:v>
                </c:pt>
                <c:pt idx="344" formatCode="_(&quot;$&quot;* #,##0.00_);_(&quot;$&quot;* \(#,##0.00\);_(&quot;$&quot;* &quot;-&quot;??_);_(@_)">
                  <c:v>0</c:v>
                </c:pt>
                <c:pt idx="345" formatCode="_(&quot;$&quot;* #,##0.00_);_(&quot;$&quot;* \(#,##0.00\);_(&quot;$&quot;* &quot;-&quot;??_);_(@_)">
                  <c:v>0</c:v>
                </c:pt>
                <c:pt idx="346" formatCode="_(&quot;$&quot;* #,##0.00_);_(&quot;$&quot;* \(#,##0.00\);_(&quot;$&quot;* &quot;-&quot;??_);_(@_)">
                  <c:v>0</c:v>
                </c:pt>
                <c:pt idx="347" formatCode="_(&quot;$&quot;* #,##0.00_);_(&quot;$&quot;* \(#,##0.00\);_(&quot;$&quot;* &quot;-&quot;??_);_(@_)">
                  <c:v>0</c:v>
                </c:pt>
                <c:pt idx="348" formatCode="_(&quot;$&quot;* #,##0.00_);_(&quot;$&quot;* \(#,##0.00\);_(&quot;$&quot;* &quot;-&quot;??_);_(@_)">
                  <c:v>0</c:v>
                </c:pt>
                <c:pt idx="349" formatCode="_(&quot;$&quot;* #,##0.00_);_(&quot;$&quot;* \(#,##0.00\);_(&quot;$&quot;* &quot;-&quot;??_);_(@_)">
                  <c:v>0</c:v>
                </c:pt>
                <c:pt idx="350" formatCode="_(&quot;$&quot;* #,##0.00_);_(&quot;$&quot;* \(#,##0.00\);_(&quot;$&quot;* &quot;-&quot;??_);_(@_)">
                  <c:v>0</c:v>
                </c:pt>
                <c:pt idx="351" formatCode="_(&quot;$&quot;* #,##0.00_);_(&quot;$&quot;* \(#,##0.00\);_(&quot;$&quot;* &quot;-&quot;??_);_(@_)">
                  <c:v>0</c:v>
                </c:pt>
                <c:pt idx="352" formatCode="_(&quot;$&quot;* #,##0.00_);_(&quot;$&quot;* \(#,##0.00\);_(&quot;$&quot;* &quot;-&quot;??_);_(@_)">
                  <c:v>0</c:v>
                </c:pt>
                <c:pt idx="353" formatCode="_(&quot;$&quot;* #,##0.00_);_(&quot;$&quot;* \(#,##0.00\);_(&quot;$&quot;* &quot;-&quot;??_);_(@_)">
                  <c:v>0</c:v>
                </c:pt>
                <c:pt idx="354" formatCode="_(&quot;$&quot;* #,##0.00_);_(&quot;$&quot;* \(#,##0.00\);_(&quot;$&quot;* &quot;-&quot;??_);_(@_)">
                  <c:v>0</c:v>
                </c:pt>
                <c:pt idx="355" formatCode="_(&quot;$&quot;* #,##0.00_);_(&quot;$&quot;* \(#,##0.00\);_(&quot;$&quot;* &quot;-&quot;??_);_(@_)">
                  <c:v>0</c:v>
                </c:pt>
                <c:pt idx="356" formatCode="_(&quot;$&quot;* #,##0.00_);_(&quot;$&quot;* \(#,##0.00\);_(&quot;$&quot;* &quot;-&quot;??_);_(@_)">
                  <c:v>0</c:v>
                </c:pt>
                <c:pt idx="357" formatCode="_(&quot;$&quot;* #,##0.00_);_(&quot;$&quot;* \(#,##0.00\);_(&quot;$&quot;* &quot;-&quot;??_);_(@_)">
                  <c:v>0</c:v>
                </c:pt>
                <c:pt idx="358" formatCode="_(&quot;$&quot;* #,##0.00_);_(&quot;$&quot;* \(#,##0.00\);_(&quot;$&quot;* &quot;-&quot;??_);_(@_)">
                  <c:v>0</c:v>
                </c:pt>
                <c:pt idx="359" formatCode="_(&quot;$&quot;* #,##0.00_);_(&quot;$&quot;* \(#,##0.00\);_(&quot;$&quot;* &quot;-&quot;??_);_(@_)">
                  <c:v>0</c:v>
                </c:pt>
                <c:pt idx="360" formatCode="_(&quot;$&quot;* #,##0.00_);_(&quot;$&quot;* \(#,##0.00\);_(&quot;$&quot;* &quot;-&quot;??_);_(@_)">
                  <c:v>0</c:v>
                </c:pt>
                <c:pt idx="361" formatCode="_(&quot;$&quot;* #,##0.00_);_(&quot;$&quot;* \(#,##0.00\);_(&quot;$&quot;* &quot;-&quot;??_);_(@_)">
                  <c:v>0</c:v>
                </c:pt>
                <c:pt idx="362" formatCode="_(&quot;$&quot;* #,##0.00_);_(&quot;$&quot;* \(#,##0.00\);_(&quot;$&quot;* &quot;-&quot;??_);_(@_)">
                  <c:v>0</c:v>
                </c:pt>
                <c:pt idx="363" formatCode="_(&quot;$&quot;* #,##0.00_);_(&quot;$&quot;* \(#,##0.00\);_(&quot;$&quot;* &quot;-&quot;??_);_(@_)">
                  <c:v>0</c:v>
                </c:pt>
                <c:pt idx="364" formatCode="_(&quot;$&quot;* #,##0.00_);_(&quot;$&quot;* \(#,##0.00\);_(&quot;$&quot;* &quot;-&quot;??_);_(@_)">
                  <c:v>0</c:v>
                </c:pt>
                <c:pt idx="365" formatCode="_(&quot;$&quot;* #,##0.00_);_(&quot;$&quot;* \(#,##0.00\);_(&quot;$&quot;* &quot;-&quot;??_);_(@_)">
                  <c:v>0</c:v>
                </c:pt>
                <c:pt idx="366" formatCode="_(&quot;$&quot;* #,##0.00_);_(&quot;$&quot;* \(#,##0.00\);_(&quot;$&quot;* &quot;-&quot;??_);_(@_)">
                  <c:v>0</c:v>
                </c:pt>
                <c:pt idx="367" formatCode="_(&quot;$&quot;* #,##0.00_);_(&quot;$&quot;* \(#,##0.00\);_(&quot;$&quot;* &quot;-&quot;??_);_(@_)">
                  <c:v>0</c:v>
                </c:pt>
                <c:pt idx="368" formatCode="_(&quot;$&quot;* #,##0.00_);_(&quot;$&quot;* \(#,##0.00\);_(&quot;$&quot;* &quot;-&quot;??_);_(@_)">
                  <c:v>0</c:v>
                </c:pt>
                <c:pt idx="369" formatCode="_(&quot;$&quot;* #,##0.00_);_(&quot;$&quot;* \(#,##0.00\);_(&quot;$&quot;* &quot;-&quot;??_);_(@_)">
                  <c:v>0</c:v>
                </c:pt>
                <c:pt idx="370" formatCode="_(&quot;$&quot;* #,##0.00_);_(&quot;$&quot;* \(#,##0.00\);_(&quot;$&quot;* &quot;-&quot;??_);_(@_)">
                  <c:v>0</c:v>
                </c:pt>
                <c:pt idx="371" formatCode="_(&quot;$&quot;* #,##0.00_);_(&quot;$&quot;* \(#,##0.00\);_(&quot;$&quot;* &quot;-&quot;??_);_(@_)">
                  <c:v>0</c:v>
                </c:pt>
                <c:pt idx="372" formatCode="_(&quot;$&quot;* #,##0.00_);_(&quot;$&quot;* \(#,##0.00\);_(&quot;$&quot;* &quot;-&quot;??_);_(@_)">
                  <c:v>0</c:v>
                </c:pt>
                <c:pt idx="373" formatCode="_(&quot;$&quot;* #,##0.00_);_(&quot;$&quot;* \(#,##0.00\);_(&quot;$&quot;* &quot;-&quot;??_);_(@_)">
                  <c:v>0</c:v>
                </c:pt>
                <c:pt idx="374" formatCode="_(&quot;$&quot;* #,##0.00_);_(&quot;$&quot;* \(#,##0.00\);_(&quot;$&quot;* &quot;-&quot;??_);_(@_)">
                  <c:v>0</c:v>
                </c:pt>
                <c:pt idx="375" formatCode="_(&quot;$&quot;* #,##0.00_);_(&quot;$&quot;* \(#,##0.00\);_(&quot;$&quot;* &quot;-&quot;??_);_(@_)">
                  <c:v>0</c:v>
                </c:pt>
                <c:pt idx="376" formatCode="_(&quot;$&quot;* #,##0.00_);_(&quot;$&quot;* \(#,##0.00\);_(&quot;$&quot;* &quot;-&quot;??_);_(@_)">
                  <c:v>0</c:v>
                </c:pt>
                <c:pt idx="377" formatCode="_(&quot;$&quot;* #,##0.00_);_(&quot;$&quot;* \(#,##0.00\);_(&quot;$&quot;* &quot;-&quot;??_);_(@_)">
                  <c:v>0</c:v>
                </c:pt>
                <c:pt idx="378" formatCode="_(&quot;$&quot;* #,##0.00_);_(&quot;$&quot;* \(#,##0.00\);_(&quot;$&quot;* &quot;-&quot;??_);_(@_)">
                  <c:v>0</c:v>
                </c:pt>
                <c:pt idx="379" formatCode="_(&quot;$&quot;* #,##0.00_);_(&quot;$&quot;* \(#,##0.00\);_(&quot;$&quot;* &quot;-&quot;??_);_(@_)">
                  <c:v>0</c:v>
                </c:pt>
                <c:pt idx="380" formatCode="_(&quot;$&quot;* #,##0.00_);_(&quot;$&quot;* \(#,##0.00\);_(&quot;$&quot;* &quot;-&quot;??_);_(@_)">
                  <c:v>0</c:v>
                </c:pt>
                <c:pt idx="381" formatCode="_(&quot;$&quot;* #,##0.00_);_(&quot;$&quot;* \(#,##0.00\);_(&quot;$&quot;* &quot;-&quot;??_);_(@_)">
                  <c:v>0</c:v>
                </c:pt>
                <c:pt idx="382" formatCode="_(&quot;$&quot;* #,##0.00_);_(&quot;$&quot;* \(#,##0.00\);_(&quot;$&quot;* &quot;-&quot;??_);_(@_)">
                  <c:v>0</c:v>
                </c:pt>
                <c:pt idx="383" formatCode="_(&quot;$&quot;* #,##0.00_);_(&quot;$&quot;* \(#,##0.00\);_(&quot;$&quot;* &quot;-&quot;??_);_(@_)">
                  <c:v>0</c:v>
                </c:pt>
                <c:pt idx="384" formatCode="_(&quot;$&quot;* #,##0.00_);_(&quot;$&quot;* \(#,##0.00\);_(&quot;$&quot;* &quot;-&quot;??_);_(@_)">
                  <c:v>0</c:v>
                </c:pt>
                <c:pt idx="385" formatCode="_(&quot;$&quot;* #,##0.00_);_(&quot;$&quot;* \(#,##0.00\);_(&quot;$&quot;* &quot;-&quot;??_);_(@_)">
                  <c:v>0</c:v>
                </c:pt>
                <c:pt idx="386" formatCode="_(&quot;$&quot;* #,##0.00_);_(&quot;$&quot;* \(#,##0.00\);_(&quot;$&quot;* &quot;-&quot;??_);_(@_)">
                  <c:v>0</c:v>
                </c:pt>
                <c:pt idx="387" formatCode="_(&quot;$&quot;* #,##0.00_);_(&quot;$&quot;* \(#,##0.00\);_(&quot;$&quot;* &quot;-&quot;??_);_(@_)">
                  <c:v>0</c:v>
                </c:pt>
                <c:pt idx="388" formatCode="_(&quot;$&quot;* #,##0.00_);_(&quot;$&quot;* \(#,##0.00\);_(&quot;$&quot;* &quot;-&quot;??_);_(@_)">
                  <c:v>0</c:v>
                </c:pt>
                <c:pt idx="389" formatCode="_(&quot;$&quot;* #,##0.00_);_(&quot;$&quot;* \(#,##0.00\);_(&quot;$&quot;* &quot;-&quot;??_);_(@_)">
                  <c:v>0</c:v>
                </c:pt>
                <c:pt idx="390" formatCode="_(&quot;$&quot;* #,##0.00_);_(&quot;$&quot;* \(#,##0.00\);_(&quot;$&quot;* &quot;-&quot;??_);_(@_)">
                  <c:v>0</c:v>
                </c:pt>
                <c:pt idx="391" formatCode="_(&quot;$&quot;* #,##0.00_);_(&quot;$&quot;* \(#,##0.00\);_(&quot;$&quot;* &quot;-&quot;??_);_(@_)">
                  <c:v>0</c:v>
                </c:pt>
                <c:pt idx="392" formatCode="_(&quot;$&quot;* #,##0.00_);_(&quot;$&quot;* \(#,##0.00\);_(&quot;$&quot;* &quot;-&quot;??_);_(@_)">
                  <c:v>0</c:v>
                </c:pt>
                <c:pt idx="393" formatCode="_(&quot;$&quot;* #,##0.00_);_(&quot;$&quot;* \(#,##0.00\);_(&quot;$&quot;* &quot;-&quot;??_);_(@_)">
                  <c:v>0</c:v>
                </c:pt>
                <c:pt idx="394" formatCode="_(&quot;$&quot;* #,##0.00_);_(&quot;$&quot;* \(#,##0.00\);_(&quot;$&quot;* &quot;-&quot;??_);_(@_)">
                  <c:v>0</c:v>
                </c:pt>
                <c:pt idx="395" formatCode="_(&quot;$&quot;* #,##0.00_);_(&quot;$&quot;* \(#,##0.00\);_(&quot;$&quot;* &quot;-&quot;??_);_(@_)">
                  <c:v>0</c:v>
                </c:pt>
                <c:pt idx="396" formatCode="_(&quot;$&quot;* #,##0.00_);_(&quot;$&quot;* \(#,##0.00\);_(&quot;$&quot;* &quot;-&quot;??_);_(@_)">
                  <c:v>0</c:v>
                </c:pt>
                <c:pt idx="397" formatCode="_(&quot;$&quot;* #,##0.00_);_(&quot;$&quot;* \(#,##0.00\);_(&quot;$&quot;* &quot;-&quot;??_);_(@_)">
                  <c:v>0</c:v>
                </c:pt>
                <c:pt idx="398" formatCode="_(&quot;$&quot;* #,##0.00_);_(&quot;$&quot;* \(#,##0.00\);_(&quot;$&quot;* &quot;-&quot;??_);_(@_)">
                  <c:v>0</c:v>
                </c:pt>
                <c:pt idx="399" formatCode="_(&quot;$&quot;* #,##0.00_);_(&quot;$&quot;* \(#,##0.00\);_(&quot;$&quot;* &quot;-&quot;??_);_(@_)">
                  <c:v>0</c:v>
                </c:pt>
                <c:pt idx="400" formatCode="_(&quot;$&quot;* #,##0.00_);_(&quot;$&quot;* \(#,##0.00\);_(&quot;$&quot;* &quot;-&quot;??_);_(@_)">
                  <c:v>0</c:v>
                </c:pt>
                <c:pt idx="401" formatCode="_(&quot;$&quot;* #,##0.00_);_(&quot;$&quot;* \(#,##0.00\);_(&quot;$&quot;* &quot;-&quot;??_);_(@_)">
                  <c:v>0</c:v>
                </c:pt>
                <c:pt idx="402" formatCode="_(&quot;$&quot;* #,##0.00_);_(&quot;$&quot;* \(#,##0.00\);_(&quot;$&quot;* &quot;-&quot;??_);_(@_)">
                  <c:v>0</c:v>
                </c:pt>
                <c:pt idx="403" formatCode="_(&quot;$&quot;* #,##0.00_);_(&quot;$&quot;* \(#,##0.00\);_(&quot;$&quot;* &quot;-&quot;??_);_(@_)">
                  <c:v>0</c:v>
                </c:pt>
                <c:pt idx="404" formatCode="_(&quot;$&quot;* #,##0.00_);_(&quot;$&quot;* \(#,##0.00\);_(&quot;$&quot;* &quot;-&quot;??_);_(@_)">
                  <c:v>0</c:v>
                </c:pt>
                <c:pt idx="405" formatCode="_(&quot;$&quot;* #,##0.00_);_(&quot;$&quot;* \(#,##0.00\);_(&quot;$&quot;* &quot;-&quot;??_);_(@_)">
                  <c:v>0</c:v>
                </c:pt>
                <c:pt idx="406" formatCode="_(&quot;$&quot;* #,##0.00_);_(&quot;$&quot;* \(#,##0.00\);_(&quot;$&quot;* &quot;-&quot;??_);_(@_)">
                  <c:v>0</c:v>
                </c:pt>
                <c:pt idx="407" formatCode="_(&quot;$&quot;* #,##0.00_);_(&quot;$&quot;* \(#,##0.00\);_(&quot;$&quot;* &quot;-&quot;??_);_(@_)">
                  <c:v>0</c:v>
                </c:pt>
                <c:pt idx="408" formatCode="_(&quot;$&quot;* #,##0.00_);_(&quot;$&quot;* \(#,##0.00\);_(&quot;$&quot;* &quot;-&quot;??_);_(@_)">
                  <c:v>0</c:v>
                </c:pt>
                <c:pt idx="409" formatCode="_(&quot;$&quot;* #,##0.00_);_(&quot;$&quot;* \(#,##0.00\);_(&quot;$&quot;* &quot;-&quot;??_);_(@_)">
                  <c:v>0</c:v>
                </c:pt>
                <c:pt idx="410" formatCode="_(&quot;$&quot;* #,##0.00_);_(&quot;$&quot;* \(#,##0.00\);_(&quot;$&quot;* &quot;-&quot;??_);_(@_)">
                  <c:v>0</c:v>
                </c:pt>
                <c:pt idx="411" formatCode="_(&quot;$&quot;* #,##0.00_);_(&quot;$&quot;* \(#,##0.00\);_(&quot;$&quot;* &quot;-&quot;??_);_(@_)">
                  <c:v>0</c:v>
                </c:pt>
                <c:pt idx="412" formatCode="_(&quot;$&quot;* #,##0.00_);_(&quot;$&quot;* \(#,##0.00\);_(&quot;$&quot;* &quot;-&quot;??_);_(@_)">
                  <c:v>0</c:v>
                </c:pt>
                <c:pt idx="413" formatCode="_(&quot;$&quot;* #,##0.00_);_(&quot;$&quot;* \(#,##0.00\);_(&quot;$&quot;* &quot;-&quot;??_);_(@_)">
                  <c:v>0</c:v>
                </c:pt>
                <c:pt idx="414" formatCode="_(&quot;$&quot;* #,##0.00_);_(&quot;$&quot;* \(#,##0.00\);_(&quot;$&quot;* &quot;-&quot;??_);_(@_)">
                  <c:v>0</c:v>
                </c:pt>
                <c:pt idx="415" formatCode="_(&quot;$&quot;* #,##0.00_);_(&quot;$&quot;* \(#,##0.00\);_(&quot;$&quot;* &quot;-&quot;??_);_(@_)">
                  <c:v>0</c:v>
                </c:pt>
                <c:pt idx="416" formatCode="_(&quot;$&quot;* #,##0.00_);_(&quot;$&quot;* \(#,##0.00\);_(&quot;$&quot;* &quot;-&quot;??_);_(@_)">
                  <c:v>0</c:v>
                </c:pt>
                <c:pt idx="417" formatCode="_(&quot;$&quot;* #,##0.00_);_(&quot;$&quot;* \(#,##0.00\);_(&quot;$&quot;* &quot;-&quot;??_);_(@_)">
                  <c:v>0</c:v>
                </c:pt>
                <c:pt idx="418" formatCode="_(&quot;$&quot;* #,##0.00_);_(&quot;$&quot;* \(#,##0.00\);_(&quot;$&quot;* &quot;-&quot;??_);_(@_)">
                  <c:v>0</c:v>
                </c:pt>
                <c:pt idx="419" formatCode="_(&quot;$&quot;* #,##0.00_);_(&quot;$&quot;* \(#,##0.00\);_(&quot;$&quot;* &quot;-&quot;??_);_(@_)">
                  <c:v>0</c:v>
                </c:pt>
                <c:pt idx="420" formatCode="_(&quot;$&quot;* #,##0.00_);_(&quot;$&quot;* \(#,##0.00\);_(&quot;$&quot;* &quot;-&quot;??_);_(@_)">
                  <c:v>0</c:v>
                </c:pt>
              </c:numCache>
            </c:numRef>
          </c:val>
          <c:extLst>
            <c:ext xmlns:c16="http://schemas.microsoft.com/office/drawing/2014/chart" uri="{C3380CC4-5D6E-409C-BE32-E72D297353CC}">
              <c16:uniqueId val="{00000005-9CF9-494E-B040-45A19F0195D1}"/>
            </c:ext>
          </c:extLst>
        </c:ser>
        <c:dLbls>
          <c:showLegendKey val="0"/>
          <c:showVal val="0"/>
          <c:showCatName val="0"/>
          <c:showSerName val="0"/>
          <c:showPercent val="0"/>
          <c:showBubbleSize val="0"/>
        </c:dLbls>
        <c:gapWidth val="0"/>
        <c:overlap val="100"/>
        <c:axId val="1000262943"/>
        <c:axId val="822129760"/>
      </c:barChart>
      <c:scatterChart>
        <c:scatterStyle val="lineMarker"/>
        <c:varyColors val="0"/>
        <c:ser>
          <c:idx val="0"/>
          <c:order val="0"/>
          <c:spPr>
            <a:ln w="25400" cap="rnd">
              <a:noFill/>
              <a:round/>
            </a:ln>
            <a:effectLst/>
          </c:spPr>
          <c:marker>
            <c:symbol val="none"/>
          </c:marker>
          <c:xVal>
            <c:numRef>
              <c:f>'Cement Cost Model-China'!$H$291:$H$297</c:f>
              <c:numCache>
                <c:formatCode>_(* #,##0.00_);_(* \(#,##0.00\);_(* "-"??_);_(@_)</c:formatCode>
                <c:ptCount val="7"/>
                <c:pt idx="0" formatCode="General">
                  <c:v>0</c:v>
                </c:pt>
                <c:pt idx="1">
                  <c:v>85.05</c:v>
                </c:pt>
                <c:pt idx="2">
                  <c:v>102.11</c:v>
                </c:pt>
                <c:pt idx="3">
                  <c:v>104.28149999999999</c:v>
                </c:pt>
                <c:pt idx="4">
                  <c:v>117.31049999999999</c:v>
                </c:pt>
                <c:pt idx="5">
                  <c:v>145.54</c:v>
                </c:pt>
                <c:pt idx="6">
                  <c:v>210.51</c:v>
                </c:pt>
              </c:numCache>
            </c:numRef>
          </c:xVal>
          <c:yVal>
            <c:numRef>
              <c:f>'Cement Cost Model-China'!$I$291:$I$297</c:f>
              <c:numCache>
                <c:formatCode>_("$"* #,##0_);_("$"* \(#,##0\);_("$"* "-"??_);_(@_)</c:formatCode>
                <c:ptCount val="7"/>
                <c:pt idx="0">
                  <c:v>0</c:v>
                </c:pt>
                <c:pt idx="1">
                  <c:v>0</c:v>
                </c:pt>
                <c:pt idx="2">
                  <c:v>0</c:v>
                </c:pt>
                <c:pt idx="3">
                  <c:v>56.306088364464749</c:v>
                </c:pt>
                <c:pt idx="4">
                  <c:v>223.67308638302552</c:v>
                </c:pt>
                <c:pt idx="5">
                  <c:v>0</c:v>
                </c:pt>
                <c:pt idx="6">
                  <c:v>0</c:v>
                </c:pt>
              </c:numCache>
            </c:numRef>
          </c:yVal>
          <c:smooth val="0"/>
          <c:extLst>
            <c:ext xmlns:c16="http://schemas.microsoft.com/office/drawing/2014/chart" uri="{C3380CC4-5D6E-409C-BE32-E72D297353CC}">
              <c16:uniqueId val="{00000000-0A44-4DF2-9710-31706F78687D}"/>
            </c:ext>
          </c:extLst>
        </c:ser>
        <c:dLbls>
          <c:showLegendKey val="0"/>
          <c:showVal val="0"/>
          <c:showCatName val="0"/>
          <c:showSerName val="0"/>
          <c:showPercent val="0"/>
          <c:showBubbleSize val="0"/>
        </c:dLbls>
        <c:axId val="1004387183"/>
        <c:axId val="999446367"/>
      </c:scatterChart>
      <c:valAx>
        <c:axId val="1004387183"/>
        <c:scaling>
          <c:orientation val="minMax"/>
          <c:max val="210"/>
          <c:min val="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t>Avoided CO</a:t>
                </a:r>
                <a:r>
                  <a:rPr lang="en-US" sz="1200" baseline="-25000"/>
                  <a:t>2</a:t>
                </a:r>
                <a:r>
                  <a:rPr lang="en-US" sz="1200"/>
                  <a:t> Emissions in</a:t>
                </a:r>
                <a:r>
                  <a:rPr lang="en-US" sz="1200" baseline="0"/>
                  <a:t> 2060 </a:t>
                </a:r>
                <a:r>
                  <a:rPr lang="en-US" sz="1200"/>
                  <a:t>(MtCO</a:t>
                </a:r>
                <a:r>
                  <a:rPr lang="en-US" sz="1200" baseline="-25000"/>
                  <a:t>2</a:t>
                </a:r>
                <a:r>
                  <a:rPr lang="en-US" sz="1200" baseline="0"/>
                  <a:t>)</a:t>
                </a:r>
              </a:p>
            </c:rich>
          </c:tx>
          <c:layout>
            <c:manualLayout>
              <c:xMode val="edge"/>
              <c:yMode val="edge"/>
              <c:x val="0.36726273647114016"/>
              <c:y val="0.925764781683007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99446367"/>
        <c:crosses val="autoZero"/>
        <c:crossBetween val="midCat"/>
      </c:valAx>
      <c:valAx>
        <c:axId val="999446367"/>
        <c:scaling>
          <c:orientation val="minMax"/>
          <c:max val="160"/>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100"/>
                  <a:t>Marginal Abatement Cost in 2060 ($/tCO</a:t>
                </a:r>
                <a:r>
                  <a:rPr lang="en-US" sz="1100" baseline="-25000"/>
                  <a:t>2</a:t>
                </a:r>
                <a:r>
                  <a:rPr lang="en-US" sz="1100" baseline="0"/>
                  <a:t>)</a:t>
                </a:r>
              </a:p>
            </c:rich>
          </c:tx>
          <c:layout>
            <c:manualLayout>
              <c:xMode val="edge"/>
              <c:yMode val="edge"/>
              <c:x val="2.1903345881112653E-2"/>
              <c:y val="0.129637461578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004387183"/>
        <c:crosses val="autoZero"/>
        <c:crossBetween val="midCat"/>
        <c:majorUnit val="20"/>
      </c:valAx>
      <c:valAx>
        <c:axId val="822129760"/>
        <c:scaling>
          <c:orientation val="minMax"/>
          <c:max val="160"/>
        </c:scaling>
        <c:delete val="1"/>
        <c:axPos val="r"/>
        <c:numFmt formatCode="_(&quot;$&quot;* #,##0.00_);_(&quot;$&quot;* \(#,##0.00\);_(&quot;$&quot;* &quot;-&quot;??_);_(@_)" sourceLinked="1"/>
        <c:majorTickMark val="out"/>
        <c:minorTickMark val="none"/>
        <c:tickLblPos val="nextTo"/>
        <c:crossAx val="1000262943"/>
        <c:crosses val="max"/>
        <c:crossBetween val="between"/>
      </c:valAx>
      <c:catAx>
        <c:axId val="1000262943"/>
        <c:scaling>
          <c:orientation val="minMax"/>
        </c:scaling>
        <c:delete val="1"/>
        <c:axPos val="b"/>
        <c:numFmt formatCode="General" sourceLinked="1"/>
        <c:majorTickMark val="out"/>
        <c:minorTickMark val="none"/>
        <c:tickLblPos val="nextTo"/>
        <c:crossAx val="822129760"/>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Marginal Abatement Cost Curve for the</a:t>
            </a:r>
            <a:r>
              <a:rPr lang="en-US" baseline="0"/>
              <a:t> Chinese </a:t>
            </a:r>
            <a:r>
              <a:rPr lang="en-US"/>
              <a:t>Cement Industry </a:t>
            </a:r>
          </a:p>
          <a:p>
            <a:pPr>
              <a:defRPr/>
            </a:pPr>
            <a:r>
              <a:rPr lang="en-US"/>
              <a:t>in 2030 (Circular</a:t>
            </a:r>
            <a:r>
              <a:rPr lang="en-US" baseline="0"/>
              <a:t> Economy</a:t>
            </a:r>
            <a:r>
              <a:rPr lang="en-US"/>
              <a:t> Pathway)</a:t>
            </a:r>
          </a:p>
        </c:rich>
      </c:tx>
      <c:layout>
        <c:manualLayout>
          <c:xMode val="edge"/>
          <c:yMode val="edge"/>
          <c:x val="0.12677481143278141"/>
          <c:y val="2.47747973705830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2"/>
          <c:order val="1"/>
          <c:tx>
            <c:strRef>
              <c:f>'Cement Cost Model-China'!$F$326</c:f>
              <c:strCache>
                <c:ptCount val="1"/>
                <c:pt idx="0">
                  <c:v>Clinker Substitution</c:v>
                </c:pt>
              </c:strCache>
            </c:strRef>
          </c:tx>
          <c:spPr>
            <a:solidFill>
              <a:schemeClr val="accent2"/>
            </a:solidFill>
            <a:ln w="25400">
              <a:noFill/>
            </a:ln>
            <a:effectLst/>
          </c:spPr>
          <c:invertIfNegative val="0"/>
          <c:cat>
            <c:numRef>
              <c:f>'Cement Cost Model-China'!$E$327:$E$491</c:f>
              <c:numCache>
                <c:formatCode>General</c:formatCode>
                <c:ptCount val="165"/>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numCache>
            </c:numRef>
          </c:cat>
          <c:val>
            <c:numRef>
              <c:f>'Cement Cost Model-China'!$F$327:$F$491</c:f>
              <c:numCache>
                <c:formatCode>_("$"* #,##0.00_);_("$"* \(#,##0.00\);_("$"* "-"??_);_(@_)</c:formatCode>
                <c:ptCount val="1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3-6E1B-47D7-8DF0-ACF91E41D3F8}"/>
            </c:ext>
          </c:extLst>
        </c:ser>
        <c:ser>
          <c:idx val="1"/>
          <c:order val="2"/>
          <c:tx>
            <c:strRef>
              <c:f>'Cement Cost Model-China'!$G$326</c:f>
              <c:strCache>
                <c:ptCount val="1"/>
                <c:pt idx="0">
                  <c:v>Energy Efficiency</c:v>
                </c:pt>
              </c:strCache>
            </c:strRef>
          </c:tx>
          <c:spPr>
            <a:solidFill>
              <a:schemeClr val="accent6">
                <a:lumMod val="60000"/>
                <a:lumOff val="40000"/>
              </a:schemeClr>
            </a:solidFill>
            <a:ln>
              <a:noFill/>
            </a:ln>
            <a:effectLst/>
          </c:spPr>
          <c:invertIfNegative val="0"/>
          <c:cat>
            <c:numRef>
              <c:f>'Cement Cost Model-China'!$E$327:$E$491</c:f>
              <c:numCache>
                <c:formatCode>General</c:formatCode>
                <c:ptCount val="165"/>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numCache>
            </c:numRef>
          </c:cat>
          <c:val>
            <c:numRef>
              <c:f>'Cement Cost Model-China'!$G$327:$G$491</c:f>
              <c:numCache>
                <c:formatCode>General</c:formatCode>
                <c:ptCount val="165"/>
                <c:pt idx="87" formatCode="_(&quot;$&quot;* #,##0.00_);_(&quot;$&quot;* \(#,##0.00\);_(&quot;$&quot;* &quot;-&quot;??_);_(@_)">
                  <c:v>0</c:v>
                </c:pt>
                <c:pt idx="88" formatCode="_(&quot;$&quot;* #,##0.00_);_(&quot;$&quot;* \(#,##0.00\);_(&quot;$&quot;* &quot;-&quot;??_);_(@_)">
                  <c:v>0</c:v>
                </c:pt>
                <c:pt idx="89" formatCode="_(&quot;$&quot;* #,##0.00_);_(&quot;$&quot;* \(#,##0.00\);_(&quot;$&quot;* &quot;-&quot;??_);_(@_)">
                  <c:v>0</c:v>
                </c:pt>
                <c:pt idx="90" formatCode="_(&quot;$&quot;* #,##0.00_);_(&quot;$&quot;* \(#,##0.00\);_(&quot;$&quot;* &quot;-&quot;??_);_(@_)">
                  <c:v>0</c:v>
                </c:pt>
                <c:pt idx="91" formatCode="_(&quot;$&quot;* #,##0.00_);_(&quot;$&quot;* \(#,##0.00\);_(&quot;$&quot;* &quot;-&quot;??_);_(@_)">
                  <c:v>0</c:v>
                </c:pt>
                <c:pt idx="92" formatCode="_(&quot;$&quot;* #,##0.00_);_(&quot;$&quot;* \(#,##0.00\);_(&quot;$&quot;* &quot;-&quot;??_);_(@_)">
                  <c:v>0</c:v>
                </c:pt>
                <c:pt idx="93" formatCode="_(&quot;$&quot;* #,##0.00_);_(&quot;$&quot;* \(#,##0.00\);_(&quot;$&quot;* &quot;-&quot;??_);_(@_)">
                  <c:v>0</c:v>
                </c:pt>
                <c:pt idx="94" formatCode="_(&quot;$&quot;* #,##0.00_);_(&quot;$&quot;* \(#,##0.00\);_(&quot;$&quot;* &quot;-&quot;??_);_(@_)">
                  <c:v>0</c:v>
                </c:pt>
                <c:pt idx="95" formatCode="_(&quot;$&quot;* #,##0.00_);_(&quot;$&quot;* \(#,##0.00\);_(&quot;$&quot;* &quot;-&quot;??_);_(@_)">
                  <c:v>0</c:v>
                </c:pt>
                <c:pt idx="96" formatCode="_(&quot;$&quot;* #,##0.00_);_(&quot;$&quot;* \(#,##0.00\);_(&quot;$&quot;* &quot;-&quot;??_);_(@_)">
                  <c:v>0</c:v>
                </c:pt>
                <c:pt idx="97" formatCode="_(&quot;$&quot;* #,##0.00_);_(&quot;$&quot;* \(#,##0.00\);_(&quot;$&quot;* &quot;-&quot;??_);_(@_)">
                  <c:v>0</c:v>
                </c:pt>
                <c:pt idx="98" formatCode="_(&quot;$&quot;* #,##0.00_);_(&quot;$&quot;* \(#,##0.00\);_(&quot;$&quot;* &quot;-&quot;??_);_(@_)">
                  <c:v>0</c:v>
                </c:pt>
                <c:pt idx="99" formatCode="_(&quot;$&quot;* #,##0.00_);_(&quot;$&quot;* \(#,##0.00\);_(&quot;$&quot;* &quot;-&quot;??_);_(@_)">
                  <c:v>0</c:v>
                </c:pt>
                <c:pt idx="100" formatCode="_(&quot;$&quot;* #,##0.00_);_(&quot;$&quot;* \(#,##0.00\);_(&quot;$&quot;* &quot;-&quot;??_);_(@_)">
                  <c:v>0</c:v>
                </c:pt>
                <c:pt idx="101" formatCode="_(&quot;$&quot;* #,##0.00_);_(&quot;$&quot;* \(#,##0.00\);_(&quot;$&quot;* &quot;-&quot;??_);_(@_)">
                  <c:v>0</c:v>
                </c:pt>
                <c:pt idx="102" formatCode="_(&quot;$&quot;* #,##0.00_);_(&quot;$&quot;* \(#,##0.00\);_(&quot;$&quot;* &quot;-&quot;??_);_(@_)">
                  <c:v>0</c:v>
                </c:pt>
                <c:pt idx="103" formatCode="_(&quot;$&quot;* #,##0.00_);_(&quot;$&quot;* \(#,##0.00\);_(&quot;$&quot;* &quot;-&quot;??_);_(@_)">
                  <c:v>0</c:v>
                </c:pt>
                <c:pt idx="104" formatCode="_(&quot;$&quot;* #,##0.00_);_(&quot;$&quot;* \(#,##0.00\);_(&quot;$&quot;* &quot;-&quot;??_);_(@_)">
                  <c:v>0</c:v>
                </c:pt>
                <c:pt idx="105" formatCode="_(&quot;$&quot;* #,##0.00_);_(&quot;$&quot;* \(#,##0.00\);_(&quot;$&quot;* &quot;-&quot;??_);_(@_)">
                  <c:v>0</c:v>
                </c:pt>
                <c:pt idx="106" formatCode="_(&quot;$&quot;* #,##0.00_);_(&quot;$&quot;* \(#,##0.00\);_(&quot;$&quot;* &quot;-&quot;??_);_(@_)">
                  <c:v>0</c:v>
                </c:pt>
                <c:pt idx="107" formatCode="_(&quot;$&quot;* #,##0.00_);_(&quot;$&quot;* \(#,##0.00\);_(&quot;$&quot;* &quot;-&quot;??_);_(@_)">
                  <c:v>0</c:v>
                </c:pt>
                <c:pt idx="108" formatCode="_(&quot;$&quot;* #,##0.00_);_(&quot;$&quot;* \(#,##0.00\);_(&quot;$&quot;* &quot;-&quot;??_);_(@_)">
                  <c:v>0</c:v>
                </c:pt>
                <c:pt idx="109" formatCode="_(&quot;$&quot;* #,##0.00_);_(&quot;$&quot;* \(#,##0.00\);_(&quot;$&quot;* &quot;-&quot;??_);_(@_)">
                  <c:v>0</c:v>
                </c:pt>
                <c:pt idx="110" formatCode="_(&quot;$&quot;* #,##0.00_);_(&quot;$&quot;* \(#,##0.00\);_(&quot;$&quot;* &quot;-&quot;??_);_(@_)">
                  <c:v>0</c:v>
                </c:pt>
              </c:numCache>
            </c:numRef>
          </c:val>
          <c:extLst>
            <c:ext xmlns:c16="http://schemas.microsoft.com/office/drawing/2014/chart" uri="{C3380CC4-5D6E-409C-BE32-E72D297353CC}">
              <c16:uniqueId val="{00000000-6E1B-47D7-8DF0-ACF91E41D3F8}"/>
            </c:ext>
          </c:extLst>
        </c:ser>
        <c:ser>
          <c:idx val="3"/>
          <c:order val="3"/>
          <c:tx>
            <c:strRef>
              <c:f>'Cement Cost Model-China'!$H$326</c:f>
              <c:strCache>
                <c:ptCount val="1"/>
                <c:pt idx="0">
                  <c:v>Alternative Fuels: Biomass</c:v>
                </c:pt>
              </c:strCache>
            </c:strRef>
          </c:tx>
          <c:spPr>
            <a:solidFill>
              <a:schemeClr val="accent4"/>
            </a:solidFill>
            <a:ln>
              <a:noFill/>
            </a:ln>
            <a:effectLst/>
          </c:spPr>
          <c:invertIfNegative val="0"/>
          <c:val>
            <c:numRef>
              <c:f>'Cement Cost Model-China'!$H$327:$H$491</c:f>
              <c:numCache>
                <c:formatCode>General</c:formatCode>
                <c:ptCount val="165"/>
                <c:pt idx="111" formatCode="_(&quot;$&quot;* #,##0.00_);_(&quot;$&quot;* \(#,##0.00\);_(&quot;$&quot;* &quot;-&quot;??_);_(@_)">
                  <c:v>30.574309610052783</c:v>
                </c:pt>
                <c:pt idx="112" formatCode="_(&quot;$&quot;* #,##0.00_);_(&quot;$&quot;* \(#,##0.00\);_(&quot;$&quot;* &quot;-&quot;??_);_(@_)">
                  <c:v>30.574309610052783</c:v>
                </c:pt>
                <c:pt idx="113" formatCode="_(&quot;$&quot;* #,##0.00_);_(&quot;$&quot;* \(#,##0.00\);_(&quot;$&quot;* &quot;-&quot;??_);_(@_)">
                  <c:v>30.574309610052783</c:v>
                </c:pt>
                <c:pt idx="114" formatCode="_(&quot;$&quot;* #,##0.00_);_(&quot;$&quot;* \(#,##0.00\);_(&quot;$&quot;* &quot;-&quot;??_);_(@_)">
                  <c:v>30.574309610052783</c:v>
                </c:pt>
                <c:pt idx="115" formatCode="_(&quot;$&quot;* #,##0.00_);_(&quot;$&quot;* \(#,##0.00\);_(&quot;$&quot;* &quot;-&quot;??_);_(@_)">
                  <c:v>30.574309610052783</c:v>
                </c:pt>
                <c:pt idx="116" formatCode="_(&quot;$&quot;* #,##0.00_);_(&quot;$&quot;* \(#,##0.00\);_(&quot;$&quot;* &quot;-&quot;??_);_(@_)">
                  <c:v>30.574309610052783</c:v>
                </c:pt>
                <c:pt idx="117" formatCode="_(&quot;$&quot;* #,##0.00_);_(&quot;$&quot;* \(#,##0.00\);_(&quot;$&quot;* &quot;-&quot;??_);_(@_)">
                  <c:v>30.574309610052783</c:v>
                </c:pt>
                <c:pt idx="118" formatCode="_(&quot;$&quot;* #,##0.00_);_(&quot;$&quot;* \(#,##0.00\);_(&quot;$&quot;* &quot;-&quot;??_);_(@_)">
                  <c:v>30.574309610052783</c:v>
                </c:pt>
                <c:pt idx="119" formatCode="_(&quot;$&quot;* #,##0.00_);_(&quot;$&quot;* \(#,##0.00\);_(&quot;$&quot;* &quot;-&quot;??_);_(@_)">
                  <c:v>30.574309610052783</c:v>
                </c:pt>
                <c:pt idx="120" formatCode="_(&quot;$&quot;* #,##0.00_);_(&quot;$&quot;* \(#,##0.00\);_(&quot;$&quot;* &quot;-&quot;??_);_(@_)">
                  <c:v>30.574309610052783</c:v>
                </c:pt>
                <c:pt idx="121" formatCode="_(&quot;$&quot;* #,##0.00_);_(&quot;$&quot;* \(#,##0.00\);_(&quot;$&quot;* &quot;-&quot;??_);_(@_)">
                  <c:v>30.574309610052783</c:v>
                </c:pt>
                <c:pt idx="122" formatCode="_(&quot;$&quot;* #,##0.00_);_(&quot;$&quot;* \(#,##0.00\);_(&quot;$&quot;* &quot;-&quot;??_);_(@_)">
                  <c:v>30.574309610052783</c:v>
                </c:pt>
              </c:numCache>
            </c:numRef>
          </c:val>
          <c:extLst>
            <c:ext xmlns:c16="http://schemas.microsoft.com/office/drawing/2014/chart" uri="{C3380CC4-5D6E-409C-BE32-E72D297353CC}">
              <c16:uniqueId val="{00000005-6E1B-47D7-8DF0-ACF91E41D3F8}"/>
            </c:ext>
          </c:extLst>
        </c:ser>
        <c:ser>
          <c:idx val="4"/>
          <c:order val="4"/>
          <c:tx>
            <c:strRef>
              <c:f>'Cement Cost Model-China'!$I$326</c:f>
              <c:strCache>
                <c:ptCount val="1"/>
                <c:pt idx="0">
                  <c:v>Alternative Fuels: Industrial Wastes</c:v>
                </c:pt>
              </c:strCache>
            </c:strRef>
          </c:tx>
          <c:spPr>
            <a:solidFill>
              <a:schemeClr val="accent5"/>
            </a:solidFill>
            <a:ln>
              <a:noFill/>
            </a:ln>
            <a:effectLst/>
          </c:spPr>
          <c:invertIfNegative val="0"/>
          <c:val>
            <c:numRef>
              <c:f>'Cement Cost Model-China'!$I$327:$I$491</c:f>
              <c:numCache>
                <c:formatCode>General</c:formatCode>
                <c:ptCount val="165"/>
                <c:pt idx="123" formatCode="_(&quot;$&quot;* #,##0.00_);_(&quot;$&quot;* \(#,##0.00\);_(&quot;$&quot;* &quot;-&quot;??_);_(@_)">
                  <c:v>72.569417929579345</c:v>
                </c:pt>
                <c:pt idx="124" formatCode="_(&quot;$&quot;* #,##0.00_);_(&quot;$&quot;* \(#,##0.00\);_(&quot;$&quot;* &quot;-&quot;??_);_(@_)">
                  <c:v>72.569417929579345</c:v>
                </c:pt>
                <c:pt idx="125" formatCode="_(&quot;$&quot;* #,##0.00_);_(&quot;$&quot;* \(#,##0.00\);_(&quot;$&quot;* &quot;-&quot;??_);_(@_)">
                  <c:v>72.569417929579345</c:v>
                </c:pt>
                <c:pt idx="126" formatCode="_(&quot;$&quot;* #,##0.00_);_(&quot;$&quot;* \(#,##0.00\);_(&quot;$&quot;* &quot;-&quot;??_);_(@_)">
                  <c:v>72.569417929579345</c:v>
                </c:pt>
                <c:pt idx="127" formatCode="_(&quot;$&quot;* #,##0.00_);_(&quot;$&quot;* \(#,##0.00\);_(&quot;$&quot;* &quot;-&quot;??_);_(@_)">
                  <c:v>72.569417929579345</c:v>
                </c:pt>
                <c:pt idx="128" formatCode="_(&quot;$&quot;* #,##0.00_);_(&quot;$&quot;* \(#,##0.00\);_(&quot;$&quot;* &quot;-&quot;??_);_(@_)">
                  <c:v>72.569417929579345</c:v>
                </c:pt>
                <c:pt idx="129" formatCode="_(&quot;$&quot;* #,##0.00_);_(&quot;$&quot;* \(#,##0.00\);_(&quot;$&quot;* &quot;-&quot;??_);_(@_)">
                  <c:v>72.569417929579345</c:v>
                </c:pt>
              </c:numCache>
            </c:numRef>
          </c:val>
          <c:extLst>
            <c:ext xmlns:c16="http://schemas.microsoft.com/office/drawing/2014/chart" uri="{C3380CC4-5D6E-409C-BE32-E72D297353CC}">
              <c16:uniqueId val="{00000006-6E1B-47D7-8DF0-ACF91E41D3F8}"/>
            </c:ext>
          </c:extLst>
        </c:ser>
        <c:ser>
          <c:idx val="5"/>
          <c:order val="5"/>
          <c:tx>
            <c:strRef>
              <c:f>'Cement Cost Model-China'!$J$326</c:f>
              <c:strCache>
                <c:ptCount val="1"/>
                <c:pt idx="0">
                  <c:v>Alternative Fuels: H2 Injection (including RE and Electrolyzer CAPEX)</c:v>
                </c:pt>
              </c:strCache>
            </c:strRef>
          </c:tx>
          <c:spPr>
            <a:solidFill>
              <a:schemeClr val="accent6"/>
            </a:solidFill>
            <a:ln>
              <a:noFill/>
            </a:ln>
            <a:effectLst/>
          </c:spPr>
          <c:invertIfNegative val="0"/>
          <c:val>
            <c:numRef>
              <c:f>'Cement Cost Model-China'!$J$327:$J$491</c:f>
              <c:numCache>
                <c:formatCode>General</c:formatCode>
                <c:ptCount val="165"/>
                <c:pt idx="130" formatCode="_(&quot;$&quot;* #,##0.00_);_(&quot;$&quot;* \(#,##0.00\);_(&quot;$&quot;* &quot;-&quot;??_);_(@_)">
                  <c:v>0</c:v>
                </c:pt>
                <c:pt idx="131" formatCode="_(&quot;$&quot;* #,##0.00_);_(&quot;$&quot;* \(#,##0.00\);_(&quot;$&quot;* &quot;-&quot;??_);_(@_)">
                  <c:v>0</c:v>
                </c:pt>
                <c:pt idx="132" formatCode="_(&quot;$&quot;* #,##0.00_);_(&quot;$&quot;* \(#,##0.00\);_(&quot;$&quot;* &quot;-&quot;??_);_(@_)">
                  <c:v>0</c:v>
                </c:pt>
                <c:pt idx="133" formatCode="_(&quot;$&quot;* #,##0.00_);_(&quot;$&quot;* \(#,##0.00\);_(&quot;$&quot;* &quot;-&quot;??_);_(@_)">
                  <c:v>0</c:v>
                </c:pt>
                <c:pt idx="134" formatCode="_(&quot;$&quot;* #,##0.00_);_(&quot;$&quot;* \(#,##0.00\);_(&quot;$&quot;* &quot;-&quot;??_);_(@_)">
                  <c:v>0</c:v>
                </c:pt>
                <c:pt idx="135" formatCode="_(&quot;$&quot;* #,##0.00_);_(&quot;$&quot;* \(#,##0.00\);_(&quot;$&quot;* &quot;-&quot;??_);_(@_)">
                  <c:v>0</c:v>
                </c:pt>
                <c:pt idx="136" formatCode="_(&quot;$&quot;* #,##0.00_);_(&quot;$&quot;* \(#,##0.00\);_(&quot;$&quot;* &quot;-&quot;??_);_(@_)">
                  <c:v>0</c:v>
                </c:pt>
                <c:pt idx="137" formatCode="_(&quot;$&quot;* #,##0.00_);_(&quot;$&quot;* \(#,##0.00\);_(&quot;$&quot;* &quot;-&quot;??_);_(@_)">
                  <c:v>0</c:v>
                </c:pt>
                <c:pt idx="138" formatCode="_(&quot;$&quot;* #,##0.00_);_(&quot;$&quot;* \(#,##0.00\);_(&quot;$&quot;* &quot;-&quot;??_);_(@_)">
                  <c:v>0</c:v>
                </c:pt>
                <c:pt idx="139" formatCode="_(&quot;$&quot;* #,##0.00_);_(&quot;$&quot;* \(#,##0.00\);_(&quot;$&quot;* &quot;-&quot;??_);_(@_)">
                  <c:v>0</c:v>
                </c:pt>
                <c:pt idx="140" formatCode="_(&quot;$&quot;* #,##0.00_);_(&quot;$&quot;* \(#,##0.00\);_(&quot;$&quot;* &quot;-&quot;??_);_(@_)">
                  <c:v>0</c:v>
                </c:pt>
                <c:pt idx="141" formatCode="_(&quot;$&quot;* #,##0.00_);_(&quot;$&quot;* \(#,##0.00\);_(&quot;$&quot;* &quot;-&quot;??_);_(@_)">
                  <c:v>0</c:v>
                </c:pt>
                <c:pt idx="142" formatCode="_(&quot;$&quot;* #,##0.00_);_(&quot;$&quot;* \(#,##0.00\);_(&quot;$&quot;* &quot;-&quot;??_);_(@_)">
                  <c:v>0</c:v>
                </c:pt>
              </c:numCache>
            </c:numRef>
          </c:val>
          <c:extLst>
            <c:ext xmlns:c16="http://schemas.microsoft.com/office/drawing/2014/chart" uri="{C3380CC4-5D6E-409C-BE32-E72D297353CC}">
              <c16:uniqueId val="{00000007-6E1B-47D7-8DF0-ACF91E41D3F8}"/>
            </c:ext>
          </c:extLst>
        </c:ser>
        <c:ser>
          <c:idx val="6"/>
          <c:order val="6"/>
          <c:tx>
            <c:strRef>
              <c:f>'Cement Cost Model-China'!$K$326</c:f>
              <c:strCache>
                <c:ptCount val="1"/>
                <c:pt idx="0">
                  <c:v>CCS</c:v>
                </c:pt>
              </c:strCache>
            </c:strRef>
          </c:tx>
          <c:spPr>
            <a:solidFill>
              <a:schemeClr val="accent1">
                <a:lumMod val="60000"/>
              </a:schemeClr>
            </a:solidFill>
            <a:ln>
              <a:noFill/>
            </a:ln>
            <a:effectLst/>
          </c:spPr>
          <c:invertIfNegative val="0"/>
          <c:val>
            <c:numRef>
              <c:f>'Cement Cost Model-China'!$K$327:$K$491</c:f>
              <c:numCache>
                <c:formatCode>General</c:formatCode>
                <c:ptCount val="165"/>
                <c:pt idx="143" formatCode="_(&quot;$&quot;* #,##0.00_);_(&quot;$&quot;* \(#,##0.00\);_(&quot;$&quot;* &quot;-&quot;??_);_(@_)">
                  <c:v>0</c:v>
                </c:pt>
                <c:pt idx="144" formatCode="_(&quot;$&quot;* #,##0.00_);_(&quot;$&quot;* \(#,##0.00\);_(&quot;$&quot;* &quot;-&quot;??_);_(@_)">
                  <c:v>0</c:v>
                </c:pt>
                <c:pt idx="145" formatCode="_(&quot;$&quot;* #,##0.00_);_(&quot;$&quot;* \(#,##0.00\);_(&quot;$&quot;* &quot;-&quot;??_);_(@_)">
                  <c:v>0</c:v>
                </c:pt>
                <c:pt idx="146" formatCode="_(&quot;$&quot;* #,##0.00_);_(&quot;$&quot;* \(#,##0.00\);_(&quot;$&quot;* &quot;-&quot;??_);_(@_)">
                  <c:v>0</c:v>
                </c:pt>
                <c:pt idx="147" formatCode="_(&quot;$&quot;* #,##0.00_);_(&quot;$&quot;* \(#,##0.00\);_(&quot;$&quot;* &quot;-&quot;??_);_(@_)">
                  <c:v>0</c:v>
                </c:pt>
                <c:pt idx="148" formatCode="_(&quot;$&quot;* #,##0.00_);_(&quot;$&quot;* \(#,##0.00\);_(&quot;$&quot;* &quot;-&quot;??_);_(@_)">
                  <c:v>0</c:v>
                </c:pt>
                <c:pt idx="149" formatCode="_(&quot;$&quot;* #,##0.00_);_(&quot;$&quot;* \(#,##0.00\);_(&quot;$&quot;* &quot;-&quot;??_);_(@_)">
                  <c:v>0</c:v>
                </c:pt>
                <c:pt idx="150" formatCode="_(&quot;$&quot;* #,##0.00_);_(&quot;$&quot;* \(#,##0.00\);_(&quot;$&quot;* &quot;-&quot;??_);_(@_)">
                  <c:v>0</c:v>
                </c:pt>
                <c:pt idx="151" formatCode="_(&quot;$&quot;* #,##0.00_);_(&quot;$&quot;* \(#,##0.00\);_(&quot;$&quot;* &quot;-&quot;??_);_(@_)">
                  <c:v>0</c:v>
                </c:pt>
                <c:pt idx="152" formatCode="_(&quot;$&quot;* #,##0.00_);_(&quot;$&quot;* \(#,##0.00\);_(&quot;$&quot;* &quot;-&quot;??_);_(@_)">
                  <c:v>0</c:v>
                </c:pt>
                <c:pt idx="153" formatCode="_(&quot;$&quot;* #,##0.00_);_(&quot;$&quot;* \(#,##0.00\);_(&quot;$&quot;* &quot;-&quot;??_);_(@_)">
                  <c:v>0</c:v>
                </c:pt>
                <c:pt idx="154" formatCode="_(&quot;$&quot;* #,##0.00_);_(&quot;$&quot;* \(#,##0.00\);_(&quot;$&quot;* &quot;-&quot;??_);_(@_)">
                  <c:v>0</c:v>
                </c:pt>
                <c:pt idx="155" formatCode="_(&quot;$&quot;* #,##0.00_);_(&quot;$&quot;* \(#,##0.00\);_(&quot;$&quot;* &quot;-&quot;??_);_(@_)">
                  <c:v>0</c:v>
                </c:pt>
                <c:pt idx="156" formatCode="_(&quot;$&quot;* #,##0.00_);_(&quot;$&quot;* \(#,##0.00\);_(&quot;$&quot;* &quot;-&quot;??_);_(@_)">
                  <c:v>0</c:v>
                </c:pt>
                <c:pt idx="157" formatCode="_(&quot;$&quot;* #,##0.00_);_(&quot;$&quot;* \(#,##0.00\);_(&quot;$&quot;* &quot;-&quot;??_);_(@_)">
                  <c:v>0</c:v>
                </c:pt>
                <c:pt idx="158" formatCode="_(&quot;$&quot;* #,##0.00_);_(&quot;$&quot;* \(#,##0.00\);_(&quot;$&quot;* &quot;-&quot;??_);_(@_)">
                  <c:v>0</c:v>
                </c:pt>
                <c:pt idx="159" formatCode="_(&quot;$&quot;* #,##0.00_);_(&quot;$&quot;* \(#,##0.00\);_(&quot;$&quot;* &quot;-&quot;??_);_(@_)">
                  <c:v>0</c:v>
                </c:pt>
                <c:pt idx="160" formatCode="_(&quot;$&quot;* #,##0.00_);_(&quot;$&quot;* \(#,##0.00\);_(&quot;$&quot;* &quot;-&quot;??_);_(@_)">
                  <c:v>0</c:v>
                </c:pt>
                <c:pt idx="161" formatCode="_(&quot;$&quot;* #,##0.00_);_(&quot;$&quot;* \(#,##0.00\);_(&quot;$&quot;* &quot;-&quot;??_);_(@_)">
                  <c:v>0</c:v>
                </c:pt>
                <c:pt idx="162" formatCode="_(&quot;$&quot;* #,##0.00_);_(&quot;$&quot;* \(#,##0.00\);_(&quot;$&quot;* &quot;-&quot;??_);_(@_)">
                  <c:v>0</c:v>
                </c:pt>
                <c:pt idx="163" formatCode="_(&quot;$&quot;* #,##0.00_);_(&quot;$&quot;* \(#,##0.00\);_(&quot;$&quot;* &quot;-&quot;??_);_(@_)">
                  <c:v>0</c:v>
                </c:pt>
                <c:pt idx="164" formatCode="_(&quot;$&quot;* #,##0.00_);_(&quot;$&quot;* \(#,##0.00\);_(&quot;$&quot;* &quot;-&quot;??_);_(@_)">
                  <c:v>0</c:v>
                </c:pt>
              </c:numCache>
            </c:numRef>
          </c:val>
          <c:extLst>
            <c:ext xmlns:c16="http://schemas.microsoft.com/office/drawing/2014/chart" uri="{C3380CC4-5D6E-409C-BE32-E72D297353CC}">
              <c16:uniqueId val="{00000008-6E1B-47D7-8DF0-ACF91E41D3F8}"/>
            </c:ext>
          </c:extLst>
        </c:ser>
        <c:dLbls>
          <c:showLegendKey val="0"/>
          <c:showVal val="0"/>
          <c:showCatName val="0"/>
          <c:showSerName val="0"/>
          <c:showPercent val="0"/>
          <c:showBubbleSize val="0"/>
        </c:dLbls>
        <c:gapWidth val="0"/>
        <c:overlap val="100"/>
        <c:axId val="1059220143"/>
        <c:axId val="670161279"/>
      </c:barChart>
      <c:scatterChart>
        <c:scatterStyle val="lineMarker"/>
        <c:varyColors val="0"/>
        <c:ser>
          <c:idx val="0"/>
          <c:order val="0"/>
          <c:spPr>
            <a:ln w="25400" cap="rnd">
              <a:noFill/>
              <a:round/>
            </a:ln>
            <a:effectLst/>
          </c:spPr>
          <c:marker>
            <c:symbol val="none"/>
          </c:marker>
          <c:xVal>
            <c:numRef>
              <c:f>'Cement Cost Model-China'!$H$280:$H$286</c:f>
              <c:numCache>
                <c:formatCode>_(* #,##0.00_);_(* \(#,##0.00\);_(* "-"??_);_(@_)</c:formatCode>
                <c:ptCount val="7"/>
                <c:pt idx="0" formatCode="General">
                  <c:v>0</c:v>
                </c:pt>
                <c:pt idx="1">
                  <c:v>43.52</c:v>
                </c:pt>
                <c:pt idx="2">
                  <c:v>55.03</c:v>
                </c:pt>
                <c:pt idx="3">
                  <c:v>56.128999999999998</c:v>
                </c:pt>
                <c:pt idx="4">
                  <c:v>62.722999999999999</c:v>
                </c:pt>
                <c:pt idx="5">
                  <c:v>77.010000000000005</c:v>
                </c:pt>
                <c:pt idx="6">
                  <c:v>87.92</c:v>
                </c:pt>
              </c:numCache>
            </c:numRef>
          </c:xVal>
          <c:yVal>
            <c:numRef>
              <c:f>'Cement Cost Model-China'!$I$280:$I$286</c:f>
              <c:numCache>
                <c:formatCode>_("$"* #,##0_);_("$"* \(#,##0\);_("$"* "-"??_);_(@_)</c:formatCode>
                <c:ptCount val="7"/>
                <c:pt idx="0">
                  <c:v>0</c:v>
                </c:pt>
                <c:pt idx="1">
                  <c:v>0</c:v>
                </c:pt>
                <c:pt idx="2">
                  <c:v>0</c:v>
                </c:pt>
                <c:pt idx="3">
                  <c:v>30.574309610052783</c:v>
                </c:pt>
                <c:pt idx="4">
                  <c:v>72.569417929579345</c:v>
                </c:pt>
                <c:pt idx="5">
                  <c:v>0</c:v>
                </c:pt>
                <c:pt idx="6">
                  <c:v>0</c:v>
                </c:pt>
              </c:numCache>
            </c:numRef>
          </c:yVal>
          <c:smooth val="0"/>
          <c:extLst>
            <c:ext xmlns:c16="http://schemas.microsoft.com/office/drawing/2014/chart" uri="{C3380CC4-5D6E-409C-BE32-E72D297353CC}">
              <c16:uniqueId val="{00000000-9C7E-45C3-A1D4-3AA04085F18C}"/>
            </c:ext>
          </c:extLst>
        </c:ser>
        <c:dLbls>
          <c:showLegendKey val="0"/>
          <c:showVal val="0"/>
          <c:showCatName val="0"/>
          <c:showSerName val="0"/>
          <c:showPercent val="0"/>
          <c:showBubbleSize val="0"/>
        </c:dLbls>
        <c:axId val="1004387183"/>
        <c:axId val="999446367"/>
      </c:scatterChart>
      <c:valAx>
        <c:axId val="1004387183"/>
        <c:scaling>
          <c:orientation val="minMax"/>
          <c:max val="82.5"/>
          <c:min val="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t>Avoided CO</a:t>
                </a:r>
                <a:r>
                  <a:rPr lang="en-US" sz="1200" baseline="-25000"/>
                  <a:t>2</a:t>
                </a:r>
                <a:r>
                  <a:rPr lang="en-US" sz="1200"/>
                  <a:t> Emissions in</a:t>
                </a:r>
                <a:r>
                  <a:rPr lang="en-US" sz="1200" baseline="0"/>
                  <a:t> 2030 </a:t>
                </a:r>
                <a:r>
                  <a:rPr lang="en-US" sz="1200"/>
                  <a:t>(MtCO</a:t>
                </a:r>
                <a:r>
                  <a:rPr lang="en-US" sz="1200" baseline="-25000"/>
                  <a:t>2</a:t>
                </a:r>
                <a:r>
                  <a:rPr lang="en-US" sz="1200" baseline="0"/>
                  <a:t>)</a:t>
                </a:r>
              </a:p>
            </c:rich>
          </c:tx>
          <c:layout>
            <c:manualLayout>
              <c:xMode val="edge"/>
              <c:yMode val="edge"/>
              <c:x val="0.36726273647114016"/>
              <c:y val="0.925764781683007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99446367"/>
        <c:crosses val="autoZero"/>
        <c:crossBetween val="midCat"/>
      </c:valAx>
      <c:valAx>
        <c:axId val="999446367"/>
        <c:scaling>
          <c:orientation val="minMax"/>
          <c:max val="160"/>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100"/>
                  <a:t>Marginal Abatement Cost in 2030 ($/tCO</a:t>
                </a:r>
                <a:r>
                  <a:rPr lang="en-US" sz="1100" baseline="-25000"/>
                  <a:t>2</a:t>
                </a:r>
                <a:r>
                  <a:rPr lang="en-US" sz="1100" baseline="0"/>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004387183"/>
        <c:crosses val="autoZero"/>
        <c:crossBetween val="midCat"/>
      </c:valAx>
      <c:valAx>
        <c:axId val="670161279"/>
        <c:scaling>
          <c:orientation val="minMax"/>
          <c:max val="160"/>
        </c:scaling>
        <c:delete val="1"/>
        <c:axPos val="r"/>
        <c:numFmt formatCode="_(&quot;$&quot;* #,##0.00_);_(&quot;$&quot;* \(#,##0.00\);_(&quot;$&quot;* &quot;-&quot;??_);_(@_)" sourceLinked="1"/>
        <c:majorTickMark val="out"/>
        <c:minorTickMark val="none"/>
        <c:tickLblPos val="nextTo"/>
        <c:crossAx val="1059220143"/>
        <c:crosses val="max"/>
        <c:crossBetween val="between"/>
      </c:valAx>
      <c:catAx>
        <c:axId val="1059220143"/>
        <c:scaling>
          <c:orientation val="minMax"/>
        </c:scaling>
        <c:delete val="1"/>
        <c:axPos val="b"/>
        <c:numFmt formatCode="General" sourceLinked="1"/>
        <c:majorTickMark val="out"/>
        <c:minorTickMark val="none"/>
        <c:tickLblPos val="nextTo"/>
        <c:crossAx val="670161279"/>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400" b="1" i="0" baseline="0">
                <a:effectLst/>
              </a:rPr>
              <a:t>Cumulative Investment (CAPEX) Needs for</a:t>
            </a:r>
          </a:p>
          <a:p>
            <a:pPr>
              <a:defRPr/>
            </a:pPr>
            <a:r>
              <a:rPr lang="en-US" sz="1400" b="1" i="0" baseline="0">
                <a:effectLst/>
              </a:rPr>
              <a:t> China's Cement Industry Energy Transition</a:t>
            </a:r>
            <a:endParaRPr lang="en-US" sz="1100">
              <a:effectLst/>
            </a:endParaRPr>
          </a:p>
          <a:p>
            <a:pPr>
              <a:defRPr/>
            </a:pPr>
            <a:r>
              <a:rPr lang="en-US" sz="1400" b="1" i="1" baseline="0">
                <a:effectLst/>
              </a:rPr>
              <a:t>Circular Economy Pathway; CCS and H</a:t>
            </a:r>
            <a:r>
              <a:rPr lang="en-US" sz="1400" b="1" i="1" baseline="-25000">
                <a:effectLst/>
              </a:rPr>
              <a:t>2</a:t>
            </a:r>
            <a:r>
              <a:rPr lang="en-US" sz="1400" b="1" i="1" baseline="0">
                <a:effectLst/>
              </a:rPr>
              <a:t> &amp; RE Investment NOT Included</a:t>
            </a:r>
            <a:endParaRPr lang="en-US" sz="1100">
              <a:effectLst/>
            </a:endParaRP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7095231797743584E-2"/>
          <c:y val="0.20216207771856323"/>
          <c:w val="0.45338051676805641"/>
          <c:h val="0.7367483600878072"/>
        </c:manualLayout>
      </c:layout>
      <c:barChart>
        <c:barDir val="col"/>
        <c:grouping val="stacked"/>
        <c:varyColors val="0"/>
        <c:ser>
          <c:idx val="1"/>
          <c:order val="0"/>
          <c:tx>
            <c:strRef>
              <c:f>'Cement Cost Model-China'!$A$149</c:f>
              <c:strCache>
                <c:ptCount val="1"/>
                <c:pt idx="0">
                  <c:v>Energy Efficiency</c:v>
                </c:pt>
              </c:strCache>
            </c:strRef>
          </c:tx>
          <c:spPr>
            <a:solidFill>
              <a:schemeClr val="accent5">
                <a:lumMod val="5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Model-China'!$B$149:$C$149</c:f>
              <c:numCache>
                <c:formatCode>_(* #,##0.0_);_(* \(#,##0.0\);_(* "-"??_);_(@_)</c:formatCode>
                <c:ptCount val="2"/>
                <c:pt idx="0">
                  <c:v>2.3681042799205181</c:v>
                </c:pt>
                <c:pt idx="1">
                  <c:v>8.7619858357059162</c:v>
                </c:pt>
              </c:numCache>
            </c:numRef>
          </c:val>
          <c:extLst>
            <c:ext xmlns:c16="http://schemas.microsoft.com/office/drawing/2014/chart" uri="{C3380CC4-5D6E-409C-BE32-E72D297353CC}">
              <c16:uniqueId val="{00000000-FFDA-46DA-85FB-B16D70A02154}"/>
            </c:ext>
          </c:extLst>
        </c:ser>
        <c:ser>
          <c:idx val="9"/>
          <c:order val="1"/>
          <c:tx>
            <c:strRef>
              <c:f>'Cement Cost Model-China'!$A$151</c:f>
              <c:strCache>
                <c:ptCount val="1"/>
                <c:pt idx="0">
                  <c:v>Calcined Clay (CAEPX for kilns)</c:v>
                </c:pt>
              </c:strCache>
            </c:strRef>
          </c:tx>
          <c:spPr>
            <a:solidFill>
              <a:schemeClr val="accent2">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Model-China'!$B$151:$C$151</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1-FFDA-46DA-85FB-B16D70A02154}"/>
            </c:ext>
          </c:extLst>
        </c:ser>
        <c:ser>
          <c:idx val="10"/>
          <c:order val="2"/>
          <c:tx>
            <c:strRef>
              <c:f>'Cement Cost Model-China'!$A$152</c:f>
              <c:strCache>
                <c:ptCount val="1"/>
                <c:pt idx="0">
                  <c:v>Calcined Clay (CAPEX for storage)</c:v>
                </c:pt>
              </c:strCache>
            </c:strRef>
          </c:tx>
          <c:spPr>
            <a:solidFill>
              <a:schemeClr val="accent2">
                <a:lumMod val="40000"/>
                <a:lumOff val="6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Model-China'!$B$152:$C$152</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2-FFDA-46DA-85FB-B16D70A02154}"/>
            </c:ext>
          </c:extLst>
        </c:ser>
        <c:ser>
          <c:idx val="0"/>
          <c:order val="3"/>
          <c:tx>
            <c:strRef>
              <c:f>'Cement Cost Model-China'!$A$154</c:f>
              <c:strCache>
                <c:ptCount val="1"/>
                <c:pt idx="0">
                  <c:v>Industrial and solid wastes </c:v>
                </c:pt>
              </c:strCache>
            </c:strRef>
          </c:tx>
          <c:spPr>
            <a:solidFill>
              <a:schemeClr val="accent5"/>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Model-China'!$B$154:$C$154</c:f>
              <c:numCache>
                <c:formatCode>_(* #,##0.0_);_(* \(#,##0.0\);_(* "-"??_);_(@_)</c:formatCode>
                <c:ptCount val="2"/>
                <c:pt idx="0">
                  <c:v>1.9033327283656511</c:v>
                </c:pt>
                <c:pt idx="1">
                  <c:v>4.4150580505263157</c:v>
                </c:pt>
              </c:numCache>
            </c:numRef>
          </c:val>
          <c:extLst>
            <c:ext xmlns:c16="http://schemas.microsoft.com/office/drawing/2014/chart" uri="{C3380CC4-5D6E-409C-BE32-E72D297353CC}">
              <c16:uniqueId val="{00000003-FFDA-46DA-85FB-B16D70A02154}"/>
            </c:ext>
          </c:extLst>
        </c:ser>
        <c:ser>
          <c:idx val="5"/>
          <c:order val="4"/>
          <c:tx>
            <c:strRef>
              <c:f>'Cement Cost Model-China'!$A$155</c:f>
              <c:strCache>
                <c:ptCount val="1"/>
                <c:pt idx="0">
                  <c:v>Biomass </c:v>
                </c:pt>
              </c:strCache>
            </c:strRef>
          </c:tx>
          <c:spPr>
            <a:solidFill>
              <a:schemeClr val="accent4"/>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Model-China'!$B$155:$C$155</c:f>
              <c:numCache>
                <c:formatCode>_(* #,##0.0_);_(* \(#,##0.0\);_(* "-"??_);_(@_)</c:formatCode>
                <c:ptCount val="2"/>
                <c:pt idx="0">
                  <c:v>0.28596229224376735</c:v>
                </c:pt>
                <c:pt idx="1">
                  <c:v>0.67543859649122817</c:v>
                </c:pt>
              </c:numCache>
            </c:numRef>
          </c:val>
          <c:extLst>
            <c:ext xmlns:c16="http://schemas.microsoft.com/office/drawing/2014/chart" uri="{C3380CC4-5D6E-409C-BE32-E72D297353CC}">
              <c16:uniqueId val="{00000004-FFDA-46DA-85FB-B16D70A02154}"/>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5804456458976681"/>
          <c:y val="0.66055952534170281"/>
          <c:w val="0.39858679298794597"/>
          <c:h val="0.2636999945940881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400" b="1" i="0" baseline="0">
                <a:effectLst/>
              </a:rPr>
              <a:t>Cumulative Investment (CAPEX) Needs for</a:t>
            </a:r>
          </a:p>
          <a:p>
            <a:pPr>
              <a:defRPr/>
            </a:pPr>
            <a:r>
              <a:rPr lang="en-US" sz="1400" b="1" i="0" baseline="0">
                <a:effectLst/>
              </a:rPr>
              <a:t> China's Cement Industry Energy Transition</a:t>
            </a:r>
            <a:endParaRPr lang="en-US" sz="1100">
              <a:effectLst/>
            </a:endParaRPr>
          </a:p>
          <a:p>
            <a:pPr>
              <a:defRPr/>
            </a:pPr>
            <a:r>
              <a:rPr lang="en-US" sz="1400" b="1" i="1" u="none" baseline="0">
                <a:effectLst/>
              </a:rPr>
              <a:t>Circular Economy Pathway </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0203245217288652E-2"/>
          <c:y val="0.20216207771856323"/>
          <c:w val="0.46903317549884271"/>
          <c:h val="0.7367483600878072"/>
        </c:manualLayout>
      </c:layout>
      <c:barChart>
        <c:barDir val="col"/>
        <c:grouping val="stacked"/>
        <c:varyColors val="0"/>
        <c:ser>
          <c:idx val="1"/>
          <c:order val="0"/>
          <c:tx>
            <c:strRef>
              <c:f>'Cement Cost Model-China'!$A$149</c:f>
              <c:strCache>
                <c:ptCount val="1"/>
                <c:pt idx="0">
                  <c:v>Energy Efficiency</c:v>
                </c:pt>
              </c:strCache>
            </c:strRef>
          </c:tx>
          <c:spPr>
            <a:solidFill>
              <a:schemeClr val="accent5">
                <a:lumMod val="5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Model-China'!$B$149:$C$149</c:f>
              <c:numCache>
                <c:formatCode>_(* #,##0.0_);_(* \(#,##0.0\);_(* "-"??_);_(@_)</c:formatCode>
                <c:ptCount val="2"/>
                <c:pt idx="0">
                  <c:v>2.3681042799205181</c:v>
                </c:pt>
                <c:pt idx="1">
                  <c:v>8.7619858357059162</c:v>
                </c:pt>
              </c:numCache>
            </c:numRef>
          </c:val>
          <c:extLst>
            <c:ext xmlns:c16="http://schemas.microsoft.com/office/drawing/2014/chart" uri="{C3380CC4-5D6E-409C-BE32-E72D297353CC}">
              <c16:uniqueId val="{00000000-EBDF-40EC-ACFF-036F77868325}"/>
            </c:ext>
          </c:extLst>
        </c:ser>
        <c:ser>
          <c:idx val="9"/>
          <c:order val="1"/>
          <c:tx>
            <c:strRef>
              <c:f>'Cement Cost Model-China'!$A$151</c:f>
              <c:strCache>
                <c:ptCount val="1"/>
                <c:pt idx="0">
                  <c:v>Calcined Clay (CAEPX for kilns)</c:v>
                </c:pt>
              </c:strCache>
            </c:strRef>
          </c:tx>
          <c:spPr>
            <a:solidFill>
              <a:schemeClr val="accent2">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Model-China'!$B$151:$C$151</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1-EBDF-40EC-ACFF-036F77868325}"/>
            </c:ext>
          </c:extLst>
        </c:ser>
        <c:ser>
          <c:idx val="10"/>
          <c:order val="2"/>
          <c:tx>
            <c:strRef>
              <c:f>'Cement Cost Model-China'!$A$152</c:f>
              <c:strCache>
                <c:ptCount val="1"/>
                <c:pt idx="0">
                  <c:v>Calcined Clay (CAPEX for storage)</c:v>
                </c:pt>
              </c:strCache>
            </c:strRef>
          </c:tx>
          <c:spPr>
            <a:solidFill>
              <a:schemeClr val="accent2">
                <a:lumMod val="40000"/>
                <a:lumOff val="6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Model-China'!$B$152:$C$152</c:f>
              <c:numCache>
                <c:formatCode>_(* #,##0.0_);_(* \(#,##0.0\);_(* "-"??_);_(@_)</c:formatCode>
                <c:ptCount val="2"/>
                <c:pt idx="0">
                  <c:v>1.5805263157894736</c:v>
                </c:pt>
                <c:pt idx="1">
                  <c:v>6.3221052631578942</c:v>
                </c:pt>
              </c:numCache>
            </c:numRef>
          </c:val>
          <c:extLst>
            <c:ext xmlns:c16="http://schemas.microsoft.com/office/drawing/2014/chart" uri="{C3380CC4-5D6E-409C-BE32-E72D297353CC}">
              <c16:uniqueId val="{00000002-EBDF-40EC-ACFF-036F77868325}"/>
            </c:ext>
          </c:extLst>
        </c:ser>
        <c:ser>
          <c:idx val="0"/>
          <c:order val="3"/>
          <c:tx>
            <c:strRef>
              <c:f>'Cement Cost Model-China'!$A$154</c:f>
              <c:strCache>
                <c:ptCount val="1"/>
                <c:pt idx="0">
                  <c:v>Industrial and solid wastes </c:v>
                </c:pt>
              </c:strCache>
            </c:strRef>
          </c:tx>
          <c:spPr>
            <a:solidFill>
              <a:schemeClr val="accent5"/>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Model-China'!$B$154:$C$154</c:f>
              <c:numCache>
                <c:formatCode>_(* #,##0.0_);_(* \(#,##0.0\);_(* "-"??_);_(@_)</c:formatCode>
                <c:ptCount val="2"/>
                <c:pt idx="0">
                  <c:v>1.9033327283656511</c:v>
                </c:pt>
                <c:pt idx="1">
                  <c:v>4.4150580505263157</c:v>
                </c:pt>
              </c:numCache>
            </c:numRef>
          </c:val>
          <c:extLst>
            <c:ext xmlns:c16="http://schemas.microsoft.com/office/drawing/2014/chart" uri="{C3380CC4-5D6E-409C-BE32-E72D297353CC}">
              <c16:uniqueId val="{00000003-EBDF-40EC-ACFF-036F77868325}"/>
            </c:ext>
          </c:extLst>
        </c:ser>
        <c:ser>
          <c:idx val="5"/>
          <c:order val="4"/>
          <c:tx>
            <c:strRef>
              <c:f>'Cement Cost Model-China'!$A$155</c:f>
              <c:strCache>
                <c:ptCount val="1"/>
                <c:pt idx="0">
                  <c:v>Biomass </c:v>
                </c:pt>
              </c:strCache>
            </c:strRef>
          </c:tx>
          <c:spPr>
            <a:solidFill>
              <a:schemeClr val="accent4"/>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Model-China'!$B$155:$C$155</c:f>
              <c:numCache>
                <c:formatCode>_(* #,##0.0_);_(* \(#,##0.0\);_(* "-"??_);_(@_)</c:formatCode>
                <c:ptCount val="2"/>
                <c:pt idx="0">
                  <c:v>0.28596229224376735</c:v>
                </c:pt>
                <c:pt idx="1">
                  <c:v>0.67543859649122817</c:v>
                </c:pt>
              </c:numCache>
            </c:numRef>
          </c:val>
          <c:extLst>
            <c:ext xmlns:c16="http://schemas.microsoft.com/office/drawing/2014/chart" uri="{C3380CC4-5D6E-409C-BE32-E72D297353CC}">
              <c16:uniqueId val="{00000004-EBDF-40EC-ACFF-036F77868325}"/>
            </c:ext>
          </c:extLst>
        </c:ser>
        <c:ser>
          <c:idx val="6"/>
          <c:order val="5"/>
          <c:tx>
            <c:strRef>
              <c:f>'Cement Cost Model-China'!$A$156</c:f>
              <c:strCache>
                <c:ptCount val="1"/>
                <c:pt idx="0">
                  <c:v>H2 Injection</c:v>
                </c:pt>
              </c:strCache>
            </c:strRef>
          </c:tx>
          <c:spPr>
            <a:solidFill>
              <a:schemeClr val="accent3"/>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Model-China'!$B$156:$C$156</c:f>
              <c:numCache>
                <c:formatCode>_(* #,##0.0_);_(* \(#,##0.0\);_(* "-"??_);_(@_)</c:formatCode>
                <c:ptCount val="2"/>
                <c:pt idx="0">
                  <c:v>8.3645190587082183E-2</c:v>
                </c:pt>
                <c:pt idx="1">
                  <c:v>1.724751141689046</c:v>
                </c:pt>
              </c:numCache>
            </c:numRef>
          </c:val>
          <c:extLst>
            <c:ext xmlns:c16="http://schemas.microsoft.com/office/drawing/2014/chart" uri="{C3380CC4-5D6E-409C-BE32-E72D297353CC}">
              <c16:uniqueId val="{00000005-EBDF-40EC-ACFF-036F77868325}"/>
            </c:ext>
          </c:extLst>
        </c:ser>
        <c:ser>
          <c:idx val="11"/>
          <c:order val="6"/>
          <c:tx>
            <c:v>Electrolyzers for H2 Production</c:v>
          </c:tx>
          <c:spPr>
            <a:solidFill>
              <a:schemeClr val="accent6">
                <a:lumMod val="60000"/>
                <a:lumOff val="40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Model-China'!$B$159:$C$159</c:f>
              <c:numCache>
                <c:formatCode>_(* #,##0.0_);_(* \(#,##0.0\);_(* "-"??_);_(@_)</c:formatCode>
                <c:ptCount val="2"/>
                <c:pt idx="0">
                  <c:v>6.766231074260995</c:v>
                </c:pt>
                <c:pt idx="1">
                  <c:v>19.977168949771695</c:v>
                </c:pt>
              </c:numCache>
            </c:numRef>
          </c:val>
          <c:extLst>
            <c:ext xmlns:c16="http://schemas.microsoft.com/office/drawing/2014/chart" uri="{C3380CC4-5D6E-409C-BE32-E72D297353CC}">
              <c16:uniqueId val="{00000006-EBDF-40EC-ACFF-036F77868325}"/>
            </c:ext>
          </c:extLst>
        </c:ser>
        <c:ser>
          <c:idx val="12"/>
          <c:order val="7"/>
          <c:tx>
            <c:strRef>
              <c:f>'Cement Cost Model-China'!$A$162</c:f>
              <c:strCache>
                <c:ptCount val="1"/>
                <c:pt idx="0">
                  <c:v>CCS</c:v>
                </c:pt>
              </c:strCache>
            </c:strRef>
          </c:tx>
          <c:spPr>
            <a:solidFill>
              <a:schemeClr val="bg2">
                <a:lumMod val="75000"/>
              </a:schemeClr>
            </a:solidFill>
            <a:ln>
              <a:solidFill>
                <a:schemeClr val="tx1"/>
              </a:solidFill>
            </a:ln>
            <a:effectLst/>
          </c:spPr>
          <c:invertIfNegative val="0"/>
          <c:cat>
            <c:numRef>
              <c:f>'Cement Cost Model-China'!$B$148:$C$148</c:f>
              <c:numCache>
                <c:formatCode>General</c:formatCode>
                <c:ptCount val="2"/>
                <c:pt idx="0">
                  <c:v>2030</c:v>
                </c:pt>
                <c:pt idx="1">
                  <c:v>2060</c:v>
                </c:pt>
              </c:numCache>
            </c:numRef>
          </c:cat>
          <c:val>
            <c:numRef>
              <c:f>'Cement Cost Model-China'!$B$162:$C$162</c:f>
              <c:numCache>
                <c:formatCode>_(* #,##0.0_);_(* \(#,##0.0\);_(* "-"??_);_(@_)</c:formatCode>
                <c:ptCount val="2"/>
                <c:pt idx="0">
                  <c:v>12.582340858725763</c:v>
                </c:pt>
                <c:pt idx="1">
                  <c:v>111.44736842105264</c:v>
                </c:pt>
              </c:numCache>
            </c:numRef>
          </c:val>
          <c:extLst>
            <c:ext xmlns:c16="http://schemas.microsoft.com/office/drawing/2014/chart" uri="{C3380CC4-5D6E-409C-BE32-E72D297353CC}">
              <c16:uniqueId val="{00000008-EBDF-40EC-ACFF-036F77868325}"/>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55298267784349231"/>
          <c:y val="0.53587013861450294"/>
          <c:w val="0.39484680180226139"/>
          <c:h val="0.401517040336320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China's Cement Industry Energy Transition</a:t>
            </a:r>
          </a:p>
          <a:p>
            <a:pPr>
              <a:defRPr/>
            </a:pPr>
            <a:r>
              <a:rPr lang="en-US" b="1" i="1" u="none"/>
              <a:t>Energy Technology Pathway</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3353087035770888E-2"/>
          <c:y val="0.17389093585681473"/>
          <c:w val="0.49620071509139702"/>
          <c:h val="0.76502519110125933"/>
        </c:manualLayout>
      </c:layout>
      <c:barChart>
        <c:barDir val="col"/>
        <c:grouping val="stacked"/>
        <c:varyColors val="0"/>
        <c:ser>
          <c:idx val="4"/>
          <c:order val="0"/>
          <c:tx>
            <c:strRef>
              <c:f>'Cement Cost Model-China'!$A$130</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Model-China'!$B$130:$C$130</c:f>
              <c:numCache>
                <c:formatCode>_(* #,##0.0_);_(* \(#,##0.0\);_(* "-"??_);_(@_)</c:formatCode>
                <c:ptCount val="2"/>
                <c:pt idx="0">
                  <c:v>2.8951659238349907</c:v>
                </c:pt>
                <c:pt idx="1">
                  <c:v>11.580663695339963</c:v>
                </c:pt>
              </c:numCache>
            </c:numRef>
          </c:val>
          <c:extLst>
            <c:ext xmlns:c16="http://schemas.microsoft.com/office/drawing/2014/chart" uri="{C3380CC4-5D6E-409C-BE32-E72D297353CC}">
              <c16:uniqueId val="{00000000-A179-46C3-A56D-92B1E3FC3209}"/>
            </c:ext>
          </c:extLst>
        </c:ser>
        <c:ser>
          <c:idx val="5"/>
          <c:order val="1"/>
          <c:tx>
            <c:strRef>
              <c:f>'Cement Cost Model-China'!$A$132</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Model-China'!$B$132:$C$132</c:f>
              <c:numCache>
                <c:formatCode>_(* #,##0.0_);_(* \(#,##0.0\);_(* "-"??_);_(@_)</c:formatCode>
                <c:ptCount val="2"/>
                <c:pt idx="0">
                  <c:v>1.2644210526315787</c:v>
                </c:pt>
                <c:pt idx="1">
                  <c:v>5.0576842105263147</c:v>
                </c:pt>
              </c:numCache>
            </c:numRef>
          </c:val>
          <c:extLst>
            <c:ext xmlns:c16="http://schemas.microsoft.com/office/drawing/2014/chart" uri="{C3380CC4-5D6E-409C-BE32-E72D297353CC}">
              <c16:uniqueId val="{00000001-A179-46C3-A56D-92B1E3FC3209}"/>
            </c:ext>
          </c:extLst>
        </c:ser>
        <c:ser>
          <c:idx val="0"/>
          <c:order val="2"/>
          <c:tx>
            <c:strRef>
              <c:f>'Cement Cost Model-China'!$A$133</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Model-China'!$B$133:$C$133</c:f>
              <c:numCache>
                <c:formatCode>_(* #,##0.0_);_(* \(#,##0.0\);_(* "-"??_);_(@_)</c:formatCode>
                <c:ptCount val="2"/>
                <c:pt idx="0">
                  <c:v>1.2644210526315787</c:v>
                </c:pt>
                <c:pt idx="1">
                  <c:v>5.0576842105263147</c:v>
                </c:pt>
              </c:numCache>
            </c:numRef>
          </c:val>
          <c:extLst>
            <c:ext xmlns:c16="http://schemas.microsoft.com/office/drawing/2014/chart" uri="{C3380CC4-5D6E-409C-BE32-E72D297353CC}">
              <c16:uniqueId val="{00000002-A179-46C3-A56D-92B1E3FC3209}"/>
            </c:ext>
          </c:extLst>
        </c:ser>
        <c:ser>
          <c:idx val="1"/>
          <c:order val="3"/>
          <c:tx>
            <c:strRef>
              <c:f>'Cement Cost Model-China'!$A$135</c:f>
              <c:strCache>
                <c:ptCount val="1"/>
                <c:pt idx="0">
                  <c:v>Industrial and solid wastes </c:v>
                </c:pt>
              </c:strCache>
            </c:strRef>
          </c:tx>
          <c:spPr>
            <a:solidFill>
              <a:schemeClr val="accent2"/>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Model-China'!$B$135:$C$135</c:f>
              <c:numCache>
                <c:formatCode>_(* #,##0.0_);_(* \(#,##0.0\);_(* "-"??_);_(@_)</c:formatCode>
                <c:ptCount val="2"/>
                <c:pt idx="0">
                  <c:v>1.2399002103601111</c:v>
                </c:pt>
                <c:pt idx="1">
                  <c:v>3.4748475242105261</c:v>
                </c:pt>
              </c:numCache>
            </c:numRef>
          </c:val>
          <c:extLst>
            <c:ext xmlns:c16="http://schemas.microsoft.com/office/drawing/2014/chart" uri="{C3380CC4-5D6E-409C-BE32-E72D297353CC}">
              <c16:uniqueId val="{00000003-A179-46C3-A56D-92B1E3FC3209}"/>
            </c:ext>
          </c:extLst>
        </c:ser>
        <c:ser>
          <c:idx val="2"/>
          <c:order val="4"/>
          <c:tx>
            <c:strRef>
              <c:f>'Cement Cost Model-China'!$A$136</c:f>
              <c:strCache>
                <c:ptCount val="1"/>
                <c:pt idx="0">
                  <c:v>Biomass </c:v>
                </c:pt>
              </c:strCache>
            </c:strRef>
          </c:tx>
          <c:spPr>
            <a:solidFill>
              <a:schemeClr val="accent2">
                <a:lumMod val="5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Model-China'!$B$136:$C$136</c:f>
              <c:numCache>
                <c:formatCode>_(* #,##0.0_);_(* \(#,##0.0\);_(* "-"??_);_(@_)</c:formatCode>
                <c:ptCount val="2"/>
                <c:pt idx="0">
                  <c:v>0.14298114612188367</c:v>
                </c:pt>
                <c:pt idx="1">
                  <c:v>0.40526315789473683</c:v>
                </c:pt>
              </c:numCache>
            </c:numRef>
          </c:val>
          <c:extLst>
            <c:ext xmlns:c16="http://schemas.microsoft.com/office/drawing/2014/chart" uri="{C3380CC4-5D6E-409C-BE32-E72D297353CC}">
              <c16:uniqueId val="{00000004-A179-46C3-A56D-92B1E3FC3209}"/>
            </c:ext>
          </c:extLst>
        </c:ser>
        <c:ser>
          <c:idx val="3"/>
          <c:order val="5"/>
          <c:tx>
            <c:strRef>
              <c:f>'Cement Cost Model-China'!$A$137</c:f>
              <c:strCache>
                <c:ptCount val="1"/>
                <c:pt idx="0">
                  <c:v>H2 Injection</c:v>
                </c:pt>
              </c:strCache>
            </c:strRef>
          </c:tx>
          <c:spPr>
            <a:solidFill>
              <a:schemeClr val="accent6">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Model-China'!$B$137:$C$137</c:f>
              <c:numCache>
                <c:formatCode>_(* #,##0.0_);_(* \(#,##0.0\);_(* "-"??_);_(@_)</c:formatCode>
                <c:ptCount val="2"/>
                <c:pt idx="0">
                  <c:v>8.3645190587082183E-2</c:v>
                </c:pt>
                <c:pt idx="1">
                  <c:v>3.8980065264843664</c:v>
                </c:pt>
              </c:numCache>
            </c:numRef>
          </c:val>
          <c:extLst>
            <c:ext xmlns:c16="http://schemas.microsoft.com/office/drawing/2014/chart" uri="{C3380CC4-5D6E-409C-BE32-E72D297353CC}">
              <c16:uniqueId val="{00000005-A179-46C3-A56D-92B1E3FC3209}"/>
            </c:ext>
          </c:extLst>
        </c:ser>
        <c:ser>
          <c:idx val="6"/>
          <c:order val="6"/>
          <c:tx>
            <c:strRef>
              <c:f>'Cement Cost Model-China'!$A$140</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Model-China'!$B$140:$C$140</c:f>
              <c:numCache>
                <c:formatCode>_(* #,##0.0_);_(* \(#,##0.0\);_(* "-"??_);_(@_)</c:formatCode>
                <c:ptCount val="2"/>
                <c:pt idx="0">
                  <c:v>6.766231074260995</c:v>
                </c:pt>
                <c:pt idx="1">
                  <c:v>41.952054794520549</c:v>
                </c:pt>
              </c:numCache>
            </c:numRef>
          </c:val>
          <c:extLst>
            <c:ext xmlns:c16="http://schemas.microsoft.com/office/drawing/2014/chart" uri="{C3380CC4-5D6E-409C-BE32-E72D297353CC}">
              <c16:uniqueId val="{00000006-A179-46C3-A56D-92B1E3FC3209}"/>
            </c:ext>
          </c:extLst>
        </c:ser>
        <c:ser>
          <c:idx val="7"/>
          <c:order val="7"/>
          <c:tx>
            <c:strRef>
              <c:f>'Cement Cost Model-China'!$A$143</c:f>
              <c:strCache>
                <c:ptCount val="1"/>
                <c:pt idx="0">
                  <c:v>CCS</c:v>
                </c:pt>
              </c:strCache>
            </c:strRef>
          </c:tx>
          <c:spPr>
            <a:solidFill>
              <a:schemeClr val="bg2">
                <a:lumMod val="75000"/>
              </a:schemeClr>
            </a:solidFill>
            <a:ln>
              <a:solidFill>
                <a:schemeClr val="tx1"/>
              </a:solidFill>
            </a:ln>
            <a:effectLst/>
          </c:spPr>
          <c:invertIfNegative val="0"/>
          <c:cat>
            <c:numRef>
              <c:f>'Cement Cost Model-China'!$B$129:$C$129</c:f>
              <c:numCache>
                <c:formatCode>General</c:formatCode>
                <c:ptCount val="2"/>
                <c:pt idx="0">
                  <c:v>2030</c:v>
                </c:pt>
                <c:pt idx="1">
                  <c:v>2060</c:v>
                </c:pt>
              </c:numCache>
            </c:numRef>
          </c:cat>
          <c:val>
            <c:numRef>
              <c:f>'Cement Cost Model-China'!$B$143:$C$143</c:f>
              <c:numCache>
                <c:formatCode>_(* #,##0_);_(* \(#,##0\);_(* "-"??_);_(@_)</c:formatCode>
                <c:ptCount val="2"/>
                <c:pt idx="0">
                  <c:v>12.582340858725763</c:v>
                </c:pt>
                <c:pt idx="1">
                  <c:v>290.00823408587257</c:v>
                </c:pt>
              </c:numCache>
            </c:numRef>
          </c:val>
          <c:extLst>
            <c:ext xmlns:c16="http://schemas.microsoft.com/office/drawing/2014/chart" uri="{C3380CC4-5D6E-409C-BE32-E72D297353CC}">
              <c16:uniqueId val="{00000008-A179-46C3-A56D-92B1E3FC3209}"/>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480131465"/>
          <c:y val="0.26425042196680953"/>
          <c:w val="0.32178907290579983"/>
          <c:h val="0.7201478189913302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Indonesia's Cement Industry Energy Transition</a:t>
            </a:r>
          </a:p>
          <a:p>
            <a:pPr>
              <a:defRPr/>
            </a:pPr>
            <a:r>
              <a:rPr lang="en-US" b="1" i="1"/>
              <a:t>Near Zero 2060 Scenario</a:t>
            </a:r>
          </a:p>
          <a:p>
            <a:pPr>
              <a:defRPr/>
            </a:pPr>
            <a:r>
              <a:rPr lang="en-US" b="1" i="1"/>
              <a:t>(including RE Expansion)</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56268345336391"/>
          <c:y val="0.17389093585681473"/>
          <c:w val="0.45999122797708247"/>
          <c:h val="0.76502519110125933"/>
        </c:manualLayout>
      </c:layout>
      <c:barChart>
        <c:barDir val="col"/>
        <c:grouping val="stacked"/>
        <c:varyColors val="0"/>
        <c:ser>
          <c:idx val="4"/>
          <c:order val="0"/>
          <c:tx>
            <c:strRef>
              <c:f>'Cement Cost Model-Indonesia'!$A$91</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Model-Indonesia'!$B$91:$C$91</c:f>
              <c:numCache>
                <c:formatCode>_(* #,##0.0_);_(* \(#,##0.0\);_(* "-"??_);_(@_)</c:formatCode>
                <c:ptCount val="2"/>
                <c:pt idx="0">
                  <c:v>0.70617411011322584</c:v>
                </c:pt>
                <c:pt idx="1">
                  <c:v>2.5666768709308445</c:v>
                </c:pt>
              </c:numCache>
            </c:numRef>
          </c:val>
          <c:extLst>
            <c:ext xmlns:c16="http://schemas.microsoft.com/office/drawing/2014/chart" uri="{C3380CC4-5D6E-409C-BE32-E72D297353CC}">
              <c16:uniqueId val="{00000000-5017-4FFF-A76B-151A69477828}"/>
            </c:ext>
          </c:extLst>
        </c:ser>
        <c:ser>
          <c:idx val="5"/>
          <c:order val="1"/>
          <c:tx>
            <c:strRef>
              <c:f>'Cement Cost Model-Indonesia'!$A$93</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Model-Indonesia'!$B$93:$C$93</c:f>
              <c:numCache>
                <c:formatCode>_(* #,##0.0_);_(* \(#,##0.0\);_(* "-"??_);_(@_)</c:formatCode>
                <c:ptCount val="2"/>
                <c:pt idx="0">
                  <c:v>0.19927699442545893</c:v>
                </c:pt>
                <c:pt idx="1">
                  <c:v>0.75783157894736852</c:v>
                </c:pt>
              </c:numCache>
            </c:numRef>
          </c:val>
          <c:extLst>
            <c:ext xmlns:c16="http://schemas.microsoft.com/office/drawing/2014/chart" uri="{C3380CC4-5D6E-409C-BE32-E72D297353CC}">
              <c16:uniqueId val="{00000001-5017-4FFF-A76B-151A69477828}"/>
            </c:ext>
          </c:extLst>
        </c:ser>
        <c:ser>
          <c:idx val="2"/>
          <c:order val="2"/>
          <c:tx>
            <c:strRef>
              <c:f>'Cement Cost Model-Indonesia'!$A$94</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Model-Indonesia'!$B$94:$C$94</c:f>
              <c:numCache>
                <c:formatCode>_(* #,##0.0_);_(* \(#,##0.0\);_(* "-"??_);_(@_)</c:formatCode>
                <c:ptCount val="2"/>
                <c:pt idx="0">
                  <c:v>0.19927699442545893</c:v>
                </c:pt>
                <c:pt idx="1">
                  <c:v>0.75783157894736852</c:v>
                </c:pt>
              </c:numCache>
            </c:numRef>
          </c:val>
          <c:extLst>
            <c:ext xmlns:c16="http://schemas.microsoft.com/office/drawing/2014/chart" uri="{C3380CC4-5D6E-409C-BE32-E72D297353CC}">
              <c16:uniqueId val="{00000002-5017-4FFF-A76B-151A69477828}"/>
            </c:ext>
          </c:extLst>
        </c:ser>
        <c:ser>
          <c:idx val="8"/>
          <c:order val="3"/>
          <c:tx>
            <c:strRef>
              <c:f>'Cement Cost Model-Indonesia'!$A$96</c:f>
              <c:strCache>
                <c:ptCount val="1"/>
                <c:pt idx="0">
                  <c:v>Industrial and solid wastes </c:v>
                </c:pt>
              </c:strCache>
            </c:strRef>
          </c:tx>
          <c:spPr>
            <a:solidFill>
              <a:schemeClr val="accent2"/>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Model-Indonesia'!$B$96:$C$96</c:f>
              <c:numCache>
                <c:formatCode>_(* #,##0.0_);_(* \(#,##0.0\);_(* "-"??_);_(@_)</c:formatCode>
                <c:ptCount val="2"/>
                <c:pt idx="0">
                  <c:v>9.948095472200387E-2</c:v>
                </c:pt>
                <c:pt idx="1">
                  <c:v>0.42737615438596493</c:v>
                </c:pt>
              </c:numCache>
            </c:numRef>
          </c:val>
          <c:extLst>
            <c:ext xmlns:c16="http://schemas.microsoft.com/office/drawing/2014/chart" uri="{C3380CC4-5D6E-409C-BE32-E72D297353CC}">
              <c16:uniqueId val="{00000003-5017-4FFF-A76B-151A69477828}"/>
            </c:ext>
          </c:extLst>
        </c:ser>
        <c:ser>
          <c:idx val="10"/>
          <c:order val="4"/>
          <c:tx>
            <c:strRef>
              <c:f>'Cement Cost Model-Indonesia'!$A$97</c:f>
              <c:strCache>
                <c:ptCount val="1"/>
                <c:pt idx="0">
                  <c:v>Biomass </c:v>
                </c:pt>
              </c:strCache>
            </c:strRef>
          </c:tx>
          <c:spPr>
            <a:solidFill>
              <a:schemeClr val="accent5">
                <a:lumMod val="6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Model-Indonesia'!$B$97:$C$97</c:f>
              <c:numCache>
                <c:formatCode>_(* #,##0.0_);_(* \(#,##0.0\);_(* "-"??_);_(@_)</c:formatCode>
                <c:ptCount val="2"/>
                <c:pt idx="0">
                  <c:v>2.5548332618648584E-2</c:v>
                </c:pt>
                <c:pt idx="1">
                  <c:v>7.4736842105263171E-2</c:v>
                </c:pt>
              </c:numCache>
            </c:numRef>
          </c:val>
          <c:extLst>
            <c:ext xmlns:c16="http://schemas.microsoft.com/office/drawing/2014/chart" uri="{C3380CC4-5D6E-409C-BE32-E72D297353CC}">
              <c16:uniqueId val="{00000004-5017-4FFF-A76B-151A69477828}"/>
            </c:ext>
          </c:extLst>
        </c:ser>
        <c:ser>
          <c:idx val="11"/>
          <c:order val="5"/>
          <c:tx>
            <c:strRef>
              <c:f>'Cement Cost Model-Indonesia'!$A$98</c:f>
              <c:strCache>
                <c:ptCount val="1"/>
                <c:pt idx="0">
                  <c:v>H2 Injection</c:v>
                </c:pt>
              </c:strCache>
            </c:strRef>
          </c:tx>
          <c:spPr>
            <a:solidFill>
              <a:schemeClr val="accent6">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Model-Indonesia'!$B$98:$C$98</c:f>
              <c:numCache>
                <c:formatCode>_(* #,##0.0_);_(* \(#,##0.0\);_(* "-"??_);_(@_)</c:formatCode>
                <c:ptCount val="2"/>
                <c:pt idx="0">
                  <c:v>8.7574175357506435E-3</c:v>
                </c:pt>
                <c:pt idx="1">
                  <c:v>7.3220751937933551E-2</c:v>
                </c:pt>
              </c:numCache>
            </c:numRef>
          </c:val>
          <c:extLst>
            <c:ext xmlns:c16="http://schemas.microsoft.com/office/drawing/2014/chart" uri="{C3380CC4-5D6E-409C-BE32-E72D297353CC}">
              <c16:uniqueId val="{00000005-5017-4FFF-A76B-151A69477828}"/>
            </c:ext>
          </c:extLst>
        </c:ser>
        <c:ser>
          <c:idx val="3"/>
          <c:order val="6"/>
          <c:tx>
            <c:strRef>
              <c:f>'Cement Cost Model-Indonesia'!$A$101</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Model-Indonesia'!$B$101:$C$101</c:f>
              <c:numCache>
                <c:formatCode>_(* #,##0.0_);_(* \(#,##0.0\);_(* "-"??_);_(@_)</c:formatCode>
                <c:ptCount val="2"/>
                <c:pt idx="0">
                  <c:v>0.57418127674616881</c:v>
                </c:pt>
                <c:pt idx="1">
                  <c:v>1.4512256669069932</c:v>
                </c:pt>
              </c:numCache>
            </c:numRef>
          </c:val>
          <c:extLst>
            <c:ext xmlns:c16="http://schemas.microsoft.com/office/drawing/2014/chart" uri="{C3380CC4-5D6E-409C-BE32-E72D297353CC}">
              <c16:uniqueId val="{00000006-5017-4FFF-A76B-151A69477828}"/>
            </c:ext>
          </c:extLst>
        </c:ser>
        <c:ser>
          <c:idx val="0"/>
          <c:order val="7"/>
          <c:tx>
            <c:strRef>
              <c:f>'Cement Cost Model-Indonesia'!$A$103</c:f>
              <c:strCache>
                <c:ptCount val="1"/>
                <c:pt idx="0">
                  <c:v>RE Supply CAPEX (renewables)</c:v>
                </c:pt>
              </c:strCache>
            </c:strRef>
          </c:tx>
          <c:spPr>
            <a:solidFill>
              <a:schemeClr val="accent6">
                <a:lumMod val="20000"/>
                <a:lumOff val="8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Model-Indonesia'!$B$103:$C$103</c:f>
              <c:numCache>
                <c:formatCode>_(* #,##0.0_);_(* \(#,##0.0\);_(* "-"??_);_(@_)</c:formatCode>
                <c:ptCount val="2"/>
                <c:pt idx="0">
                  <c:v>2.0883840771270656</c:v>
                </c:pt>
                <c:pt idx="1">
                  <c:v>7.6431728841928246</c:v>
                </c:pt>
              </c:numCache>
            </c:numRef>
          </c:val>
          <c:extLst>
            <c:ext xmlns:c16="http://schemas.microsoft.com/office/drawing/2014/chart" uri="{C3380CC4-5D6E-409C-BE32-E72D297353CC}">
              <c16:uniqueId val="{00000000-0D95-4C63-A479-91231B8207A7}"/>
            </c:ext>
          </c:extLst>
        </c:ser>
        <c:ser>
          <c:idx val="9"/>
          <c:order val="8"/>
          <c:tx>
            <c:strRef>
              <c:f>'Cement Cost Model-Indonesia'!$A$104</c:f>
              <c:strCache>
                <c:ptCount val="1"/>
                <c:pt idx="0">
                  <c:v>CCS</c:v>
                </c:pt>
              </c:strCache>
            </c:strRef>
          </c:tx>
          <c:spPr>
            <a:solidFill>
              <a:schemeClr val="bg2">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Model-Indonesia'!$B$104:$C$104</c:f>
              <c:numCache>
                <c:formatCode>_(* #,##0.0_);_(* \(#,##0.0\);_(* "-"??_);_(@_)</c:formatCode>
                <c:ptCount val="2"/>
                <c:pt idx="0">
                  <c:v>0.70257914701283608</c:v>
                </c:pt>
                <c:pt idx="1">
                  <c:v>19.870257914701281</c:v>
                </c:pt>
              </c:numCache>
            </c:numRef>
          </c:val>
          <c:extLst>
            <c:ext xmlns:c16="http://schemas.microsoft.com/office/drawing/2014/chart" uri="{C3380CC4-5D6E-409C-BE32-E72D297353CC}">
              <c16:uniqueId val="{00000007-5017-4FFF-A76B-151A69477828}"/>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480131465"/>
          <c:y val="0.26425042196680953"/>
          <c:w val="0.31771426136539249"/>
          <c:h val="0.7357495312796598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Indonesia's Cement Industry Energy Transition</a:t>
            </a:r>
          </a:p>
          <a:p>
            <a:pPr>
              <a:defRPr/>
            </a:pPr>
            <a:r>
              <a:rPr lang="en-US" b="1" i="1"/>
              <a:t>Near Zero 2060 Scenario; CCS or RE/Electrolyzer Investment NOT Included</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56268345336391"/>
          <c:y val="0.17389093585681473"/>
          <c:w val="0.45999122797708247"/>
          <c:h val="0.76502519110125933"/>
        </c:manualLayout>
      </c:layout>
      <c:barChart>
        <c:barDir val="col"/>
        <c:grouping val="stacked"/>
        <c:varyColors val="0"/>
        <c:ser>
          <c:idx val="4"/>
          <c:order val="0"/>
          <c:tx>
            <c:strRef>
              <c:f>'Cement Cost Model-Indonesia'!$A$91</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Model-Indonesia'!$B$91:$C$91</c:f>
              <c:numCache>
                <c:formatCode>_(* #,##0.0_);_(* \(#,##0.0\);_(* "-"??_);_(@_)</c:formatCode>
                <c:ptCount val="2"/>
                <c:pt idx="0">
                  <c:v>0.70617411011322584</c:v>
                </c:pt>
                <c:pt idx="1">
                  <c:v>2.5666768709308445</c:v>
                </c:pt>
              </c:numCache>
            </c:numRef>
          </c:val>
          <c:extLst>
            <c:ext xmlns:c16="http://schemas.microsoft.com/office/drawing/2014/chart" uri="{C3380CC4-5D6E-409C-BE32-E72D297353CC}">
              <c16:uniqueId val="{00000000-0A35-4AE7-B25E-932E4B2BF595}"/>
            </c:ext>
          </c:extLst>
        </c:ser>
        <c:ser>
          <c:idx val="5"/>
          <c:order val="1"/>
          <c:tx>
            <c:strRef>
              <c:f>'Cement Cost Model-Indonesia'!$A$93</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Model-Indonesia'!$B$93:$C$93</c:f>
              <c:numCache>
                <c:formatCode>_(* #,##0.0_);_(* \(#,##0.0\);_(* "-"??_);_(@_)</c:formatCode>
                <c:ptCount val="2"/>
                <c:pt idx="0">
                  <c:v>0.19927699442545893</c:v>
                </c:pt>
                <c:pt idx="1">
                  <c:v>0.75783157894736852</c:v>
                </c:pt>
              </c:numCache>
            </c:numRef>
          </c:val>
          <c:extLst>
            <c:ext xmlns:c16="http://schemas.microsoft.com/office/drawing/2014/chart" uri="{C3380CC4-5D6E-409C-BE32-E72D297353CC}">
              <c16:uniqueId val="{00000001-0A35-4AE7-B25E-932E4B2BF595}"/>
            </c:ext>
          </c:extLst>
        </c:ser>
        <c:ser>
          <c:idx val="2"/>
          <c:order val="2"/>
          <c:tx>
            <c:strRef>
              <c:f>'Cement Cost Model-Indonesia'!$A$94</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Model-Indonesia'!$B$94:$C$94</c:f>
              <c:numCache>
                <c:formatCode>_(* #,##0.0_);_(* \(#,##0.0\);_(* "-"??_);_(@_)</c:formatCode>
                <c:ptCount val="2"/>
                <c:pt idx="0">
                  <c:v>0.19927699442545893</c:v>
                </c:pt>
                <c:pt idx="1">
                  <c:v>0.75783157894736852</c:v>
                </c:pt>
              </c:numCache>
            </c:numRef>
          </c:val>
          <c:extLst>
            <c:ext xmlns:c16="http://schemas.microsoft.com/office/drawing/2014/chart" uri="{C3380CC4-5D6E-409C-BE32-E72D297353CC}">
              <c16:uniqueId val="{00000002-0A35-4AE7-B25E-932E4B2BF595}"/>
            </c:ext>
          </c:extLst>
        </c:ser>
        <c:ser>
          <c:idx val="8"/>
          <c:order val="3"/>
          <c:tx>
            <c:strRef>
              <c:f>'Cement Cost Model-Indonesia'!$A$96</c:f>
              <c:strCache>
                <c:ptCount val="1"/>
                <c:pt idx="0">
                  <c:v>Industrial and solid wastes </c:v>
                </c:pt>
              </c:strCache>
            </c:strRef>
          </c:tx>
          <c:spPr>
            <a:solidFill>
              <a:schemeClr val="accent2"/>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Model-Indonesia'!$B$96:$C$96</c:f>
              <c:numCache>
                <c:formatCode>_(* #,##0.0_);_(* \(#,##0.0\);_(* "-"??_);_(@_)</c:formatCode>
                <c:ptCount val="2"/>
                <c:pt idx="0">
                  <c:v>9.948095472200387E-2</c:v>
                </c:pt>
                <c:pt idx="1">
                  <c:v>0.42737615438596493</c:v>
                </c:pt>
              </c:numCache>
            </c:numRef>
          </c:val>
          <c:extLst>
            <c:ext xmlns:c16="http://schemas.microsoft.com/office/drawing/2014/chart" uri="{C3380CC4-5D6E-409C-BE32-E72D297353CC}">
              <c16:uniqueId val="{00000003-0A35-4AE7-B25E-932E4B2BF595}"/>
            </c:ext>
          </c:extLst>
        </c:ser>
        <c:ser>
          <c:idx val="10"/>
          <c:order val="4"/>
          <c:tx>
            <c:strRef>
              <c:f>'Cement Cost Model-Indonesia'!$A$97</c:f>
              <c:strCache>
                <c:ptCount val="1"/>
                <c:pt idx="0">
                  <c:v>Biomass </c:v>
                </c:pt>
              </c:strCache>
            </c:strRef>
          </c:tx>
          <c:spPr>
            <a:solidFill>
              <a:schemeClr val="accent5">
                <a:lumMod val="6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Model-Indonesia'!$B$97:$C$97</c:f>
              <c:numCache>
                <c:formatCode>_(* #,##0.0_);_(* \(#,##0.0\);_(* "-"??_);_(@_)</c:formatCode>
                <c:ptCount val="2"/>
                <c:pt idx="0">
                  <c:v>2.5548332618648584E-2</c:v>
                </c:pt>
                <c:pt idx="1">
                  <c:v>7.4736842105263171E-2</c:v>
                </c:pt>
              </c:numCache>
            </c:numRef>
          </c:val>
          <c:extLst>
            <c:ext xmlns:c16="http://schemas.microsoft.com/office/drawing/2014/chart" uri="{C3380CC4-5D6E-409C-BE32-E72D297353CC}">
              <c16:uniqueId val="{00000004-0A35-4AE7-B25E-932E4B2BF595}"/>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480131465"/>
          <c:y val="0.26425042196680953"/>
          <c:w val="0.31771426136539249"/>
          <c:h val="0.7357495312796598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Industrial Energy Use by Subindustry by Energy Type:</a:t>
            </a:r>
          </a:p>
          <a:p>
            <a:pPr>
              <a:defRPr sz="1600"/>
            </a:pPr>
            <a:r>
              <a:rPr lang="en-US" sz="1600" b="1"/>
              <a:t>Tier 4b: After All Policy Interventions</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11"/>
          <c:order val="0"/>
          <c:tx>
            <c:strRef>
              <c:f>Graphs!$B$309</c:f>
              <c:strCache>
                <c:ptCount val="1"/>
                <c:pt idx="0">
                  <c:v>Fossil Feedstocks</c:v>
                </c:pt>
              </c:strCache>
            </c:strRef>
          </c:tx>
          <c:spPr>
            <a:solidFill>
              <a:srgbClr val="095F8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Graphs!$B$310:$B$324</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321-4169-8481-FC14D77CBDCD}"/>
            </c:ext>
          </c:extLst>
        </c:ser>
        <c:ser>
          <c:idx val="0"/>
          <c:order val="1"/>
          <c:tx>
            <c:strRef>
              <c:f>Graphs!$C$309</c:f>
              <c:strCache>
                <c:ptCount val="1"/>
                <c:pt idx="0">
                  <c:v>Coal</c:v>
                </c:pt>
              </c:strCache>
            </c:strRef>
          </c:tx>
          <c:spPr>
            <a:solidFill>
              <a:schemeClr val="tx1"/>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Graphs!$C$310:$C$324</c:f>
              <c:numCache>
                <c:formatCode>0.00</c:formatCode>
                <c:ptCount val="15"/>
                <c:pt idx="0">
                  <c:v>0</c:v>
                </c:pt>
                <c:pt idx="1">
                  <c:v>0</c:v>
                </c:pt>
                <c:pt idx="2">
                  <c:v>0</c:v>
                </c:pt>
                <c:pt idx="3">
                  <c:v>0</c:v>
                </c:pt>
                <c:pt idx="4">
                  <c:v>0</c:v>
                </c:pt>
                <c:pt idx="5">
                  <c:v>0</c:v>
                </c:pt>
                <c:pt idx="6">
                  <c:v>-4.639780809133623E-17</c:v>
                </c:pt>
                <c:pt idx="7">
                  <c:v>0</c:v>
                </c:pt>
                <c:pt idx="8">
                  <c:v>3.6407464032828891E-19</c:v>
                </c:pt>
                <c:pt idx="9">
                  <c:v>0</c:v>
                </c:pt>
                <c:pt idx="10">
                  <c:v>0</c:v>
                </c:pt>
                <c:pt idx="11">
                  <c:v>0</c:v>
                </c:pt>
                <c:pt idx="12">
                  <c:v>0</c:v>
                </c:pt>
                <c:pt idx="13">
                  <c:v>0</c:v>
                </c:pt>
                <c:pt idx="14">
                  <c:v>1.4147046176184132E-19</c:v>
                </c:pt>
              </c:numCache>
            </c:numRef>
          </c:val>
          <c:extLst>
            <c:ext xmlns:c16="http://schemas.microsoft.com/office/drawing/2014/chart" uri="{C3380CC4-5D6E-409C-BE32-E72D297353CC}">
              <c16:uniqueId val="{00000000-4690-4F40-B0AE-FDB10AB02EE0}"/>
            </c:ext>
          </c:extLst>
        </c:ser>
        <c:ser>
          <c:idx val="1"/>
          <c:order val="2"/>
          <c:tx>
            <c:strRef>
              <c:f>Graphs!$D$309</c:f>
              <c:strCache>
                <c:ptCount val="1"/>
                <c:pt idx="0">
                  <c:v>Coke</c:v>
                </c:pt>
              </c:strCache>
            </c:strRef>
          </c:tx>
          <c:spPr>
            <a:solidFill>
              <a:srgbClr val="76270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Graphs!$D$310:$D$324</c:f>
              <c:numCache>
                <c:formatCode>0.00</c:formatCode>
                <c:ptCount val="15"/>
                <c:pt idx="0">
                  <c:v>0</c:v>
                </c:pt>
                <c:pt idx="1">
                  <c:v>0</c:v>
                </c:pt>
                <c:pt idx="2">
                  <c:v>0</c:v>
                </c:pt>
                <c:pt idx="3">
                  <c:v>0</c:v>
                </c:pt>
                <c:pt idx="4">
                  <c:v>0</c:v>
                </c:pt>
                <c:pt idx="5">
                  <c:v>0</c:v>
                </c:pt>
                <c:pt idx="6">
                  <c:v>-7.9891805038149295E-19</c:v>
                </c:pt>
                <c:pt idx="7">
                  <c:v>0</c:v>
                </c:pt>
                <c:pt idx="8">
                  <c:v>3.2180850392236112E-18</c:v>
                </c:pt>
                <c:pt idx="9">
                  <c:v>0</c:v>
                </c:pt>
                <c:pt idx="10">
                  <c:v>0</c:v>
                </c:pt>
                <c:pt idx="11">
                  <c:v>0</c:v>
                </c:pt>
                <c:pt idx="12">
                  <c:v>0</c:v>
                </c:pt>
                <c:pt idx="13">
                  <c:v>0</c:v>
                </c:pt>
                <c:pt idx="14">
                  <c:v>1.2169502087040109E-21</c:v>
                </c:pt>
              </c:numCache>
            </c:numRef>
          </c:val>
          <c:extLst>
            <c:ext xmlns:c16="http://schemas.microsoft.com/office/drawing/2014/chart" uri="{C3380CC4-5D6E-409C-BE32-E72D297353CC}">
              <c16:uniqueId val="{00000001-4690-4F40-B0AE-FDB10AB02EE0}"/>
            </c:ext>
          </c:extLst>
        </c:ser>
        <c:ser>
          <c:idx val="2"/>
          <c:order val="3"/>
          <c:tx>
            <c:strRef>
              <c:f>Graphs!$E$309</c:f>
              <c:strCache>
                <c:ptCount val="1"/>
                <c:pt idx="0">
                  <c:v>Coal/Coke Byproducts</c:v>
                </c:pt>
              </c:strCache>
            </c:strRef>
          </c:tx>
          <c:spPr>
            <a:solidFill>
              <a:srgbClr val="B45A0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Graphs!$E$310:$E$324</c:f>
              <c:numCache>
                <c:formatCode>0.00</c:formatCode>
                <c:ptCount val="15"/>
                <c:pt idx="0">
                  <c:v>0</c:v>
                </c:pt>
                <c:pt idx="1">
                  <c:v>0</c:v>
                </c:pt>
                <c:pt idx="2">
                  <c:v>0</c:v>
                </c:pt>
                <c:pt idx="3">
                  <c:v>0</c:v>
                </c:pt>
                <c:pt idx="4">
                  <c:v>0</c:v>
                </c:pt>
                <c:pt idx="5">
                  <c:v>0</c:v>
                </c:pt>
                <c:pt idx="6">
                  <c:v>-3.6092009933007726E-20</c:v>
                </c:pt>
                <c:pt idx="7">
                  <c:v>0</c:v>
                </c:pt>
                <c:pt idx="8">
                  <c:v>2.0784337704565155E-19</c:v>
                </c:pt>
                <c:pt idx="9">
                  <c:v>0</c:v>
                </c:pt>
                <c:pt idx="10">
                  <c:v>0</c:v>
                </c:pt>
                <c:pt idx="11">
                  <c:v>0</c:v>
                </c:pt>
                <c:pt idx="12">
                  <c:v>0</c:v>
                </c:pt>
                <c:pt idx="13">
                  <c:v>0</c:v>
                </c:pt>
                <c:pt idx="14">
                  <c:v>2.3426291517552213E-20</c:v>
                </c:pt>
              </c:numCache>
            </c:numRef>
          </c:val>
          <c:extLst>
            <c:ext xmlns:c16="http://schemas.microsoft.com/office/drawing/2014/chart" uri="{C3380CC4-5D6E-409C-BE32-E72D297353CC}">
              <c16:uniqueId val="{00000002-4690-4F40-B0AE-FDB10AB02EE0}"/>
            </c:ext>
          </c:extLst>
        </c:ser>
        <c:ser>
          <c:idx val="3"/>
          <c:order val="4"/>
          <c:tx>
            <c:strRef>
              <c:f>Graphs!$F$309</c:f>
              <c:strCache>
                <c:ptCount val="1"/>
                <c:pt idx="0">
                  <c:v>Petroleum</c:v>
                </c:pt>
              </c:strCache>
            </c:strRef>
          </c:tx>
          <c:spPr>
            <a:solidFill>
              <a:srgbClr val="7030A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Graphs!$F$310:$F$324</c:f>
              <c:numCache>
                <c:formatCode>0.00</c:formatCode>
                <c:ptCount val="15"/>
                <c:pt idx="0">
                  <c:v>0</c:v>
                </c:pt>
                <c:pt idx="1">
                  <c:v>0</c:v>
                </c:pt>
                <c:pt idx="2">
                  <c:v>0</c:v>
                </c:pt>
                <c:pt idx="3">
                  <c:v>0</c:v>
                </c:pt>
                <c:pt idx="4">
                  <c:v>0</c:v>
                </c:pt>
                <c:pt idx="5">
                  <c:v>0</c:v>
                </c:pt>
                <c:pt idx="6">
                  <c:v>-4.4613394651089051E-18</c:v>
                </c:pt>
                <c:pt idx="7">
                  <c:v>0</c:v>
                </c:pt>
                <c:pt idx="8">
                  <c:v>2.6048424577894202E-18</c:v>
                </c:pt>
                <c:pt idx="9">
                  <c:v>0</c:v>
                </c:pt>
                <c:pt idx="10">
                  <c:v>0</c:v>
                </c:pt>
                <c:pt idx="11">
                  <c:v>0</c:v>
                </c:pt>
                <c:pt idx="12">
                  <c:v>0</c:v>
                </c:pt>
                <c:pt idx="13">
                  <c:v>0</c:v>
                </c:pt>
                <c:pt idx="14">
                  <c:v>8.7255329964077593E-19</c:v>
                </c:pt>
              </c:numCache>
            </c:numRef>
          </c:val>
          <c:extLst>
            <c:ext xmlns:c16="http://schemas.microsoft.com/office/drawing/2014/chart" uri="{C3380CC4-5D6E-409C-BE32-E72D297353CC}">
              <c16:uniqueId val="{00000003-4690-4F40-B0AE-FDB10AB02EE0}"/>
            </c:ext>
          </c:extLst>
        </c:ser>
        <c:ser>
          <c:idx val="4"/>
          <c:order val="5"/>
          <c:tx>
            <c:strRef>
              <c:f>Graphs!$G$309</c:f>
              <c:strCache>
                <c:ptCount val="1"/>
                <c:pt idx="0">
                  <c:v>Natural Gas</c:v>
                </c:pt>
              </c:strCache>
            </c:strRef>
          </c:tx>
          <c:spPr>
            <a:solidFill>
              <a:srgbClr val="FF3399"/>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Graphs!$G$310:$G$324</c:f>
              <c:numCache>
                <c:formatCode>0.00</c:formatCode>
                <c:ptCount val="15"/>
                <c:pt idx="0">
                  <c:v>0</c:v>
                </c:pt>
                <c:pt idx="1">
                  <c:v>0</c:v>
                </c:pt>
                <c:pt idx="2">
                  <c:v>0</c:v>
                </c:pt>
                <c:pt idx="3">
                  <c:v>0</c:v>
                </c:pt>
                <c:pt idx="4">
                  <c:v>0</c:v>
                </c:pt>
                <c:pt idx="5">
                  <c:v>0</c:v>
                </c:pt>
                <c:pt idx="6">
                  <c:v>-7.3357927782311096E-17</c:v>
                </c:pt>
                <c:pt idx="7">
                  <c:v>0</c:v>
                </c:pt>
                <c:pt idx="8">
                  <c:v>1.5085035169234477E-17</c:v>
                </c:pt>
                <c:pt idx="9">
                  <c:v>0</c:v>
                </c:pt>
                <c:pt idx="10">
                  <c:v>0</c:v>
                </c:pt>
                <c:pt idx="11">
                  <c:v>0</c:v>
                </c:pt>
                <c:pt idx="12">
                  <c:v>0</c:v>
                </c:pt>
                <c:pt idx="13">
                  <c:v>0</c:v>
                </c:pt>
                <c:pt idx="14">
                  <c:v>5.1507417583397265E-18</c:v>
                </c:pt>
              </c:numCache>
            </c:numRef>
          </c:val>
          <c:extLst>
            <c:ext xmlns:c16="http://schemas.microsoft.com/office/drawing/2014/chart" uri="{C3380CC4-5D6E-409C-BE32-E72D297353CC}">
              <c16:uniqueId val="{00000004-4690-4F40-B0AE-FDB10AB02EE0}"/>
            </c:ext>
          </c:extLst>
        </c:ser>
        <c:ser>
          <c:idx val="8"/>
          <c:order val="6"/>
          <c:tx>
            <c:strRef>
              <c:f>Graphs!$H$309</c:f>
              <c:strCache>
                <c:ptCount val="1"/>
                <c:pt idx="0">
                  <c:v>Bioenergy and Waste</c:v>
                </c:pt>
              </c:strCache>
            </c:strRef>
          </c:tx>
          <c:spPr>
            <a:solidFill>
              <a:schemeClr val="accent6">
                <a:lumMod val="75000"/>
              </a:schemeClr>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Graphs!$H$310:$H$324</c:f>
              <c:numCache>
                <c:formatCode>0.00</c:formatCode>
                <c:ptCount val="15"/>
                <c:pt idx="0">
                  <c:v>1.5487537330641077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95FD-4777-B94B-BD4F31765157}"/>
            </c:ext>
          </c:extLst>
        </c:ser>
        <c:ser>
          <c:idx val="5"/>
          <c:order val="7"/>
          <c:tx>
            <c:strRef>
              <c:f>Graphs!$I$309</c:f>
              <c:strCache>
                <c:ptCount val="1"/>
                <c:pt idx="0">
                  <c:v>Purchased Heat</c:v>
                </c:pt>
              </c:strCache>
            </c:strRef>
          </c:tx>
          <c:spPr>
            <a:solidFill>
              <a:srgbClr val="C0000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Graphs!$I$310:$I$324</c:f>
              <c:numCache>
                <c:formatCode>0.00</c:formatCode>
                <c:ptCount val="15"/>
                <c:pt idx="0">
                  <c:v>2.835408423797662</c:v>
                </c:pt>
                <c:pt idx="1">
                  <c:v>0.85924830396094787</c:v>
                </c:pt>
                <c:pt idx="2">
                  <c:v>7.6035610658362771E-2</c:v>
                </c:pt>
                <c:pt idx="3">
                  <c:v>2.2701564232714428E-2</c:v>
                </c:pt>
                <c:pt idx="4">
                  <c:v>0.20879646211899178</c:v>
                </c:pt>
                <c:pt idx="5">
                  <c:v>8.5056525473612671E-2</c:v>
                </c:pt>
                <c:pt idx="6">
                  <c:v>0.37267749120750293</c:v>
                </c:pt>
                <c:pt idx="7">
                  <c:v>0.24761576787807738</c:v>
                </c:pt>
                <c:pt idx="8">
                  <c:v>2.0778277839144554E-2</c:v>
                </c:pt>
                <c:pt idx="9">
                  <c:v>0.28967050849941384</c:v>
                </c:pt>
                <c:pt idx="10">
                  <c:v>1.7175121514567199E-2</c:v>
                </c:pt>
                <c:pt idx="11">
                  <c:v>1.6242550112111658E-2</c:v>
                </c:pt>
                <c:pt idx="12">
                  <c:v>3.8197616127438115E-3</c:v>
                </c:pt>
                <c:pt idx="13">
                  <c:v>7.7744138335287217E-3</c:v>
                </c:pt>
                <c:pt idx="14">
                  <c:v>2.7540298944900353E-3</c:v>
                </c:pt>
              </c:numCache>
            </c:numRef>
          </c:val>
          <c:extLst>
            <c:ext xmlns:c16="http://schemas.microsoft.com/office/drawing/2014/chart" uri="{C3380CC4-5D6E-409C-BE32-E72D297353CC}">
              <c16:uniqueId val="{00000005-4690-4F40-B0AE-FDB10AB02EE0}"/>
            </c:ext>
          </c:extLst>
        </c:ser>
        <c:ser>
          <c:idx val="6"/>
          <c:order val="8"/>
          <c:tx>
            <c:strRef>
              <c:f>Graphs!$J$309</c:f>
              <c:strCache>
                <c:ptCount val="1"/>
                <c:pt idx="0">
                  <c:v>Direct Use of Electricity</c:v>
                </c:pt>
              </c:strCache>
            </c:strRef>
          </c:tx>
          <c:spPr>
            <a:solidFill>
              <a:srgbClr val="FFC00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Graphs!$J$310:$J$324</c:f>
              <c:numCache>
                <c:formatCode>0.00</c:formatCode>
                <c:ptCount val="15"/>
                <c:pt idx="0">
                  <c:v>5.8461331817145785</c:v>
                </c:pt>
                <c:pt idx="1">
                  <c:v>1.3520816029901943</c:v>
                </c:pt>
                <c:pt idx="2">
                  <c:v>2.4584830430130249</c:v>
                </c:pt>
                <c:pt idx="3">
                  <c:v>1.0529434650933784</c:v>
                </c:pt>
                <c:pt idx="4">
                  <c:v>2.1345905944911374</c:v>
                </c:pt>
                <c:pt idx="5">
                  <c:v>1.2617711253586728</c:v>
                </c:pt>
                <c:pt idx="6">
                  <c:v>0.69343627409993491</c:v>
                </c:pt>
                <c:pt idx="7">
                  <c:v>0.63703273384251569</c:v>
                </c:pt>
                <c:pt idx="8">
                  <c:v>0.69690755250121672</c:v>
                </c:pt>
                <c:pt idx="9">
                  <c:v>0.36854841253898041</c:v>
                </c:pt>
                <c:pt idx="10">
                  <c:v>0.41918301392174045</c:v>
                </c:pt>
                <c:pt idx="11">
                  <c:v>0.38479358534095076</c:v>
                </c:pt>
                <c:pt idx="12">
                  <c:v>0.39169056655136347</c:v>
                </c:pt>
                <c:pt idx="13">
                  <c:v>0.15495325231861262</c:v>
                </c:pt>
                <c:pt idx="14">
                  <c:v>0.31785726774702661</c:v>
                </c:pt>
              </c:numCache>
            </c:numRef>
          </c:val>
          <c:extLst>
            <c:ext xmlns:c16="http://schemas.microsoft.com/office/drawing/2014/chart" uri="{C3380CC4-5D6E-409C-BE32-E72D297353CC}">
              <c16:uniqueId val="{00000006-4690-4F40-B0AE-FDB10AB02EE0}"/>
            </c:ext>
          </c:extLst>
        </c:ser>
        <c:ser>
          <c:idx val="7"/>
          <c:order val="9"/>
          <c:tx>
            <c:strRef>
              <c:f>Graphs!$K$309</c:f>
              <c:strCache>
                <c:ptCount val="1"/>
                <c:pt idx="0">
                  <c:v>Electricity for Green H2</c:v>
                </c:pt>
              </c:strCache>
            </c:strRef>
          </c:tx>
          <c:spPr>
            <a:solidFill>
              <a:srgbClr val="92D05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Graphs!$K$310:$K$324</c:f>
              <c:numCache>
                <c:formatCode>0.00</c:formatCode>
                <c:ptCount val="15"/>
                <c:pt idx="0">
                  <c:v>4.5482239868898304</c:v>
                </c:pt>
                <c:pt idx="1">
                  <c:v>6.2200697989924798</c:v>
                </c:pt>
                <c:pt idx="2">
                  <c:v>1.0777869345814712</c:v>
                </c:pt>
                <c:pt idx="3">
                  <c:v>0.72477140658182737</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4690-4F40-B0AE-FDB10AB02EE0}"/>
            </c:ext>
          </c:extLst>
        </c:ser>
        <c:ser>
          <c:idx val="10"/>
          <c:order val="10"/>
          <c:tx>
            <c:strRef>
              <c:f>Graphs!$L$309</c:f>
              <c:strCache>
                <c:ptCount val="1"/>
                <c:pt idx="0">
                  <c:v>Blue Hydrogen</c:v>
                </c:pt>
              </c:strCache>
            </c:strRef>
          </c:tx>
          <c:spPr>
            <a:solidFill>
              <a:srgbClr val="00B0F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Graphs!$L$310:$L$324</c:f>
              <c:numCache>
                <c:formatCode>0.00</c:formatCode>
                <c:ptCount val="15"/>
                <c:pt idx="0">
                  <c:v>1.5487537330641077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351-4D5F-A171-8ED22FE78201}"/>
            </c:ext>
          </c:extLst>
        </c:ser>
        <c:ser>
          <c:idx val="9"/>
          <c:order val="11"/>
          <c:tx>
            <c:strRef>
              <c:f>Graphs!$M$309</c:f>
              <c:strCache>
                <c:ptCount val="1"/>
                <c:pt idx="0">
                  <c:v>Fossil Fuels w/ Carbon Capture</c:v>
                </c:pt>
              </c:strCache>
            </c:strRef>
          </c:tx>
          <c:spPr>
            <a:solidFill>
              <a:srgbClr val="FF6600"/>
            </a:solidFill>
            <a:ln>
              <a:noFill/>
            </a:ln>
            <a:effectLst/>
          </c:spPr>
          <c:invertIfNegative val="0"/>
          <c:cat>
            <c:strRef>
              <c:f>Graphs!$A$310:$A$324</c:f>
              <c:strCache>
                <c:ptCount val="15"/>
                <c:pt idx="0">
                  <c:v>Chemicals</c:v>
                </c:pt>
                <c:pt idx="1">
                  <c:v>Refining &amp; fuel processing</c:v>
                </c:pt>
                <c:pt idx="2">
                  <c:v>Iron &amp; steel</c:v>
                </c:pt>
                <c:pt idx="3">
                  <c:v>Non-metallic minerals</c:v>
                </c:pt>
                <c:pt idx="4">
                  <c:v>Nonferrous metals</c:v>
                </c:pt>
                <c:pt idx="5">
                  <c:v>Plastic &amp; rubber products</c:v>
                </c:pt>
                <c:pt idx="6">
                  <c:v>Food, beverage, &amp; tobacco</c:v>
                </c:pt>
                <c:pt idx="7">
                  <c:v>Textiles, leather, &amp; apparel</c:v>
                </c:pt>
                <c:pt idx="8">
                  <c:v>Machinery</c:v>
                </c:pt>
                <c:pt idx="9">
                  <c:v>Pulp, paper, &amp; printing</c:v>
                </c:pt>
                <c:pt idx="10">
                  <c:v>Electronics</c:v>
                </c:pt>
                <c:pt idx="11">
                  <c:v>Vehicles &amp; transport equipment</c:v>
                </c:pt>
                <c:pt idx="12">
                  <c:v>Other metal products</c:v>
                </c:pt>
                <c:pt idx="13">
                  <c:v>Wood &amp; furniture</c:v>
                </c:pt>
                <c:pt idx="14">
                  <c:v>Other manufacturing</c:v>
                </c:pt>
              </c:strCache>
            </c:strRef>
          </c:cat>
          <c:val>
            <c:numRef>
              <c:f>Graphs!$M$310:$M$324</c:f>
              <c:numCache>
                <c:formatCode>0.00</c:formatCode>
                <c:ptCount val="15"/>
                <c:pt idx="0">
                  <c:v>0</c:v>
                </c:pt>
                <c:pt idx="1">
                  <c:v>0</c:v>
                </c:pt>
                <c:pt idx="2">
                  <c:v>1.8631879688203636</c:v>
                </c:pt>
                <c:pt idx="3">
                  <c:v>2.3397242862447336</c:v>
                </c:pt>
                <c:pt idx="4">
                  <c:v>6.5454622292135833E-2</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35AA-4E17-83D5-B00AE8717B81}"/>
            </c:ext>
          </c:extLst>
        </c:ser>
        <c:dLbls>
          <c:showLegendKey val="0"/>
          <c:showVal val="0"/>
          <c:showCatName val="0"/>
          <c:showSerName val="0"/>
          <c:showPercent val="0"/>
          <c:showBubbleSize val="0"/>
        </c:dLbls>
        <c:gapWidth val="70"/>
        <c:overlap val="100"/>
        <c:axId val="1558695200"/>
        <c:axId val="1558696640"/>
      </c:barChart>
      <c:catAx>
        <c:axId val="1558695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558696640"/>
        <c:crosses val="autoZero"/>
        <c:auto val="1"/>
        <c:lblAlgn val="ctr"/>
        <c:lblOffset val="100"/>
        <c:noMultiLvlLbl val="0"/>
      </c:catAx>
      <c:valAx>
        <c:axId val="1558696640"/>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545775668059247"/>
              <c:y val="8.725747203639963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5586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Marginal Abatement Cost Curve for the Indonesian Cement Industry </a:t>
            </a:r>
          </a:p>
          <a:p>
            <a:pPr>
              <a:defRPr/>
            </a:pPr>
            <a:r>
              <a:rPr lang="en-US"/>
              <a:t>in 2030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1"/>
          <c:order val="1"/>
          <c:tx>
            <c:strRef>
              <c:f>'Cement Cost Model-Indonesia'!$G$189</c:f>
              <c:strCache>
                <c:ptCount val="1"/>
                <c:pt idx="0">
                  <c:v>Clinker Substitution</c:v>
                </c:pt>
              </c:strCache>
            </c:strRef>
          </c:tx>
          <c:spPr>
            <a:solidFill>
              <a:schemeClr val="accent2"/>
            </a:solidFill>
            <a:ln w="25400">
              <a:noFill/>
            </a:ln>
            <a:effectLst/>
          </c:spPr>
          <c:invertIfNegative val="0"/>
          <c:cat>
            <c:numRef>
              <c:f>'Cement Cost Model-Indonesia'!$F$190:$F$286</c:f>
              <c:numCache>
                <c:formatCode>General</c:formatCode>
                <c:ptCount val="9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numCache>
            </c:numRef>
          </c:cat>
          <c:val>
            <c:numRef>
              <c:f>'Cement Cost Model-Indonesia'!$G$190:$G$318</c:f>
              <c:numCache>
                <c:formatCode>_(* #,##0.00_);_(* \(#,##0.00\);_(* "-"??_);_(@_)</c:formatCode>
                <c:ptCount val="1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A374-4478-BF4A-15909CC8C3B8}"/>
            </c:ext>
          </c:extLst>
        </c:ser>
        <c:ser>
          <c:idx val="2"/>
          <c:order val="2"/>
          <c:tx>
            <c:strRef>
              <c:f>'Cement Cost Model-Indonesia'!$H$189</c:f>
              <c:strCache>
                <c:ptCount val="1"/>
                <c:pt idx="0">
                  <c:v>Energy Efficiency</c:v>
                </c:pt>
              </c:strCache>
            </c:strRef>
          </c:tx>
          <c:spPr>
            <a:solidFill>
              <a:schemeClr val="accent6">
                <a:lumMod val="60000"/>
                <a:lumOff val="40000"/>
              </a:schemeClr>
            </a:solidFill>
            <a:ln w="25400">
              <a:noFill/>
            </a:ln>
            <a:effectLst/>
          </c:spPr>
          <c:invertIfNegative val="0"/>
          <c:cat>
            <c:numRef>
              <c:f>'Cement Cost Model-Indonesia'!$F$190:$F$286</c:f>
              <c:numCache>
                <c:formatCode>General</c:formatCode>
                <c:ptCount val="9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numCache>
            </c:numRef>
          </c:cat>
          <c:val>
            <c:numRef>
              <c:f>'Cement Cost Model-Indonesia'!$H$189:$H$318</c:f>
              <c:numCache>
                <c:formatCode>General</c:formatCode>
                <c:ptCount val="130"/>
                <c:pt idx="0">
                  <c:v>0</c:v>
                </c:pt>
                <c:pt idx="41" formatCode="_(* #,##0.00_);_(* \(#,##0.00\);_(* &quot;-&quot;??_);_(@_)">
                  <c:v>0</c:v>
                </c:pt>
                <c:pt idx="42" formatCode="_(* #,##0.00_);_(* \(#,##0.00\);_(* &quot;-&quot;??_);_(@_)">
                  <c:v>0</c:v>
                </c:pt>
                <c:pt idx="43" formatCode="_(* #,##0.00_);_(* \(#,##0.00\);_(* &quot;-&quot;??_);_(@_)">
                  <c:v>0</c:v>
                </c:pt>
                <c:pt idx="44" formatCode="_(* #,##0.00_);_(* \(#,##0.00\);_(* &quot;-&quot;??_);_(@_)">
                  <c:v>0</c:v>
                </c:pt>
                <c:pt idx="45" formatCode="_(* #,##0.00_);_(* \(#,##0.00\);_(* &quot;-&quot;??_);_(@_)">
                  <c:v>0</c:v>
                </c:pt>
                <c:pt idx="46" formatCode="_(* #,##0.00_);_(* \(#,##0.00\);_(* &quot;-&quot;??_);_(@_)">
                  <c:v>0</c:v>
                </c:pt>
                <c:pt idx="47" formatCode="_(* #,##0.00_);_(* \(#,##0.00\);_(* &quot;-&quot;??_);_(@_)">
                  <c:v>0</c:v>
                </c:pt>
                <c:pt idx="48" formatCode="_(* #,##0.00_);_(* \(#,##0.00\);_(* &quot;-&quot;??_);_(@_)">
                  <c:v>0</c:v>
                </c:pt>
                <c:pt idx="49" formatCode="_(* #,##0.00_);_(* \(#,##0.00\);_(* &quot;-&quot;??_);_(@_)">
                  <c:v>0</c:v>
                </c:pt>
                <c:pt idx="50" formatCode="_(* #,##0.00_);_(* \(#,##0.00\);_(* &quot;-&quot;??_);_(@_)">
                  <c:v>0</c:v>
                </c:pt>
                <c:pt idx="51" formatCode="_(* #,##0.00_);_(* \(#,##0.00\);_(* &quot;-&quot;??_);_(@_)">
                  <c:v>0</c:v>
                </c:pt>
                <c:pt idx="52" formatCode="_(* #,##0.00_);_(* \(#,##0.00\);_(* &quot;-&quot;??_);_(@_)">
                  <c:v>0</c:v>
                </c:pt>
                <c:pt idx="53" formatCode="_(* #,##0.00_);_(* \(#,##0.00\);_(* &quot;-&quot;??_);_(@_)">
                  <c:v>0</c:v>
                </c:pt>
                <c:pt idx="54" formatCode="_(* #,##0.00_);_(* \(#,##0.00\);_(* &quot;-&quot;??_);_(@_)">
                  <c:v>0</c:v>
                </c:pt>
                <c:pt idx="55" formatCode="_(* #,##0.00_);_(* \(#,##0.00\);_(* &quot;-&quot;??_);_(@_)">
                  <c:v>0</c:v>
                </c:pt>
                <c:pt idx="56" formatCode="_(* #,##0.00_);_(* \(#,##0.00\);_(* &quot;-&quot;??_);_(@_)">
                  <c:v>0</c:v>
                </c:pt>
                <c:pt idx="57" formatCode="_(* #,##0.00_);_(* \(#,##0.00\);_(* &quot;-&quot;??_);_(@_)">
                  <c:v>0</c:v>
                </c:pt>
                <c:pt idx="58" formatCode="_(* #,##0.00_);_(* \(#,##0.00\);_(* &quot;-&quot;??_);_(@_)">
                  <c:v>0</c:v>
                </c:pt>
                <c:pt idx="59" formatCode="_(* #,##0.00_);_(* \(#,##0.00\);_(* &quot;-&quot;??_);_(@_)">
                  <c:v>0</c:v>
                </c:pt>
                <c:pt idx="60" formatCode="_(* #,##0.00_);_(* \(#,##0.00\);_(* &quot;-&quot;??_);_(@_)">
                  <c:v>0</c:v>
                </c:pt>
                <c:pt idx="61" formatCode="_(* #,##0.00_);_(* \(#,##0.00\);_(* &quot;-&quot;??_);_(@_)">
                  <c:v>0</c:v>
                </c:pt>
                <c:pt idx="62" formatCode="_(* #,##0.00_);_(* \(#,##0.00\);_(* &quot;-&quot;??_);_(@_)">
                  <c:v>0</c:v>
                </c:pt>
                <c:pt idx="63" formatCode="_(* #,##0.00_);_(* \(#,##0.00\);_(* &quot;-&quot;??_);_(@_)">
                  <c:v>0</c:v>
                </c:pt>
                <c:pt idx="64" formatCode="_(* #,##0.00_);_(* \(#,##0.00\);_(* &quot;-&quot;??_);_(@_)">
                  <c:v>0</c:v>
                </c:pt>
                <c:pt idx="65" formatCode="_(* #,##0.00_);_(* \(#,##0.00\);_(* &quot;-&quot;??_);_(@_)">
                  <c:v>0</c:v>
                </c:pt>
                <c:pt idx="66" formatCode="_(* #,##0.00_);_(* \(#,##0.00\);_(* &quot;-&quot;??_);_(@_)">
                  <c:v>0</c:v>
                </c:pt>
                <c:pt idx="67" formatCode="_(* #,##0.00_);_(* \(#,##0.00\);_(* &quot;-&quot;??_);_(@_)">
                  <c:v>0</c:v>
                </c:pt>
                <c:pt idx="68" formatCode="_(* #,##0.00_);_(* \(#,##0.00\);_(* &quot;-&quot;??_);_(@_)">
                  <c:v>0</c:v>
                </c:pt>
                <c:pt idx="69" formatCode="_(* #,##0.00_);_(* \(#,##0.00\);_(* &quot;-&quot;??_);_(@_)">
                  <c:v>0</c:v>
                </c:pt>
                <c:pt idx="70" formatCode="_(* #,##0.00_);_(* \(#,##0.00\);_(* &quot;-&quot;??_);_(@_)">
                  <c:v>0</c:v>
                </c:pt>
                <c:pt idx="71" formatCode="_(* #,##0.00_);_(* \(#,##0.00\);_(* &quot;-&quot;??_);_(@_)">
                  <c:v>0</c:v>
                </c:pt>
                <c:pt idx="72" formatCode="_(* #,##0.00_);_(* \(#,##0.00\);_(* &quot;-&quot;??_);_(@_)">
                  <c:v>0</c:v>
                </c:pt>
                <c:pt idx="73" formatCode="_(* #,##0.00_);_(* \(#,##0.00\);_(* &quot;-&quot;??_);_(@_)">
                  <c:v>0</c:v>
                </c:pt>
                <c:pt idx="74" formatCode="_(* #,##0.00_);_(* \(#,##0.00\);_(* &quot;-&quot;??_);_(@_)">
                  <c:v>0</c:v>
                </c:pt>
                <c:pt idx="75" formatCode="_(* #,##0.00_);_(* \(#,##0.00\);_(* &quot;-&quot;??_);_(@_)">
                  <c:v>0</c:v>
                </c:pt>
                <c:pt idx="76" formatCode="_(* #,##0.00_);_(* \(#,##0.00\);_(* &quot;-&quot;??_);_(@_)">
                  <c:v>0</c:v>
                </c:pt>
                <c:pt idx="77" formatCode="_(* #,##0.00_);_(* \(#,##0.00\);_(* &quot;-&quot;??_);_(@_)">
                  <c:v>0</c:v>
                </c:pt>
                <c:pt idx="78" formatCode="_(* #,##0.00_);_(* \(#,##0.00\);_(* &quot;-&quot;??_);_(@_)">
                  <c:v>0</c:v>
                </c:pt>
                <c:pt idx="79" formatCode="_(* #,##0.00_);_(* \(#,##0.00\);_(* &quot;-&quot;??_);_(@_)">
                  <c:v>0</c:v>
                </c:pt>
                <c:pt idx="80" formatCode="_(* #,##0.00_);_(* \(#,##0.00\);_(* &quot;-&quot;??_);_(@_)">
                  <c:v>0</c:v>
                </c:pt>
                <c:pt idx="81" formatCode="_(* #,##0.00_);_(* \(#,##0.00\);_(* &quot;-&quot;??_);_(@_)">
                  <c:v>0</c:v>
                </c:pt>
                <c:pt idx="82" formatCode="_(* #,##0.00_);_(* \(#,##0.00\);_(* &quot;-&quot;??_);_(@_)">
                  <c:v>0</c:v>
                </c:pt>
                <c:pt idx="83" formatCode="_(* #,##0.00_);_(* \(#,##0.00\);_(* &quot;-&quot;??_);_(@_)">
                  <c:v>0</c:v>
                </c:pt>
                <c:pt idx="84" formatCode="_(* #,##0.00_);_(* \(#,##0.00\);_(* &quot;-&quot;??_);_(@_)">
                  <c:v>0</c:v>
                </c:pt>
                <c:pt idx="85" formatCode="_(* #,##0.00_);_(* \(#,##0.00\);_(* &quot;-&quot;??_);_(@_)">
                  <c:v>0</c:v>
                </c:pt>
              </c:numCache>
            </c:numRef>
          </c:val>
          <c:extLst>
            <c:ext xmlns:c16="http://schemas.microsoft.com/office/drawing/2014/chart" uri="{C3380CC4-5D6E-409C-BE32-E72D297353CC}">
              <c16:uniqueId val="{00000001-A374-4478-BF4A-15909CC8C3B8}"/>
            </c:ext>
          </c:extLst>
        </c:ser>
        <c:ser>
          <c:idx val="3"/>
          <c:order val="3"/>
          <c:tx>
            <c:strRef>
              <c:f>'Cement Cost Model-Indonesia'!$I$189</c:f>
              <c:strCache>
                <c:ptCount val="1"/>
                <c:pt idx="0">
                  <c:v>Alternative Fuels: Biomass</c:v>
                </c:pt>
              </c:strCache>
            </c:strRef>
          </c:tx>
          <c:spPr>
            <a:solidFill>
              <a:schemeClr val="accent4"/>
            </a:solidFill>
            <a:ln w="25400">
              <a:noFill/>
            </a:ln>
            <a:effectLst/>
          </c:spPr>
          <c:invertIfNegative val="0"/>
          <c:cat>
            <c:numRef>
              <c:f>'Cement Cost Model-Indonesia'!$F$190:$F$286</c:f>
              <c:numCache>
                <c:formatCode>General</c:formatCode>
                <c:ptCount val="9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numCache>
            </c:numRef>
          </c:cat>
          <c:val>
            <c:numRef>
              <c:f>'Cement Cost Model-Indonesia'!$I$190:$I$318</c:f>
              <c:numCache>
                <c:formatCode>General</c:formatCode>
                <c:ptCount val="129"/>
                <c:pt idx="86" formatCode="_(* #,##0.00_);_(* \(#,##0.00\);_(* &quot;-&quot;??_);_(@_)">
                  <c:v>30.047557426678143</c:v>
                </c:pt>
                <c:pt idx="87" formatCode="_(* #,##0.00_);_(* \(#,##0.00\);_(* &quot;-&quot;??_);_(@_)">
                  <c:v>30.047557426678143</c:v>
                </c:pt>
              </c:numCache>
            </c:numRef>
          </c:val>
          <c:extLst>
            <c:ext xmlns:c16="http://schemas.microsoft.com/office/drawing/2014/chart" uri="{C3380CC4-5D6E-409C-BE32-E72D297353CC}">
              <c16:uniqueId val="{00000002-A374-4478-BF4A-15909CC8C3B8}"/>
            </c:ext>
          </c:extLst>
        </c:ser>
        <c:ser>
          <c:idx val="4"/>
          <c:order val="4"/>
          <c:tx>
            <c:strRef>
              <c:f>'Cement Cost Model-Indonesia'!$J$189</c:f>
              <c:strCache>
                <c:ptCount val="1"/>
                <c:pt idx="0">
                  <c:v>Alternative Fuels: Industrial Wastes</c:v>
                </c:pt>
              </c:strCache>
            </c:strRef>
          </c:tx>
          <c:spPr>
            <a:solidFill>
              <a:schemeClr val="accent5"/>
            </a:solidFill>
            <a:ln>
              <a:noFill/>
            </a:ln>
            <a:effectLst/>
          </c:spPr>
          <c:invertIfNegative val="0"/>
          <c:cat>
            <c:numRef>
              <c:f>'Cement Cost Model-Indonesia'!$F$190:$F$286</c:f>
              <c:numCache>
                <c:formatCode>General</c:formatCode>
                <c:ptCount val="9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numCache>
            </c:numRef>
          </c:cat>
          <c:val>
            <c:numRef>
              <c:f>'Cement Cost Model-Indonesia'!$J$190:$J$318</c:f>
              <c:numCache>
                <c:formatCode>General</c:formatCode>
                <c:ptCount val="129"/>
                <c:pt idx="88" formatCode="_(* #,##0.00_);_(* \(#,##0.00\);_(* &quot;-&quot;??_);_(@_)">
                  <c:v>46.020537566152321</c:v>
                </c:pt>
                <c:pt idx="89" formatCode="_(* #,##0.00_);_(* \(#,##0.00\);_(* &quot;-&quot;??_);_(@_)">
                  <c:v>46.020537566152321</c:v>
                </c:pt>
                <c:pt idx="90" formatCode="_(* #,##0.00_);_(* \(#,##0.00\);_(* &quot;-&quot;??_);_(@_)">
                  <c:v>46.020537566152321</c:v>
                </c:pt>
                <c:pt idx="91" formatCode="_(* #,##0.00_);_(* \(#,##0.00\);_(* &quot;-&quot;??_);_(@_)">
                  <c:v>46.020537566152321</c:v>
                </c:pt>
                <c:pt idx="92" formatCode="_(* #,##0.00_);_(* \(#,##0.00\);_(* &quot;-&quot;??_);_(@_)">
                  <c:v>46.020537566152321</c:v>
                </c:pt>
                <c:pt idx="93" formatCode="_(* #,##0.00_);_(* \(#,##0.00\);_(* &quot;-&quot;??_);_(@_)">
                  <c:v>46.020537566152321</c:v>
                </c:pt>
                <c:pt idx="94" formatCode="_(* #,##0.00_);_(* \(#,##0.00\);_(* &quot;-&quot;??_);_(@_)">
                  <c:v>46.020537566152321</c:v>
                </c:pt>
                <c:pt idx="95" formatCode="_(* #,##0.00_);_(* \(#,##0.00\);_(* &quot;-&quot;??_);_(@_)">
                  <c:v>46.020537566152321</c:v>
                </c:pt>
                <c:pt idx="96" formatCode="_(* #,##0.00_);_(* \(#,##0.00\);_(* &quot;-&quot;??_);_(@_)">
                  <c:v>46.020537566152321</c:v>
                </c:pt>
                <c:pt idx="97" formatCode="_(* #,##0.00_);_(* \(#,##0.00\);_(* &quot;-&quot;??_);_(@_)">
                  <c:v>46.020537566152321</c:v>
                </c:pt>
                <c:pt idx="98" formatCode="_(* #,##0.00_);_(* \(#,##0.00\);_(* &quot;-&quot;??_);_(@_)">
                  <c:v>46.020537566152321</c:v>
                </c:pt>
              </c:numCache>
            </c:numRef>
          </c:val>
          <c:extLst>
            <c:ext xmlns:c16="http://schemas.microsoft.com/office/drawing/2014/chart" uri="{C3380CC4-5D6E-409C-BE32-E72D297353CC}">
              <c16:uniqueId val="{00000003-A374-4478-BF4A-15909CC8C3B8}"/>
            </c:ext>
          </c:extLst>
        </c:ser>
        <c:ser>
          <c:idx val="5"/>
          <c:order val="5"/>
          <c:tx>
            <c:strRef>
              <c:f>'Cement Cost Model-Indonesia'!$K$189</c:f>
              <c:strCache>
                <c:ptCount val="1"/>
                <c:pt idx="0">
                  <c:v>Alternative Fuels: H2 Injection (including RE and Electrolyzer CAPEX)</c:v>
                </c:pt>
              </c:strCache>
            </c:strRef>
          </c:tx>
          <c:spPr>
            <a:solidFill>
              <a:schemeClr val="accent6"/>
            </a:solidFill>
            <a:ln>
              <a:noFill/>
            </a:ln>
            <a:effectLst/>
          </c:spPr>
          <c:invertIfNegative val="0"/>
          <c:cat>
            <c:numRef>
              <c:f>'Cement Cost Model-Indonesia'!$F$190:$F$286</c:f>
              <c:numCache>
                <c:formatCode>General</c:formatCode>
                <c:ptCount val="9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numCache>
            </c:numRef>
          </c:cat>
          <c:val>
            <c:numRef>
              <c:f>'Cement Cost Model-Indonesia'!$K$190:$K$318</c:f>
              <c:numCache>
                <c:formatCode>General</c:formatCode>
                <c:ptCount val="129"/>
                <c:pt idx="99" formatCode="_(* #,##0.00_);_(* \(#,##0.00\);_(* &quot;-&quot;??_);_(@_)">
                  <c:v>0</c:v>
                </c:pt>
                <c:pt idx="100" formatCode="_(* #,##0.00_);_(* \(#,##0.00\);_(* &quot;-&quot;??_);_(@_)">
                  <c:v>0</c:v>
                </c:pt>
                <c:pt idx="101" formatCode="_(* #,##0.00_);_(* \(#,##0.00\);_(* &quot;-&quot;??_);_(@_)">
                  <c:v>0</c:v>
                </c:pt>
                <c:pt idx="102" formatCode="_(* #,##0.00_);_(* \(#,##0.00\);_(* &quot;-&quot;??_);_(@_)">
                  <c:v>0</c:v>
                </c:pt>
                <c:pt idx="103" formatCode="_(* #,##0.00_);_(* \(#,##0.00\);_(* &quot;-&quot;??_);_(@_)">
                  <c:v>0</c:v>
                </c:pt>
                <c:pt idx="104" formatCode="_(* #,##0.00_);_(* \(#,##0.00\);_(* &quot;-&quot;??_);_(@_)">
                  <c:v>0</c:v>
                </c:pt>
                <c:pt idx="105" formatCode="_(* #,##0.00_);_(* \(#,##0.00\);_(* &quot;-&quot;??_);_(@_)">
                  <c:v>0</c:v>
                </c:pt>
                <c:pt idx="106" formatCode="_(* #,##0.00_);_(* \(#,##0.00\);_(* &quot;-&quot;??_);_(@_)">
                  <c:v>0</c:v>
                </c:pt>
                <c:pt idx="107" formatCode="_(* #,##0.00_);_(* \(#,##0.00\);_(* &quot;-&quot;??_);_(@_)">
                  <c:v>0</c:v>
                </c:pt>
                <c:pt idx="108" formatCode="_(* #,##0.00_);_(* \(#,##0.00\);_(* &quot;-&quot;??_);_(@_)">
                  <c:v>0</c:v>
                </c:pt>
                <c:pt idx="109" formatCode="_(* #,##0.00_);_(* \(#,##0.00\);_(* &quot;-&quot;??_);_(@_)">
                  <c:v>0</c:v>
                </c:pt>
                <c:pt idx="110" formatCode="_(* #,##0.00_);_(* \(#,##0.00\);_(* &quot;-&quot;??_);_(@_)">
                  <c:v>0</c:v>
                </c:pt>
                <c:pt idx="111" formatCode="_(* #,##0.00_);_(* \(#,##0.00\);_(* &quot;-&quot;??_);_(@_)">
                  <c:v>0</c:v>
                </c:pt>
                <c:pt idx="112" formatCode="_(* #,##0.00_);_(* \(#,##0.00\);_(* &quot;-&quot;??_);_(@_)">
                  <c:v>0</c:v>
                </c:pt>
                <c:pt idx="113" formatCode="_(* #,##0.00_);_(* \(#,##0.00\);_(* &quot;-&quot;??_);_(@_)">
                  <c:v>0</c:v>
                </c:pt>
                <c:pt idx="114" formatCode="_(* #,##0.00_);_(* \(#,##0.00\);_(* &quot;-&quot;??_);_(@_)">
                  <c:v>0</c:v>
                </c:pt>
                <c:pt idx="115" formatCode="_(* #,##0.00_);_(* \(#,##0.00\);_(* &quot;-&quot;??_);_(@_)">
                  <c:v>0</c:v>
                </c:pt>
                <c:pt idx="116" formatCode="_(* #,##0.00_);_(* \(#,##0.00\);_(* &quot;-&quot;??_);_(@_)">
                  <c:v>0</c:v>
                </c:pt>
                <c:pt idx="117" formatCode="_(* #,##0.00_);_(* \(#,##0.00\);_(* &quot;-&quot;??_);_(@_)">
                  <c:v>0</c:v>
                </c:pt>
                <c:pt idx="118" formatCode="_(* #,##0.00_);_(* \(#,##0.00\);_(* &quot;-&quot;??_);_(@_)">
                  <c:v>0</c:v>
                </c:pt>
                <c:pt idx="119" formatCode="_(* #,##0.00_);_(* \(#,##0.00\);_(* &quot;-&quot;??_);_(@_)">
                  <c:v>0</c:v>
                </c:pt>
                <c:pt idx="120" formatCode="_(* #,##0.00_);_(* \(#,##0.00\);_(* &quot;-&quot;??_);_(@_)">
                  <c:v>0</c:v>
                </c:pt>
                <c:pt idx="121" formatCode="_(* #,##0.00_);_(* \(#,##0.00\);_(* &quot;-&quot;??_);_(@_)">
                  <c:v>0</c:v>
                </c:pt>
                <c:pt idx="122" formatCode="_(* #,##0.00_);_(* \(#,##0.00\);_(* &quot;-&quot;??_);_(@_)">
                  <c:v>0</c:v>
                </c:pt>
              </c:numCache>
            </c:numRef>
          </c:val>
          <c:extLst>
            <c:ext xmlns:c16="http://schemas.microsoft.com/office/drawing/2014/chart" uri="{C3380CC4-5D6E-409C-BE32-E72D297353CC}">
              <c16:uniqueId val="{00000004-A374-4478-BF4A-15909CC8C3B8}"/>
            </c:ext>
          </c:extLst>
        </c:ser>
        <c:ser>
          <c:idx val="6"/>
          <c:order val="6"/>
          <c:tx>
            <c:strRef>
              <c:f>'Cement Cost Model-Indonesia'!$L$189</c:f>
              <c:strCache>
                <c:ptCount val="1"/>
                <c:pt idx="0">
                  <c:v>CCS</c:v>
                </c:pt>
              </c:strCache>
            </c:strRef>
          </c:tx>
          <c:spPr>
            <a:solidFill>
              <a:schemeClr val="accent1">
                <a:lumMod val="60000"/>
              </a:schemeClr>
            </a:solidFill>
            <a:ln>
              <a:noFill/>
            </a:ln>
            <a:effectLst/>
          </c:spPr>
          <c:invertIfNegative val="0"/>
          <c:dPt>
            <c:idx val="126"/>
            <c:invertIfNegative val="0"/>
            <c:bubble3D val="0"/>
            <c:spPr>
              <a:solidFill>
                <a:srgbClr val="0D3A4E"/>
              </a:solidFill>
              <a:ln>
                <a:noFill/>
              </a:ln>
              <a:effectLst/>
            </c:spPr>
            <c:extLst>
              <c:ext xmlns:c16="http://schemas.microsoft.com/office/drawing/2014/chart" uri="{C3380CC4-5D6E-409C-BE32-E72D297353CC}">
                <c16:uniqueId val="{00000000-2D99-44B9-B8FF-18C74F8270E4}"/>
              </c:ext>
            </c:extLst>
          </c:dPt>
          <c:cat>
            <c:numRef>
              <c:f>'Cement Cost Model-Indonesia'!$F$190:$F$286</c:f>
              <c:numCache>
                <c:formatCode>General</c:formatCode>
                <c:ptCount val="9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numCache>
            </c:numRef>
          </c:cat>
          <c:val>
            <c:numRef>
              <c:f>'Cement Cost Model-Indonesia'!$L$190:$L$318</c:f>
              <c:numCache>
                <c:formatCode>General</c:formatCode>
                <c:ptCount val="129"/>
                <c:pt idx="123" formatCode="_(* #,##0.00_);_(* \(#,##0.00\);_(* &quot;-&quot;??_);_(@_)">
                  <c:v>0</c:v>
                </c:pt>
                <c:pt idx="124" formatCode="_(* #,##0.00_);_(* \(#,##0.00\);_(* &quot;-&quot;??_);_(@_)">
                  <c:v>0</c:v>
                </c:pt>
                <c:pt idx="125" formatCode="_(* #,##0.00_);_(* \(#,##0.00\);_(* &quot;-&quot;??_);_(@_)">
                  <c:v>0</c:v>
                </c:pt>
                <c:pt idx="126" formatCode="_(* #,##0.00_);_(* \(#,##0.00\);_(* &quot;-&quot;??_);_(@_)">
                  <c:v>0</c:v>
                </c:pt>
                <c:pt idx="127" formatCode="_(* #,##0.00_);_(* \(#,##0.00\);_(* &quot;-&quot;??_);_(@_)">
                  <c:v>0</c:v>
                </c:pt>
                <c:pt idx="128" formatCode="_(* #,##0.00_);_(* \(#,##0.00\);_(* &quot;-&quot;??_);_(@_)">
                  <c:v>0</c:v>
                </c:pt>
              </c:numCache>
            </c:numRef>
          </c:val>
          <c:extLst>
            <c:ext xmlns:c16="http://schemas.microsoft.com/office/drawing/2014/chart" uri="{C3380CC4-5D6E-409C-BE32-E72D297353CC}">
              <c16:uniqueId val="{00000005-A374-4478-BF4A-15909CC8C3B8}"/>
            </c:ext>
          </c:extLst>
        </c:ser>
        <c:dLbls>
          <c:showLegendKey val="0"/>
          <c:showVal val="0"/>
          <c:showCatName val="0"/>
          <c:showSerName val="0"/>
          <c:showPercent val="0"/>
          <c:showBubbleSize val="0"/>
        </c:dLbls>
        <c:gapWidth val="0"/>
        <c:overlap val="100"/>
        <c:axId val="1052255103"/>
        <c:axId val="830325856"/>
      </c:barChart>
      <c:scatterChart>
        <c:scatterStyle val="lineMarker"/>
        <c:varyColors val="0"/>
        <c:ser>
          <c:idx val="0"/>
          <c:order val="0"/>
          <c:spPr>
            <a:ln w="25400" cap="rnd">
              <a:noFill/>
              <a:round/>
            </a:ln>
            <a:effectLst/>
          </c:spPr>
          <c:marker>
            <c:symbol val="none"/>
          </c:marker>
          <c:xVal>
            <c:numRef>
              <c:f>'Cement Cost Model-Indonesia'!$I$167:$I$173</c:f>
              <c:numCache>
                <c:formatCode>_(* #,##0.00_);_(* \(#,##0.00\);_(* "-"??_);_(@_)</c:formatCode>
                <c:ptCount val="7"/>
                <c:pt idx="0" formatCode="General">
                  <c:v>0</c:v>
                </c:pt>
                <c:pt idx="1">
                  <c:v>2.04</c:v>
                </c:pt>
                <c:pt idx="2">
                  <c:v>4.32</c:v>
                </c:pt>
                <c:pt idx="3">
                  <c:v>4.4145000000000003</c:v>
                </c:pt>
                <c:pt idx="4">
                  <c:v>4.9815000000000005</c:v>
                </c:pt>
                <c:pt idx="5">
                  <c:v>6.2100000000000009</c:v>
                </c:pt>
                <c:pt idx="6">
                  <c:v>6.4900000000000011</c:v>
                </c:pt>
              </c:numCache>
            </c:numRef>
          </c:xVal>
          <c:yVal>
            <c:numRef>
              <c:f>'Cement Cost Model-Indonesia'!$J$167:$J$173</c:f>
              <c:numCache>
                <c:formatCode>_("$"* #,##0_);_("$"* \(#,##0\);_("$"* "-"??_);_(@_)</c:formatCode>
                <c:ptCount val="7"/>
                <c:pt idx="0">
                  <c:v>0</c:v>
                </c:pt>
                <c:pt idx="1">
                  <c:v>0</c:v>
                </c:pt>
                <c:pt idx="2">
                  <c:v>0</c:v>
                </c:pt>
                <c:pt idx="3">
                  <c:v>30.047557426678143</c:v>
                </c:pt>
                <c:pt idx="4">
                  <c:v>46.020537566152321</c:v>
                </c:pt>
                <c:pt idx="5">
                  <c:v>0</c:v>
                </c:pt>
                <c:pt idx="6">
                  <c:v>0</c:v>
                </c:pt>
              </c:numCache>
            </c:numRef>
          </c:yVal>
          <c:smooth val="0"/>
          <c:extLst>
            <c:ext xmlns:c16="http://schemas.microsoft.com/office/drawing/2014/chart" uri="{C3380CC4-5D6E-409C-BE32-E72D297353CC}">
              <c16:uniqueId val="{00000000-F886-4D9D-B394-FAC23C4D081C}"/>
            </c:ext>
          </c:extLst>
        </c:ser>
        <c:dLbls>
          <c:showLegendKey val="0"/>
          <c:showVal val="0"/>
          <c:showCatName val="0"/>
          <c:showSerName val="0"/>
          <c:showPercent val="0"/>
          <c:showBubbleSize val="0"/>
        </c:dLbls>
        <c:axId val="1004387183"/>
        <c:axId val="999446367"/>
      </c:scatterChart>
      <c:valAx>
        <c:axId val="1004387183"/>
        <c:scaling>
          <c:orientation val="minMax"/>
          <c:max val="6.5"/>
          <c:min val="0"/>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Avoided CO</a:t>
                </a:r>
                <a:r>
                  <a:rPr lang="en-US" sz="1100" baseline="-25000"/>
                  <a:t>2</a:t>
                </a:r>
                <a:r>
                  <a:rPr lang="en-US" sz="1100"/>
                  <a:t> Emissions in</a:t>
                </a:r>
                <a:r>
                  <a:rPr lang="en-US" sz="1100" baseline="0"/>
                  <a:t> 2030 </a:t>
                </a:r>
                <a:r>
                  <a:rPr lang="en-US" sz="1100"/>
                  <a:t>(MtCO</a:t>
                </a:r>
                <a:r>
                  <a:rPr lang="en-US" sz="1100" baseline="-25000"/>
                  <a:t>2</a:t>
                </a:r>
                <a:r>
                  <a:rPr lang="en-US" sz="1100" baseline="0"/>
                  <a:t>)</a:t>
                </a:r>
              </a:p>
            </c:rich>
          </c:tx>
          <c:layout>
            <c:manualLayout>
              <c:xMode val="edge"/>
              <c:yMode val="edge"/>
              <c:x val="0.36726273647114016"/>
              <c:y val="0.9257647816830073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999446367"/>
        <c:crosses val="autoZero"/>
        <c:crossBetween val="midCat"/>
        <c:minorUnit val="1"/>
      </c:valAx>
      <c:valAx>
        <c:axId val="999446367"/>
        <c:scaling>
          <c:orientation val="minMax"/>
          <c:max val="500"/>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sz="1050"/>
                  <a:t>Marginal Abatement Cost in 2030 ($/tCO</a:t>
                </a:r>
                <a:r>
                  <a:rPr lang="en-US" sz="1050" baseline="-25000"/>
                  <a:t>2</a:t>
                </a:r>
                <a:r>
                  <a:rPr lang="en-US" sz="1050" baseline="0"/>
                  <a:t>)</a:t>
                </a:r>
              </a:p>
            </c:rich>
          </c:tx>
          <c:layout>
            <c:manualLayout>
              <c:xMode val="edge"/>
              <c:yMode val="edge"/>
              <c:x val="1.5929706095354657E-2"/>
              <c:y val="0.1498059174938722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004387183"/>
        <c:crosses val="autoZero"/>
        <c:crossBetween val="midCat"/>
      </c:valAx>
      <c:valAx>
        <c:axId val="830325856"/>
        <c:scaling>
          <c:orientation val="minMax"/>
        </c:scaling>
        <c:delete val="1"/>
        <c:axPos val="r"/>
        <c:numFmt formatCode="_(* #,##0.00_);_(* \(#,##0.00\);_(* &quot;-&quot;??_);_(@_)" sourceLinked="1"/>
        <c:majorTickMark val="out"/>
        <c:minorTickMark val="none"/>
        <c:tickLblPos val="nextTo"/>
        <c:crossAx val="1052255103"/>
        <c:crosses val="max"/>
        <c:crossBetween val="between"/>
      </c:valAx>
      <c:catAx>
        <c:axId val="1052255103"/>
        <c:scaling>
          <c:orientation val="minMax"/>
        </c:scaling>
        <c:delete val="1"/>
        <c:axPos val="b"/>
        <c:numFmt formatCode="General" sourceLinked="1"/>
        <c:majorTickMark val="out"/>
        <c:minorTickMark val="none"/>
        <c:tickLblPos val="nextTo"/>
        <c:crossAx val="830325856"/>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a:t>Marginal Abatement Cost Curve for </a:t>
            </a:r>
            <a:r>
              <a:rPr lang="en-US" altLang="zh-CN" sz="1400"/>
              <a:t>the </a:t>
            </a:r>
            <a:r>
              <a:rPr lang="en-US" sz="1400"/>
              <a:t>Indonesian Cement Industry </a:t>
            </a:r>
          </a:p>
          <a:p>
            <a:pPr>
              <a:defRPr/>
            </a:pPr>
            <a:r>
              <a:rPr lang="en-US" sz="1400"/>
              <a:t>in 2060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1"/>
          <c:order val="1"/>
          <c:tx>
            <c:strRef>
              <c:f>'Cement Cost Model-Indonesia'!$O$189</c:f>
              <c:strCache>
                <c:ptCount val="1"/>
                <c:pt idx="0">
                  <c:v>Clinker Substitution</c:v>
                </c:pt>
              </c:strCache>
            </c:strRef>
          </c:tx>
          <c:spPr>
            <a:solidFill>
              <a:schemeClr val="accent2"/>
            </a:solidFill>
            <a:ln w="25400">
              <a:noFill/>
            </a:ln>
            <a:effectLst/>
          </c:spPr>
          <c:invertIfNegative val="0"/>
          <c:cat>
            <c:numRef>
              <c:f>'Cement Cost Model-Indonesia'!$N$190:$N$509</c:f>
              <c:numCache>
                <c:formatCode>General</c:formatCode>
                <c:ptCount val="3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numCache>
            </c:numRef>
          </c:cat>
          <c:val>
            <c:numRef>
              <c:f>'Cement Cost Model-Indonesia'!$O$190:$O$557</c:f>
              <c:numCache>
                <c:formatCode>_(* #,##0.00_);_(* \(#,##0.00\);_(* "-"??_);_(@_)</c:formatCode>
                <c:ptCount val="3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extLst>
            <c:ext xmlns:c16="http://schemas.microsoft.com/office/drawing/2014/chart" uri="{C3380CC4-5D6E-409C-BE32-E72D297353CC}">
              <c16:uniqueId val="{00000000-E298-4778-97D0-D71E11E49940}"/>
            </c:ext>
          </c:extLst>
        </c:ser>
        <c:ser>
          <c:idx val="2"/>
          <c:order val="2"/>
          <c:tx>
            <c:strRef>
              <c:f>'Cement Cost Model-Indonesia'!$P$189</c:f>
              <c:strCache>
                <c:ptCount val="1"/>
                <c:pt idx="0">
                  <c:v>Alternative Fuels: Biomass</c:v>
                </c:pt>
              </c:strCache>
            </c:strRef>
          </c:tx>
          <c:spPr>
            <a:solidFill>
              <a:schemeClr val="accent4"/>
            </a:solidFill>
            <a:ln w="25400">
              <a:noFill/>
            </a:ln>
            <a:effectLst/>
          </c:spPr>
          <c:invertIfNegative val="0"/>
          <c:cat>
            <c:numRef>
              <c:f>'Cement Cost Model-Indonesia'!$N$190:$N$509</c:f>
              <c:numCache>
                <c:formatCode>General</c:formatCode>
                <c:ptCount val="3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numCache>
            </c:numRef>
          </c:cat>
          <c:val>
            <c:numRef>
              <c:f>'Cement Cost Model-Indonesia'!$P$190:$P$557</c:f>
              <c:numCache>
                <c:formatCode>General</c:formatCode>
                <c:ptCount val="368"/>
                <c:pt idx="87" formatCode="_(* #,##0.00_);_(* \(#,##0.00\);_(* &quot;-&quot;??_);_(@_)">
                  <c:v>37.523622731304492</c:v>
                </c:pt>
                <c:pt idx="88" formatCode="_(* #,##0.00_);_(* \(#,##0.00\);_(* &quot;-&quot;??_);_(@_)">
                  <c:v>37.523622731304492</c:v>
                </c:pt>
                <c:pt idx="89" formatCode="_(* #,##0.00_);_(* \(#,##0.00\);_(* &quot;-&quot;??_);_(@_)">
                  <c:v>37.523622731304492</c:v>
                </c:pt>
                <c:pt idx="90" formatCode="_(* #,##0.00_);_(* \(#,##0.00\);_(* &quot;-&quot;??_);_(@_)">
                  <c:v>37.523622731304492</c:v>
                </c:pt>
              </c:numCache>
            </c:numRef>
          </c:val>
          <c:extLst>
            <c:ext xmlns:c16="http://schemas.microsoft.com/office/drawing/2014/chart" uri="{C3380CC4-5D6E-409C-BE32-E72D297353CC}">
              <c16:uniqueId val="{00000001-E298-4778-97D0-D71E11E49940}"/>
            </c:ext>
          </c:extLst>
        </c:ser>
        <c:ser>
          <c:idx val="3"/>
          <c:order val="3"/>
          <c:tx>
            <c:strRef>
              <c:f>'Cement Cost Model-Indonesia'!$Q$189</c:f>
              <c:strCache>
                <c:ptCount val="1"/>
                <c:pt idx="0">
                  <c:v>Energy Efficiency</c:v>
                </c:pt>
              </c:strCache>
            </c:strRef>
          </c:tx>
          <c:spPr>
            <a:solidFill>
              <a:schemeClr val="accent6">
                <a:lumMod val="60000"/>
                <a:lumOff val="40000"/>
              </a:schemeClr>
            </a:solidFill>
            <a:ln w="25400">
              <a:noFill/>
            </a:ln>
            <a:effectLst/>
          </c:spPr>
          <c:invertIfNegative val="0"/>
          <c:cat>
            <c:numRef>
              <c:f>'Cement Cost Model-Indonesia'!$N$190:$N$509</c:f>
              <c:numCache>
                <c:formatCode>General</c:formatCode>
                <c:ptCount val="3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numCache>
            </c:numRef>
          </c:cat>
          <c:val>
            <c:numRef>
              <c:f>'Cement Cost Model-Indonesia'!$Q$190:$Q$557</c:f>
              <c:numCache>
                <c:formatCode>General</c:formatCode>
                <c:ptCount val="368"/>
                <c:pt idx="91" formatCode="_(* #,##0.00_);_(* \(#,##0.00\);_(* &quot;-&quot;??_);_(@_)">
                  <c:v>0</c:v>
                </c:pt>
                <c:pt idx="92" formatCode="_(* #,##0.00_);_(* \(#,##0.00\);_(* &quot;-&quot;??_);_(@_)">
                  <c:v>0</c:v>
                </c:pt>
                <c:pt idx="93" formatCode="_(* #,##0.00_);_(* \(#,##0.00\);_(* &quot;-&quot;??_);_(@_)">
                  <c:v>0</c:v>
                </c:pt>
                <c:pt idx="94" formatCode="_(* #,##0.00_);_(* \(#,##0.00\);_(* &quot;-&quot;??_);_(@_)">
                  <c:v>0</c:v>
                </c:pt>
                <c:pt idx="95" formatCode="_(* #,##0.00_);_(* \(#,##0.00\);_(* &quot;-&quot;??_);_(@_)">
                  <c:v>0</c:v>
                </c:pt>
                <c:pt idx="96" formatCode="_(* #,##0.00_);_(* \(#,##0.00\);_(* &quot;-&quot;??_);_(@_)">
                  <c:v>0</c:v>
                </c:pt>
                <c:pt idx="97" formatCode="_(* #,##0.00_);_(* \(#,##0.00\);_(* &quot;-&quot;??_);_(@_)">
                  <c:v>0</c:v>
                </c:pt>
                <c:pt idx="98" formatCode="_(* #,##0.00_);_(* \(#,##0.00\);_(* &quot;-&quot;??_);_(@_)">
                  <c:v>0</c:v>
                </c:pt>
                <c:pt idx="99" formatCode="_(* #,##0.00_);_(* \(#,##0.00\);_(* &quot;-&quot;??_);_(@_)">
                  <c:v>0</c:v>
                </c:pt>
                <c:pt idx="100" formatCode="_(* #,##0.00_);_(* \(#,##0.00\);_(* &quot;-&quot;??_);_(@_)">
                  <c:v>0</c:v>
                </c:pt>
                <c:pt idx="101" formatCode="_(* #,##0.00_);_(* \(#,##0.00\);_(* &quot;-&quot;??_);_(@_)">
                  <c:v>0</c:v>
                </c:pt>
                <c:pt idx="102" formatCode="_(* #,##0.00_);_(* \(#,##0.00\);_(* &quot;-&quot;??_);_(@_)">
                  <c:v>0</c:v>
                </c:pt>
                <c:pt idx="103" formatCode="_(* #,##0.00_);_(* \(#,##0.00\);_(* &quot;-&quot;??_);_(@_)">
                  <c:v>0</c:v>
                </c:pt>
                <c:pt idx="104" formatCode="_(* #,##0.00_);_(* \(#,##0.00\);_(* &quot;-&quot;??_);_(@_)">
                  <c:v>0</c:v>
                </c:pt>
                <c:pt idx="105" formatCode="_(* #,##0.00_);_(* \(#,##0.00\);_(* &quot;-&quot;??_);_(@_)">
                  <c:v>0</c:v>
                </c:pt>
                <c:pt idx="106" formatCode="_(* #,##0.00_);_(* \(#,##0.00\);_(* &quot;-&quot;??_);_(@_)">
                  <c:v>0</c:v>
                </c:pt>
                <c:pt idx="107" formatCode="_(* #,##0.00_);_(* \(#,##0.00\);_(* &quot;-&quot;??_);_(@_)">
                  <c:v>0</c:v>
                </c:pt>
                <c:pt idx="108" formatCode="_(* #,##0.00_);_(* \(#,##0.00\);_(* &quot;-&quot;??_);_(@_)">
                  <c:v>0</c:v>
                </c:pt>
                <c:pt idx="109" formatCode="_(* #,##0.00_);_(* \(#,##0.00\);_(* &quot;-&quot;??_);_(@_)">
                  <c:v>0</c:v>
                </c:pt>
                <c:pt idx="110" formatCode="_(* #,##0.00_);_(* \(#,##0.00\);_(* &quot;-&quot;??_);_(@_)">
                  <c:v>0</c:v>
                </c:pt>
                <c:pt idx="111" formatCode="_(* #,##0.00_);_(* \(#,##0.00\);_(* &quot;-&quot;??_);_(@_)">
                  <c:v>0</c:v>
                </c:pt>
                <c:pt idx="112" formatCode="_(* #,##0.00_);_(* \(#,##0.00\);_(* &quot;-&quot;??_);_(@_)">
                  <c:v>0</c:v>
                </c:pt>
                <c:pt idx="113" formatCode="_(* #,##0.00_);_(* \(#,##0.00\);_(* &quot;-&quot;??_);_(@_)">
                  <c:v>0</c:v>
                </c:pt>
                <c:pt idx="114" formatCode="_(* #,##0.00_);_(* \(#,##0.00\);_(* &quot;-&quot;??_);_(@_)">
                  <c:v>0</c:v>
                </c:pt>
                <c:pt idx="115" formatCode="_(* #,##0.00_);_(* \(#,##0.00\);_(* &quot;-&quot;??_);_(@_)">
                  <c:v>0</c:v>
                </c:pt>
                <c:pt idx="116" formatCode="_(* #,##0.00_);_(* \(#,##0.00\);_(* &quot;-&quot;??_);_(@_)">
                  <c:v>0</c:v>
                </c:pt>
                <c:pt idx="117" formatCode="_(* #,##0.00_);_(* \(#,##0.00\);_(* &quot;-&quot;??_);_(@_)">
                  <c:v>0</c:v>
                </c:pt>
                <c:pt idx="118" formatCode="_(* #,##0.00_);_(* \(#,##0.00\);_(* &quot;-&quot;??_);_(@_)">
                  <c:v>0</c:v>
                </c:pt>
                <c:pt idx="119" formatCode="_(* #,##0.00_);_(* \(#,##0.00\);_(* &quot;-&quot;??_);_(@_)">
                  <c:v>0</c:v>
                </c:pt>
                <c:pt idx="120" formatCode="_(* #,##0.00_);_(* \(#,##0.00\);_(* &quot;-&quot;??_);_(@_)">
                  <c:v>0</c:v>
                </c:pt>
                <c:pt idx="121" formatCode="_(* #,##0.00_);_(* \(#,##0.00\);_(* &quot;-&quot;??_);_(@_)">
                  <c:v>0</c:v>
                </c:pt>
                <c:pt idx="122" formatCode="_(* #,##0.00_);_(* \(#,##0.00\);_(* &quot;-&quot;??_);_(@_)">
                  <c:v>0</c:v>
                </c:pt>
                <c:pt idx="123" formatCode="_(* #,##0.00_);_(* \(#,##0.00\);_(* &quot;-&quot;??_);_(@_)">
                  <c:v>0</c:v>
                </c:pt>
                <c:pt idx="124" formatCode="_(* #,##0.00_);_(* \(#,##0.00\);_(* &quot;-&quot;??_);_(@_)">
                  <c:v>0</c:v>
                </c:pt>
                <c:pt idx="125" formatCode="_(* #,##0.00_);_(* \(#,##0.00\);_(* &quot;-&quot;??_);_(@_)">
                  <c:v>0</c:v>
                </c:pt>
                <c:pt idx="126" formatCode="_(* #,##0.00_);_(* \(#,##0.00\);_(* &quot;-&quot;??_);_(@_)">
                  <c:v>0</c:v>
                </c:pt>
                <c:pt idx="127" formatCode="_(* #,##0.00_);_(* \(#,##0.00\);_(* &quot;-&quot;??_);_(@_)">
                  <c:v>0</c:v>
                </c:pt>
                <c:pt idx="128" formatCode="_(* #,##0.00_);_(* \(#,##0.00\);_(* &quot;-&quot;??_);_(@_)">
                  <c:v>0</c:v>
                </c:pt>
                <c:pt idx="129" formatCode="_(* #,##0.00_);_(* \(#,##0.00\);_(* &quot;-&quot;??_);_(@_)">
                  <c:v>0</c:v>
                </c:pt>
                <c:pt idx="130" formatCode="_(* #,##0.00_);_(* \(#,##0.00\);_(* &quot;-&quot;??_);_(@_)">
                  <c:v>0</c:v>
                </c:pt>
                <c:pt idx="131" formatCode="_(* #,##0.00_);_(* \(#,##0.00\);_(* &quot;-&quot;??_);_(@_)">
                  <c:v>0</c:v>
                </c:pt>
                <c:pt idx="132" formatCode="_(* #,##0.00_);_(* \(#,##0.00\);_(* &quot;-&quot;??_);_(@_)">
                  <c:v>0</c:v>
                </c:pt>
                <c:pt idx="133" formatCode="_(* #,##0.00_);_(* \(#,##0.00\);_(* &quot;-&quot;??_);_(@_)">
                  <c:v>0</c:v>
                </c:pt>
              </c:numCache>
            </c:numRef>
          </c:val>
          <c:extLst>
            <c:ext xmlns:c16="http://schemas.microsoft.com/office/drawing/2014/chart" uri="{C3380CC4-5D6E-409C-BE32-E72D297353CC}">
              <c16:uniqueId val="{00000002-E298-4778-97D0-D71E11E49940}"/>
            </c:ext>
          </c:extLst>
        </c:ser>
        <c:ser>
          <c:idx val="4"/>
          <c:order val="4"/>
          <c:tx>
            <c:strRef>
              <c:f>'Cement Cost Model-Indonesia'!$R$189</c:f>
              <c:strCache>
                <c:ptCount val="1"/>
                <c:pt idx="0">
                  <c:v>Alternative Fuels: Industrial Wastes</c:v>
                </c:pt>
              </c:strCache>
            </c:strRef>
          </c:tx>
          <c:spPr>
            <a:solidFill>
              <a:schemeClr val="accent5"/>
            </a:solidFill>
            <a:ln>
              <a:noFill/>
            </a:ln>
            <a:effectLst/>
          </c:spPr>
          <c:invertIfNegative val="0"/>
          <c:cat>
            <c:numRef>
              <c:f>'Cement Cost Model-Indonesia'!$N$190:$N$509</c:f>
              <c:numCache>
                <c:formatCode>General</c:formatCode>
                <c:ptCount val="3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numCache>
            </c:numRef>
          </c:cat>
          <c:val>
            <c:numRef>
              <c:f>'Cement Cost Model-Indonesia'!$R$190:$R$557</c:f>
              <c:numCache>
                <c:formatCode>General</c:formatCode>
                <c:ptCount val="368"/>
                <c:pt idx="134" formatCode="_(* #,##0.00_);_(* \(#,##0.00\);_(* &quot;-&quot;??_);_(@_)">
                  <c:v>121.2046294499584</c:v>
                </c:pt>
                <c:pt idx="135" formatCode="_(* #,##0.00_);_(* \(#,##0.00\);_(* &quot;-&quot;??_);_(@_)">
                  <c:v>121.2046294499584</c:v>
                </c:pt>
                <c:pt idx="136" formatCode="_(* #,##0.00_);_(* \(#,##0.00\);_(* &quot;-&quot;??_);_(@_)">
                  <c:v>121.2046294499584</c:v>
                </c:pt>
                <c:pt idx="137" formatCode="_(* #,##0.00_);_(* \(#,##0.00\);_(* &quot;-&quot;??_);_(@_)">
                  <c:v>121.2046294499584</c:v>
                </c:pt>
                <c:pt idx="138" formatCode="_(* #,##0.00_);_(* \(#,##0.00\);_(* &quot;-&quot;??_);_(@_)">
                  <c:v>121.2046294499584</c:v>
                </c:pt>
                <c:pt idx="139" formatCode="_(* #,##0.00_);_(* \(#,##0.00\);_(* &quot;-&quot;??_);_(@_)">
                  <c:v>121.2046294499584</c:v>
                </c:pt>
                <c:pt idx="140" formatCode="_(* #,##0.00_);_(* \(#,##0.00\);_(* &quot;-&quot;??_);_(@_)">
                  <c:v>121.2046294499584</c:v>
                </c:pt>
                <c:pt idx="141" formatCode="_(* #,##0.00_);_(* \(#,##0.00\);_(* &quot;-&quot;??_);_(@_)">
                  <c:v>121.2046294499584</c:v>
                </c:pt>
                <c:pt idx="142" formatCode="_(* #,##0.00_);_(* \(#,##0.00\);_(* &quot;-&quot;??_);_(@_)">
                  <c:v>121.2046294499584</c:v>
                </c:pt>
                <c:pt idx="143" formatCode="_(* #,##0.00_);_(* \(#,##0.00\);_(* &quot;-&quot;??_);_(@_)">
                  <c:v>121.2046294499584</c:v>
                </c:pt>
                <c:pt idx="144" formatCode="_(* #,##0.00_);_(* \(#,##0.00\);_(* &quot;-&quot;??_);_(@_)">
                  <c:v>121.2046294499584</c:v>
                </c:pt>
                <c:pt idx="145" formatCode="_(* #,##0.00_);_(* \(#,##0.00\);_(* &quot;-&quot;??_);_(@_)">
                  <c:v>121.2046294499584</c:v>
                </c:pt>
                <c:pt idx="146" formatCode="_(* #,##0.00_);_(* \(#,##0.00\);_(* &quot;-&quot;??_);_(@_)">
                  <c:v>121.2046294499584</c:v>
                </c:pt>
                <c:pt idx="147" formatCode="_(* #,##0.00_);_(* \(#,##0.00\);_(* &quot;-&quot;??_);_(@_)">
                  <c:v>121.2046294499584</c:v>
                </c:pt>
                <c:pt idx="148" formatCode="_(* #,##0.00_);_(* \(#,##0.00\);_(* &quot;-&quot;??_);_(@_)">
                  <c:v>121.2046294499584</c:v>
                </c:pt>
                <c:pt idx="149" formatCode="_(* #,##0.00_);_(* \(#,##0.00\);_(* &quot;-&quot;??_);_(@_)">
                  <c:v>121.2046294499584</c:v>
                </c:pt>
                <c:pt idx="150" formatCode="_(* #,##0.00_);_(* \(#,##0.00\);_(* &quot;-&quot;??_);_(@_)">
                  <c:v>121.2046294499584</c:v>
                </c:pt>
                <c:pt idx="151" formatCode="_(* #,##0.00_);_(* \(#,##0.00\);_(* &quot;-&quot;??_);_(@_)">
                  <c:v>121.2046294499584</c:v>
                </c:pt>
                <c:pt idx="152" formatCode="_(* #,##0.00_);_(* \(#,##0.00\);_(* &quot;-&quot;??_);_(@_)">
                  <c:v>121.2046294499584</c:v>
                </c:pt>
                <c:pt idx="153" formatCode="_(* #,##0.00_);_(* \(#,##0.00\);_(* &quot;-&quot;??_);_(@_)">
                  <c:v>121.2046294499584</c:v>
                </c:pt>
                <c:pt idx="154" formatCode="_(* #,##0.00_);_(* \(#,##0.00\);_(* &quot;-&quot;??_);_(@_)">
                  <c:v>121.2046294499584</c:v>
                </c:pt>
                <c:pt idx="155" formatCode="_(* #,##0.00_);_(* \(#,##0.00\);_(* &quot;-&quot;??_);_(@_)">
                  <c:v>121.2046294499584</c:v>
                </c:pt>
              </c:numCache>
            </c:numRef>
          </c:val>
          <c:extLst>
            <c:ext xmlns:c16="http://schemas.microsoft.com/office/drawing/2014/chart" uri="{C3380CC4-5D6E-409C-BE32-E72D297353CC}">
              <c16:uniqueId val="{00000003-E298-4778-97D0-D71E11E49940}"/>
            </c:ext>
          </c:extLst>
        </c:ser>
        <c:ser>
          <c:idx val="5"/>
          <c:order val="5"/>
          <c:tx>
            <c:strRef>
              <c:f>'Cement Cost Model-Indonesia'!$S$189</c:f>
              <c:strCache>
                <c:ptCount val="1"/>
                <c:pt idx="0">
                  <c:v>Alternative Fuels: H2 Injection (including RE and Electrolyzer CAPEX)</c:v>
                </c:pt>
              </c:strCache>
            </c:strRef>
          </c:tx>
          <c:spPr>
            <a:solidFill>
              <a:schemeClr val="accent6"/>
            </a:solidFill>
            <a:ln>
              <a:noFill/>
            </a:ln>
            <a:effectLst/>
          </c:spPr>
          <c:invertIfNegative val="0"/>
          <c:cat>
            <c:numRef>
              <c:f>'Cement Cost Model-Indonesia'!$N$190:$N$509</c:f>
              <c:numCache>
                <c:formatCode>General</c:formatCode>
                <c:ptCount val="3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numCache>
            </c:numRef>
          </c:cat>
          <c:val>
            <c:numRef>
              <c:f>'Cement Cost Model-Indonesia'!$S$190:$S$557</c:f>
              <c:numCache>
                <c:formatCode>General</c:formatCode>
                <c:ptCount val="368"/>
                <c:pt idx="156" formatCode="_(* #,##0.00_);_(* \(#,##0.00\);_(* &quot;-&quot;??_);_(@_)">
                  <c:v>0</c:v>
                </c:pt>
                <c:pt idx="157" formatCode="_(* #,##0.00_);_(* \(#,##0.00\);_(* &quot;-&quot;??_);_(@_)">
                  <c:v>0</c:v>
                </c:pt>
                <c:pt idx="158" formatCode="_(* #,##0.00_);_(* \(#,##0.00\);_(* &quot;-&quot;??_);_(@_)">
                  <c:v>0</c:v>
                </c:pt>
                <c:pt idx="159" formatCode="_(* #,##0.00_);_(* \(#,##0.00\);_(* &quot;-&quot;??_);_(@_)">
                  <c:v>0</c:v>
                </c:pt>
                <c:pt idx="160" formatCode="_(* #,##0.00_);_(* \(#,##0.00\);_(* &quot;-&quot;??_);_(@_)">
                  <c:v>0</c:v>
                </c:pt>
                <c:pt idx="161" formatCode="_(* #,##0.00_);_(* \(#,##0.00\);_(* &quot;-&quot;??_);_(@_)">
                  <c:v>0</c:v>
                </c:pt>
                <c:pt idx="162" formatCode="_(* #,##0.00_);_(* \(#,##0.00\);_(* &quot;-&quot;??_);_(@_)">
                  <c:v>0</c:v>
                </c:pt>
                <c:pt idx="163" formatCode="_(* #,##0.00_);_(* \(#,##0.00\);_(* &quot;-&quot;??_);_(@_)">
                  <c:v>0</c:v>
                </c:pt>
                <c:pt idx="164" formatCode="_(* #,##0.00_);_(* \(#,##0.00\);_(* &quot;-&quot;??_);_(@_)">
                  <c:v>0</c:v>
                </c:pt>
                <c:pt idx="165" formatCode="_(* #,##0.00_);_(* \(#,##0.00\);_(* &quot;-&quot;??_);_(@_)">
                  <c:v>0</c:v>
                </c:pt>
                <c:pt idx="166" formatCode="_(* #,##0.00_);_(* \(#,##0.00\);_(* &quot;-&quot;??_);_(@_)">
                  <c:v>0</c:v>
                </c:pt>
                <c:pt idx="167" formatCode="_(* #,##0.00_);_(* \(#,##0.00\);_(* &quot;-&quot;??_);_(@_)">
                  <c:v>0</c:v>
                </c:pt>
                <c:pt idx="168" formatCode="_(* #,##0.00_);_(* \(#,##0.00\);_(* &quot;-&quot;??_);_(@_)">
                  <c:v>0</c:v>
                </c:pt>
                <c:pt idx="169" formatCode="_(* #,##0.00_);_(* \(#,##0.00\);_(* &quot;-&quot;??_);_(@_)">
                  <c:v>0</c:v>
                </c:pt>
                <c:pt idx="170" formatCode="_(* #,##0.00_);_(* \(#,##0.00\);_(* &quot;-&quot;??_);_(@_)">
                  <c:v>0</c:v>
                </c:pt>
                <c:pt idx="171" formatCode="_(* #,##0.00_);_(* \(#,##0.00\);_(* &quot;-&quot;??_);_(@_)">
                  <c:v>0</c:v>
                </c:pt>
                <c:pt idx="172" formatCode="_(* #,##0.00_);_(* \(#,##0.00\);_(* &quot;-&quot;??_);_(@_)">
                  <c:v>0</c:v>
                </c:pt>
                <c:pt idx="173" formatCode="_(* #,##0.00_);_(* \(#,##0.00\);_(* &quot;-&quot;??_);_(@_)">
                  <c:v>0</c:v>
                </c:pt>
                <c:pt idx="174" formatCode="_(* #,##0.00_);_(* \(#,##0.00\);_(* &quot;-&quot;??_);_(@_)">
                  <c:v>0</c:v>
                </c:pt>
                <c:pt idx="175" formatCode="_(* #,##0.00_);_(* \(#,##0.00\);_(* &quot;-&quot;??_);_(@_)">
                  <c:v>0</c:v>
                </c:pt>
                <c:pt idx="176" formatCode="_(* #,##0.00_);_(* \(#,##0.00\);_(* &quot;-&quot;??_);_(@_)">
                  <c:v>0</c:v>
                </c:pt>
                <c:pt idx="177" formatCode="_(* #,##0.00_);_(* \(#,##0.00\);_(* &quot;-&quot;??_);_(@_)">
                  <c:v>0</c:v>
                </c:pt>
                <c:pt idx="178" formatCode="_(* #,##0.00_);_(* \(#,##0.00\);_(* &quot;-&quot;??_);_(@_)">
                  <c:v>0</c:v>
                </c:pt>
                <c:pt idx="179" formatCode="_(* #,##0.00_);_(* \(#,##0.00\);_(* &quot;-&quot;??_);_(@_)">
                  <c:v>0</c:v>
                </c:pt>
                <c:pt idx="180" formatCode="_(* #,##0.00_);_(* \(#,##0.00\);_(* &quot;-&quot;??_);_(@_)">
                  <c:v>0</c:v>
                </c:pt>
                <c:pt idx="181" formatCode="_(* #,##0.00_);_(* \(#,##0.00\);_(* &quot;-&quot;??_);_(@_)">
                  <c:v>0</c:v>
                </c:pt>
                <c:pt idx="182" formatCode="_(* #,##0.00_);_(* \(#,##0.00\);_(* &quot;-&quot;??_);_(@_)">
                  <c:v>0</c:v>
                </c:pt>
                <c:pt idx="183" formatCode="_(* #,##0.00_);_(* \(#,##0.00\);_(* &quot;-&quot;??_);_(@_)">
                  <c:v>0</c:v>
                </c:pt>
                <c:pt idx="184" formatCode="_(* #,##0.00_);_(* \(#,##0.00\);_(* &quot;-&quot;??_);_(@_)">
                  <c:v>0</c:v>
                </c:pt>
                <c:pt idx="185" formatCode="_(* #,##0.00_);_(* \(#,##0.00\);_(* &quot;-&quot;??_);_(@_)">
                  <c:v>0</c:v>
                </c:pt>
                <c:pt idx="186" formatCode="_(* #,##0.00_);_(* \(#,##0.00\);_(* &quot;-&quot;??_);_(@_)">
                  <c:v>0</c:v>
                </c:pt>
                <c:pt idx="187" formatCode="_(* #,##0.00_);_(* \(#,##0.00\);_(* &quot;-&quot;??_);_(@_)">
                  <c:v>0</c:v>
                </c:pt>
                <c:pt idx="188" formatCode="_(* #,##0.00_);_(* \(#,##0.00\);_(* &quot;-&quot;??_);_(@_)">
                  <c:v>0</c:v>
                </c:pt>
                <c:pt idx="189" formatCode="_(* #,##0.00_);_(* \(#,##0.00\);_(* &quot;-&quot;??_);_(@_)">
                  <c:v>0</c:v>
                </c:pt>
                <c:pt idx="190" formatCode="_(* #,##0.00_);_(* \(#,##0.00\);_(* &quot;-&quot;??_);_(@_)">
                  <c:v>0</c:v>
                </c:pt>
                <c:pt idx="191" formatCode="_(* #,##0.00_);_(* \(#,##0.00\);_(* &quot;-&quot;??_);_(@_)">
                  <c:v>0</c:v>
                </c:pt>
                <c:pt idx="192" formatCode="_(* #,##0.00_);_(* \(#,##0.00\);_(* &quot;-&quot;??_);_(@_)">
                  <c:v>0</c:v>
                </c:pt>
                <c:pt idx="193" formatCode="_(* #,##0.00_);_(* \(#,##0.00\);_(* &quot;-&quot;??_);_(@_)">
                  <c:v>0</c:v>
                </c:pt>
                <c:pt idx="194" formatCode="_(* #,##0.00_);_(* \(#,##0.00\);_(* &quot;-&quot;??_);_(@_)">
                  <c:v>0</c:v>
                </c:pt>
                <c:pt idx="195" formatCode="_(* #,##0.00_);_(* \(#,##0.00\);_(* &quot;-&quot;??_);_(@_)">
                  <c:v>0</c:v>
                </c:pt>
                <c:pt idx="196" formatCode="_(* #,##0.00_);_(* \(#,##0.00\);_(* &quot;-&quot;??_);_(@_)">
                  <c:v>0</c:v>
                </c:pt>
                <c:pt idx="197" formatCode="_(* #,##0.00_);_(* \(#,##0.00\);_(* &quot;-&quot;??_);_(@_)">
                  <c:v>0</c:v>
                </c:pt>
                <c:pt idx="198" formatCode="_(* #,##0.00_);_(* \(#,##0.00\);_(* &quot;-&quot;??_);_(@_)">
                  <c:v>0</c:v>
                </c:pt>
                <c:pt idx="199" formatCode="_(* #,##0.00_);_(* \(#,##0.00\);_(* &quot;-&quot;??_);_(@_)">
                  <c:v>0</c:v>
                </c:pt>
                <c:pt idx="200" formatCode="_(* #,##0.00_);_(* \(#,##0.00\);_(* &quot;-&quot;??_);_(@_)">
                  <c:v>0</c:v>
                </c:pt>
                <c:pt idx="201" formatCode="_(* #,##0.00_);_(* \(#,##0.00\);_(* &quot;-&quot;??_);_(@_)">
                  <c:v>0</c:v>
                </c:pt>
                <c:pt idx="202" formatCode="_(* #,##0.00_);_(* \(#,##0.00\);_(* &quot;-&quot;??_);_(@_)">
                  <c:v>0</c:v>
                </c:pt>
                <c:pt idx="203" formatCode="_(* #,##0.00_);_(* \(#,##0.00\);_(* &quot;-&quot;??_);_(@_)">
                  <c:v>0</c:v>
                </c:pt>
              </c:numCache>
            </c:numRef>
          </c:val>
          <c:extLst>
            <c:ext xmlns:c16="http://schemas.microsoft.com/office/drawing/2014/chart" uri="{C3380CC4-5D6E-409C-BE32-E72D297353CC}">
              <c16:uniqueId val="{00000004-E298-4778-97D0-D71E11E49940}"/>
            </c:ext>
          </c:extLst>
        </c:ser>
        <c:ser>
          <c:idx val="6"/>
          <c:order val="6"/>
          <c:tx>
            <c:strRef>
              <c:f>'Cement Cost Model-Indonesia'!$T$189</c:f>
              <c:strCache>
                <c:ptCount val="1"/>
                <c:pt idx="0">
                  <c:v>CCS</c:v>
                </c:pt>
              </c:strCache>
            </c:strRef>
          </c:tx>
          <c:spPr>
            <a:solidFill>
              <a:srgbClr val="0D3A4E"/>
            </a:solidFill>
            <a:ln>
              <a:noFill/>
            </a:ln>
            <a:effectLst/>
          </c:spPr>
          <c:invertIfNegative val="0"/>
          <c:cat>
            <c:numRef>
              <c:f>'Cement Cost Model-Indonesia'!$N$190:$N$509</c:f>
              <c:numCache>
                <c:formatCode>General</c:formatCode>
                <c:ptCount val="3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numCache>
            </c:numRef>
          </c:cat>
          <c:val>
            <c:numRef>
              <c:f>'Cement Cost Model-Indonesia'!$T$190:$T$557</c:f>
              <c:numCache>
                <c:formatCode>General</c:formatCode>
                <c:ptCount val="368"/>
                <c:pt idx="204" formatCode="_(* #,##0.00_);_(* \(#,##0.00\);_(* &quot;-&quot;??_);_(@_)">
                  <c:v>0</c:v>
                </c:pt>
                <c:pt idx="205" formatCode="_(* #,##0.00_);_(* \(#,##0.00\);_(* &quot;-&quot;??_);_(@_)">
                  <c:v>0</c:v>
                </c:pt>
                <c:pt idx="206" formatCode="_(* #,##0.00_);_(* \(#,##0.00\);_(* &quot;-&quot;??_);_(@_)">
                  <c:v>0</c:v>
                </c:pt>
                <c:pt idx="207" formatCode="_(* #,##0.00_);_(* \(#,##0.00\);_(* &quot;-&quot;??_);_(@_)">
                  <c:v>0</c:v>
                </c:pt>
                <c:pt idx="208" formatCode="_(* #,##0.00_);_(* \(#,##0.00\);_(* &quot;-&quot;??_);_(@_)">
                  <c:v>0</c:v>
                </c:pt>
                <c:pt idx="209" formatCode="_(* #,##0.00_);_(* \(#,##0.00\);_(* &quot;-&quot;??_);_(@_)">
                  <c:v>0</c:v>
                </c:pt>
                <c:pt idx="210" formatCode="_(* #,##0.00_);_(* \(#,##0.00\);_(* &quot;-&quot;??_);_(@_)">
                  <c:v>0</c:v>
                </c:pt>
                <c:pt idx="211" formatCode="_(* #,##0.00_);_(* \(#,##0.00\);_(* &quot;-&quot;??_);_(@_)">
                  <c:v>0</c:v>
                </c:pt>
                <c:pt idx="212" formatCode="_(* #,##0.00_);_(* \(#,##0.00\);_(* &quot;-&quot;??_);_(@_)">
                  <c:v>0</c:v>
                </c:pt>
                <c:pt idx="213" formatCode="_(* #,##0.00_);_(* \(#,##0.00\);_(* &quot;-&quot;??_);_(@_)">
                  <c:v>0</c:v>
                </c:pt>
                <c:pt idx="214" formatCode="_(* #,##0.00_);_(* \(#,##0.00\);_(* &quot;-&quot;??_);_(@_)">
                  <c:v>0</c:v>
                </c:pt>
                <c:pt idx="215" formatCode="_(* #,##0.00_);_(* \(#,##0.00\);_(* &quot;-&quot;??_);_(@_)">
                  <c:v>0</c:v>
                </c:pt>
                <c:pt idx="216" formatCode="_(* #,##0.00_);_(* \(#,##0.00\);_(* &quot;-&quot;??_);_(@_)">
                  <c:v>0</c:v>
                </c:pt>
                <c:pt idx="217" formatCode="_(* #,##0.00_);_(* \(#,##0.00\);_(* &quot;-&quot;??_);_(@_)">
                  <c:v>0</c:v>
                </c:pt>
                <c:pt idx="218" formatCode="_(* #,##0.00_);_(* \(#,##0.00\);_(* &quot;-&quot;??_);_(@_)">
                  <c:v>0</c:v>
                </c:pt>
                <c:pt idx="219" formatCode="_(* #,##0.00_);_(* \(#,##0.00\);_(* &quot;-&quot;??_);_(@_)">
                  <c:v>0</c:v>
                </c:pt>
                <c:pt idx="220" formatCode="_(* #,##0.00_);_(* \(#,##0.00\);_(* &quot;-&quot;??_);_(@_)">
                  <c:v>0</c:v>
                </c:pt>
                <c:pt idx="221" formatCode="_(* #,##0.00_);_(* \(#,##0.00\);_(* &quot;-&quot;??_);_(@_)">
                  <c:v>0</c:v>
                </c:pt>
                <c:pt idx="222" formatCode="_(* #,##0.00_);_(* \(#,##0.00\);_(* &quot;-&quot;??_);_(@_)">
                  <c:v>0</c:v>
                </c:pt>
                <c:pt idx="223" formatCode="_(* #,##0.00_);_(* \(#,##0.00\);_(* &quot;-&quot;??_);_(@_)">
                  <c:v>0</c:v>
                </c:pt>
                <c:pt idx="224" formatCode="_(* #,##0.00_);_(* \(#,##0.00\);_(* &quot;-&quot;??_);_(@_)">
                  <c:v>0</c:v>
                </c:pt>
                <c:pt idx="225" formatCode="_(* #,##0.00_);_(* \(#,##0.00\);_(* &quot;-&quot;??_);_(@_)">
                  <c:v>0</c:v>
                </c:pt>
                <c:pt idx="226" formatCode="_(* #,##0.00_);_(* \(#,##0.00\);_(* &quot;-&quot;??_);_(@_)">
                  <c:v>0</c:v>
                </c:pt>
                <c:pt idx="227" formatCode="_(* #,##0.00_);_(* \(#,##0.00\);_(* &quot;-&quot;??_);_(@_)">
                  <c:v>0</c:v>
                </c:pt>
                <c:pt idx="228" formatCode="_(* #,##0.00_);_(* \(#,##0.00\);_(* &quot;-&quot;??_);_(@_)">
                  <c:v>0</c:v>
                </c:pt>
                <c:pt idx="229" formatCode="_(* #,##0.00_);_(* \(#,##0.00\);_(* &quot;-&quot;??_);_(@_)">
                  <c:v>0</c:v>
                </c:pt>
                <c:pt idx="230" formatCode="_(* #,##0.00_);_(* \(#,##0.00\);_(* &quot;-&quot;??_);_(@_)">
                  <c:v>0</c:v>
                </c:pt>
                <c:pt idx="231" formatCode="_(* #,##0.00_);_(* \(#,##0.00\);_(* &quot;-&quot;??_);_(@_)">
                  <c:v>0</c:v>
                </c:pt>
                <c:pt idx="232" formatCode="_(* #,##0.00_);_(* \(#,##0.00\);_(* &quot;-&quot;??_);_(@_)">
                  <c:v>0</c:v>
                </c:pt>
                <c:pt idx="233" formatCode="_(* #,##0.00_);_(* \(#,##0.00\);_(* &quot;-&quot;??_);_(@_)">
                  <c:v>0</c:v>
                </c:pt>
                <c:pt idx="234" formatCode="_(* #,##0.00_);_(* \(#,##0.00\);_(* &quot;-&quot;??_);_(@_)">
                  <c:v>0</c:v>
                </c:pt>
                <c:pt idx="235" formatCode="_(* #,##0.00_);_(* \(#,##0.00\);_(* &quot;-&quot;??_);_(@_)">
                  <c:v>0</c:v>
                </c:pt>
                <c:pt idx="236" formatCode="_(* #,##0.00_);_(* \(#,##0.00\);_(* &quot;-&quot;??_);_(@_)">
                  <c:v>0</c:v>
                </c:pt>
                <c:pt idx="237" formatCode="_(* #,##0.00_);_(* \(#,##0.00\);_(* &quot;-&quot;??_);_(@_)">
                  <c:v>0</c:v>
                </c:pt>
                <c:pt idx="238" formatCode="_(* #,##0.00_);_(* \(#,##0.00\);_(* &quot;-&quot;??_);_(@_)">
                  <c:v>0</c:v>
                </c:pt>
                <c:pt idx="239" formatCode="_(* #,##0.00_);_(* \(#,##0.00\);_(* &quot;-&quot;??_);_(@_)">
                  <c:v>0</c:v>
                </c:pt>
                <c:pt idx="240" formatCode="_(* #,##0.00_);_(* \(#,##0.00\);_(* &quot;-&quot;??_);_(@_)">
                  <c:v>0</c:v>
                </c:pt>
                <c:pt idx="241" formatCode="_(* #,##0.00_);_(* \(#,##0.00\);_(* &quot;-&quot;??_);_(@_)">
                  <c:v>0</c:v>
                </c:pt>
                <c:pt idx="242" formatCode="_(* #,##0.00_);_(* \(#,##0.00\);_(* &quot;-&quot;??_);_(@_)">
                  <c:v>0</c:v>
                </c:pt>
                <c:pt idx="243" formatCode="_(* #,##0.00_);_(* \(#,##0.00\);_(* &quot;-&quot;??_);_(@_)">
                  <c:v>0</c:v>
                </c:pt>
                <c:pt idx="244" formatCode="_(* #,##0.00_);_(* \(#,##0.00\);_(* &quot;-&quot;??_);_(@_)">
                  <c:v>0</c:v>
                </c:pt>
                <c:pt idx="245" formatCode="_(* #,##0.00_);_(* \(#,##0.00\);_(* &quot;-&quot;??_);_(@_)">
                  <c:v>0</c:v>
                </c:pt>
                <c:pt idx="246" formatCode="_(* #,##0.00_);_(* \(#,##0.00\);_(* &quot;-&quot;??_);_(@_)">
                  <c:v>0</c:v>
                </c:pt>
                <c:pt idx="247" formatCode="_(* #,##0.00_);_(* \(#,##0.00\);_(* &quot;-&quot;??_);_(@_)">
                  <c:v>0</c:v>
                </c:pt>
                <c:pt idx="248" formatCode="_(* #,##0.00_);_(* \(#,##0.00\);_(* &quot;-&quot;??_);_(@_)">
                  <c:v>0</c:v>
                </c:pt>
                <c:pt idx="249" formatCode="_(* #,##0.00_);_(* \(#,##0.00\);_(* &quot;-&quot;??_);_(@_)">
                  <c:v>0</c:v>
                </c:pt>
                <c:pt idx="250" formatCode="_(* #,##0.00_);_(* \(#,##0.00\);_(* &quot;-&quot;??_);_(@_)">
                  <c:v>0</c:v>
                </c:pt>
                <c:pt idx="251" formatCode="_(* #,##0.00_);_(* \(#,##0.00\);_(* &quot;-&quot;??_);_(@_)">
                  <c:v>0</c:v>
                </c:pt>
                <c:pt idx="252" formatCode="_(* #,##0.00_);_(* \(#,##0.00\);_(* &quot;-&quot;??_);_(@_)">
                  <c:v>0</c:v>
                </c:pt>
                <c:pt idx="253" formatCode="_(* #,##0.00_);_(* \(#,##0.00\);_(* &quot;-&quot;??_);_(@_)">
                  <c:v>0</c:v>
                </c:pt>
                <c:pt idx="254" formatCode="_(* #,##0.00_);_(* \(#,##0.00\);_(* &quot;-&quot;??_);_(@_)">
                  <c:v>0</c:v>
                </c:pt>
                <c:pt idx="255" formatCode="_(* #,##0.00_);_(* \(#,##0.00\);_(* &quot;-&quot;??_);_(@_)">
                  <c:v>0</c:v>
                </c:pt>
                <c:pt idx="256" formatCode="_(* #,##0.00_);_(* \(#,##0.00\);_(* &quot;-&quot;??_);_(@_)">
                  <c:v>0</c:v>
                </c:pt>
                <c:pt idx="257" formatCode="_(* #,##0.00_);_(* \(#,##0.00\);_(* &quot;-&quot;??_);_(@_)">
                  <c:v>0</c:v>
                </c:pt>
                <c:pt idx="258" formatCode="_(* #,##0.00_);_(* \(#,##0.00\);_(* &quot;-&quot;??_);_(@_)">
                  <c:v>0</c:v>
                </c:pt>
                <c:pt idx="259" formatCode="_(* #,##0.00_);_(* \(#,##0.00\);_(* &quot;-&quot;??_);_(@_)">
                  <c:v>0</c:v>
                </c:pt>
                <c:pt idx="260" formatCode="_(* #,##0.00_);_(* \(#,##0.00\);_(* &quot;-&quot;??_);_(@_)">
                  <c:v>0</c:v>
                </c:pt>
                <c:pt idx="261" formatCode="_(* #,##0.00_);_(* \(#,##0.00\);_(* &quot;-&quot;??_);_(@_)">
                  <c:v>0</c:v>
                </c:pt>
                <c:pt idx="262" formatCode="_(* #,##0.00_);_(* \(#,##0.00\);_(* &quot;-&quot;??_);_(@_)">
                  <c:v>0</c:v>
                </c:pt>
                <c:pt idx="263" formatCode="_(* #,##0.00_);_(* \(#,##0.00\);_(* &quot;-&quot;??_);_(@_)">
                  <c:v>0</c:v>
                </c:pt>
                <c:pt idx="264" formatCode="_(* #,##0.00_);_(* \(#,##0.00\);_(* &quot;-&quot;??_);_(@_)">
                  <c:v>0</c:v>
                </c:pt>
                <c:pt idx="265" formatCode="_(* #,##0.00_);_(* \(#,##0.00\);_(* &quot;-&quot;??_);_(@_)">
                  <c:v>0</c:v>
                </c:pt>
                <c:pt idx="266" formatCode="_(* #,##0.00_);_(* \(#,##0.00\);_(* &quot;-&quot;??_);_(@_)">
                  <c:v>0</c:v>
                </c:pt>
                <c:pt idx="267" formatCode="_(* #,##0.00_);_(* \(#,##0.00\);_(* &quot;-&quot;??_);_(@_)">
                  <c:v>0</c:v>
                </c:pt>
                <c:pt idx="268" formatCode="_(* #,##0.00_);_(* \(#,##0.00\);_(* &quot;-&quot;??_);_(@_)">
                  <c:v>0</c:v>
                </c:pt>
                <c:pt idx="269" formatCode="_(* #,##0.00_);_(* \(#,##0.00\);_(* &quot;-&quot;??_);_(@_)">
                  <c:v>0</c:v>
                </c:pt>
                <c:pt idx="270" formatCode="_(* #,##0.00_);_(* \(#,##0.00\);_(* &quot;-&quot;??_);_(@_)">
                  <c:v>0</c:v>
                </c:pt>
                <c:pt idx="271" formatCode="_(* #,##0.00_);_(* \(#,##0.00\);_(* &quot;-&quot;??_);_(@_)">
                  <c:v>0</c:v>
                </c:pt>
                <c:pt idx="272" formatCode="_(* #,##0.00_);_(* \(#,##0.00\);_(* &quot;-&quot;??_);_(@_)">
                  <c:v>0</c:v>
                </c:pt>
                <c:pt idx="273" formatCode="_(* #,##0.00_);_(* \(#,##0.00\);_(* &quot;-&quot;??_);_(@_)">
                  <c:v>0</c:v>
                </c:pt>
                <c:pt idx="274" formatCode="_(* #,##0.00_);_(* \(#,##0.00\);_(* &quot;-&quot;??_);_(@_)">
                  <c:v>0</c:v>
                </c:pt>
                <c:pt idx="275" formatCode="_(* #,##0.00_);_(* \(#,##0.00\);_(* &quot;-&quot;??_);_(@_)">
                  <c:v>0</c:v>
                </c:pt>
                <c:pt idx="276" formatCode="_(* #,##0.00_);_(* \(#,##0.00\);_(* &quot;-&quot;??_);_(@_)">
                  <c:v>0</c:v>
                </c:pt>
                <c:pt idx="277" formatCode="_(* #,##0.00_);_(* \(#,##0.00\);_(* &quot;-&quot;??_);_(@_)">
                  <c:v>0</c:v>
                </c:pt>
                <c:pt idx="278" formatCode="_(* #,##0.00_);_(* \(#,##0.00\);_(* &quot;-&quot;??_);_(@_)">
                  <c:v>0</c:v>
                </c:pt>
                <c:pt idx="279" formatCode="_(* #,##0.00_);_(* \(#,##0.00\);_(* &quot;-&quot;??_);_(@_)">
                  <c:v>0</c:v>
                </c:pt>
                <c:pt idx="280" formatCode="_(* #,##0.00_);_(* \(#,##0.00\);_(* &quot;-&quot;??_);_(@_)">
                  <c:v>0</c:v>
                </c:pt>
                <c:pt idx="281" formatCode="_(* #,##0.00_);_(* \(#,##0.00\);_(* &quot;-&quot;??_);_(@_)">
                  <c:v>0</c:v>
                </c:pt>
                <c:pt idx="282" formatCode="_(* #,##0.00_);_(* \(#,##0.00\);_(* &quot;-&quot;??_);_(@_)">
                  <c:v>0</c:v>
                </c:pt>
                <c:pt idx="283" formatCode="_(* #,##0.00_);_(* \(#,##0.00\);_(* &quot;-&quot;??_);_(@_)">
                  <c:v>0</c:v>
                </c:pt>
                <c:pt idx="284" formatCode="_(* #,##0.00_);_(* \(#,##0.00\);_(* &quot;-&quot;??_);_(@_)">
                  <c:v>0</c:v>
                </c:pt>
                <c:pt idx="285" formatCode="_(* #,##0.00_);_(* \(#,##0.00\);_(* &quot;-&quot;??_);_(@_)">
                  <c:v>0</c:v>
                </c:pt>
                <c:pt idx="286" formatCode="_(* #,##0.00_);_(* \(#,##0.00\);_(* &quot;-&quot;??_);_(@_)">
                  <c:v>0</c:v>
                </c:pt>
                <c:pt idx="287" formatCode="_(* #,##0.00_);_(* \(#,##0.00\);_(* &quot;-&quot;??_);_(@_)">
                  <c:v>0</c:v>
                </c:pt>
                <c:pt idx="288" formatCode="_(* #,##0.00_);_(* \(#,##0.00\);_(* &quot;-&quot;??_);_(@_)">
                  <c:v>0</c:v>
                </c:pt>
                <c:pt idx="289" formatCode="_(* #,##0.00_);_(* \(#,##0.00\);_(* &quot;-&quot;??_);_(@_)">
                  <c:v>0</c:v>
                </c:pt>
                <c:pt idx="290" formatCode="_(* #,##0.00_);_(* \(#,##0.00\);_(* &quot;-&quot;??_);_(@_)">
                  <c:v>0</c:v>
                </c:pt>
                <c:pt idx="291" formatCode="_(* #,##0.00_);_(* \(#,##0.00\);_(* &quot;-&quot;??_);_(@_)">
                  <c:v>0</c:v>
                </c:pt>
                <c:pt idx="292" formatCode="_(* #,##0.00_);_(* \(#,##0.00\);_(* &quot;-&quot;??_);_(@_)">
                  <c:v>0</c:v>
                </c:pt>
                <c:pt idx="293" formatCode="_(* #,##0.00_);_(* \(#,##0.00\);_(* &quot;-&quot;??_);_(@_)">
                  <c:v>0</c:v>
                </c:pt>
                <c:pt idx="294" formatCode="_(* #,##0.00_);_(* \(#,##0.00\);_(* &quot;-&quot;??_);_(@_)">
                  <c:v>0</c:v>
                </c:pt>
                <c:pt idx="295" formatCode="_(* #,##0.00_);_(* \(#,##0.00\);_(* &quot;-&quot;??_);_(@_)">
                  <c:v>0</c:v>
                </c:pt>
                <c:pt idx="296" formatCode="_(* #,##0.00_);_(* \(#,##0.00\);_(* &quot;-&quot;??_);_(@_)">
                  <c:v>0</c:v>
                </c:pt>
                <c:pt idx="297" formatCode="_(* #,##0.00_);_(* \(#,##0.00\);_(* &quot;-&quot;??_);_(@_)">
                  <c:v>0</c:v>
                </c:pt>
                <c:pt idx="298" formatCode="_(* #,##0.00_);_(* \(#,##0.00\);_(* &quot;-&quot;??_);_(@_)">
                  <c:v>0</c:v>
                </c:pt>
                <c:pt idx="299" formatCode="_(* #,##0.00_);_(* \(#,##0.00\);_(* &quot;-&quot;??_);_(@_)">
                  <c:v>0</c:v>
                </c:pt>
                <c:pt idx="300" formatCode="_(* #,##0.00_);_(* \(#,##0.00\);_(* &quot;-&quot;??_);_(@_)">
                  <c:v>0</c:v>
                </c:pt>
                <c:pt idx="301" formatCode="_(* #,##0.00_);_(* \(#,##0.00\);_(* &quot;-&quot;??_);_(@_)">
                  <c:v>0</c:v>
                </c:pt>
                <c:pt idx="302" formatCode="_(* #,##0.00_);_(* \(#,##0.00\);_(* &quot;-&quot;??_);_(@_)">
                  <c:v>0</c:v>
                </c:pt>
                <c:pt idx="303" formatCode="_(* #,##0.00_);_(* \(#,##0.00\);_(* &quot;-&quot;??_);_(@_)">
                  <c:v>0</c:v>
                </c:pt>
                <c:pt idx="304" formatCode="_(* #,##0.00_);_(* \(#,##0.00\);_(* &quot;-&quot;??_);_(@_)">
                  <c:v>0</c:v>
                </c:pt>
                <c:pt idx="305" formatCode="_(* #,##0.00_);_(* \(#,##0.00\);_(* &quot;-&quot;??_);_(@_)">
                  <c:v>0</c:v>
                </c:pt>
                <c:pt idx="306" formatCode="_(* #,##0.00_);_(* \(#,##0.00\);_(* &quot;-&quot;??_);_(@_)">
                  <c:v>0</c:v>
                </c:pt>
                <c:pt idx="307" formatCode="_(* #,##0.00_);_(* \(#,##0.00\);_(* &quot;-&quot;??_);_(@_)">
                  <c:v>0</c:v>
                </c:pt>
                <c:pt idx="308" formatCode="_(* #,##0.00_);_(* \(#,##0.00\);_(* &quot;-&quot;??_);_(@_)">
                  <c:v>0</c:v>
                </c:pt>
                <c:pt idx="309" formatCode="_(* #,##0.00_);_(* \(#,##0.00\);_(* &quot;-&quot;??_);_(@_)">
                  <c:v>0</c:v>
                </c:pt>
                <c:pt idx="310" formatCode="_(* #,##0.00_);_(* \(#,##0.00\);_(* &quot;-&quot;??_);_(@_)">
                  <c:v>0</c:v>
                </c:pt>
                <c:pt idx="311" formatCode="_(* #,##0.00_);_(* \(#,##0.00\);_(* &quot;-&quot;??_);_(@_)">
                  <c:v>0</c:v>
                </c:pt>
                <c:pt idx="312" formatCode="_(* #,##0.00_);_(* \(#,##0.00\);_(* &quot;-&quot;??_);_(@_)">
                  <c:v>0</c:v>
                </c:pt>
                <c:pt idx="313" formatCode="_(* #,##0.00_);_(* \(#,##0.00\);_(* &quot;-&quot;??_);_(@_)">
                  <c:v>0</c:v>
                </c:pt>
                <c:pt idx="314" formatCode="_(* #,##0.00_);_(* \(#,##0.00\);_(* &quot;-&quot;??_);_(@_)">
                  <c:v>0</c:v>
                </c:pt>
                <c:pt idx="315" formatCode="_(* #,##0.00_);_(* \(#,##0.00\);_(* &quot;-&quot;??_);_(@_)">
                  <c:v>0</c:v>
                </c:pt>
                <c:pt idx="316" formatCode="_(* #,##0.00_);_(* \(#,##0.00\);_(* &quot;-&quot;??_);_(@_)">
                  <c:v>0</c:v>
                </c:pt>
                <c:pt idx="317" formatCode="_(* #,##0.00_);_(* \(#,##0.00\);_(* &quot;-&quot;??_);_(@_)">
                  <c:v>0</c:v>
                </c:pt>
                <c:pt idx="318" formatCode="_(* #,##0.00_);_(* \(#,##0.00\);_(* &quot;-&quot;??_);_(@_)">
                  <c:v>0</c:v>
                </c:pt>
                <c:pt idx="319" formatCode="_(* #,##0.00_);_(* \(#,##0.00\);_(* &quot;-&quot;??_);_(@_)">
                  <c:v>0</c:v>
                </c:pt>
                <c:pt idx="320" formatCode="_(* #,##0.00_);_(* \(#,##0.00\);_(* &quot;-&quot;??_);_(@_)">
                  <c:v>0</c:v>
                </c:pt>
                <c:pt idx="321" formatCode="_(* #,##0.00_);_(* \(#,##0.00\);_(* &quot;-&quot;??_);_(@_)">
                  <c:v>0</c:v>
                </c:pt>
                <c:pt idx="322" formatCode="_(* #,##0.00_);_(* \(#,##0.00\);_(* &quot;-&quot;??_);_(@_)">
                  <c:v>0</c:v>
                </c:pt>
                <c:pt idx="323" formatCode="_(* #,##0.00_);_(* \(#,##0.00\);_(* &quot;-&quot;??_);_(@_)">
                  <c:v>0</c:v>
                </c:pt>
                <c:pt idx="324" formatCode="_(* #,##0.00_);_(* \(#,##0.00\);_(* &quot;-&quot;??_);_(@_)">
                  <c:v>0</c:v>
                </c:pt>
                <c:pt idx="325" formatCode="_(* #,##0.00_);_(* \(#,##0.00\);_(* &quot;-&quot;??_);_(@_)">
                  <c:v>0</c:v>
                </c:pt>
                <c:pt idx="326" formatCode="_(* #,##0.00_);_(* \(#,##0.00\);_(* &quot;-&quot;??_);_(@_)">
                  <c:v>0</c:v>
                </c:pt>
                <c:pt idx="327" formatCode="_(* #,##0.00_);_(* \(#,##0.00\);_(* &quot;-&quot;??_);_(@_)">
                  <c:v>0</c:v>
                </c:pt>
                <c:pt idx="328" formatCode="_(* #,##0.00_);_(* \(#,##0.00\);_(* &quot;-&quot;??_);_(@_)">
                  <c:v>0</c:v>
                </c:pt>
                <c:pt idx="329" formatCode="_(* #,##0.00_);_(* \(#,##0.00\);_(* &quot;-&quot;??_);_(@_)">
                  <c:v>0</c:v>
                </c:pt>
                <c:pt idx="330" formatCode="_(* #,##0.00_);_(* \(#,##0.00\);_(* &quot;-&quot;??_);_(@_)">
                  <c:v>0</c:v>
                </c:pt>
                <c:pt idx="331" formatCode="_(* #,##0.00_);_(* \(#,##0.00\);_(* &quot;-&quot;??_);_(@_)">
                  <c:v>0</c:v>
                </c:pt>
                <c:pt idx="332" formatCode="_(* #,##0.00_);_(* \(#,##0.00\);_(* &quot;-&quot;??_);_(@_)">
                  <c:v>0</c:v>
                </c:pt>
                <c:pt idx="333" formatCode="_(* #,##0.00_);_(* \(#,##0.00\);_(* &quot;-&quot;??_);_(@_)">
                  <c:v>0</c:v>
                </c:pt>
                <c:pt idx="334" formatCode="_(* #,##0.00_);_(* \(#,##0.00\);_(* &quot;-&quot;??_);_(@_)">
                  <c:v>0</c:v>
                </c:pt>
                <c:pt idx="335" formatCode="_(* #,##0.00_);_(* \(#,##0.00\);_(* &quot;-&quot;??_);_(@_)">
                  <c:v>0</c:v>
                </c:pt>
                <c:pt idx="336" formatCode="_(* #,##0.00_);_(* \(#,##0.00\);_(* &quot;-&quot;??_);_(@_)">
                  <c:v>0</c:v>
                </c:pt>
                <c:pt idx="337" formatCode="_(* #,##0.00_);_(* \(#,##0.00\);_(* &quot;-&quot;??_);_(@_)">
                  <c:v>0</c:v>
                </c:pt>
                <c:pt idx="338" formatCode="_(* #,##0.00_);_(* \(#,##0.00\);_(* &quot;-&quot;??_);_(@_)">
                  <c:v>0</c:v>
                </c:pt>
                <c:pt idx="339" formatCode="_(* #,##0.00_);_(* \(#,##0.00\);_(* &quot;-&quot;??_);_(@_)">
                  <c:v>0</c:v>
                </c:pt>
                <c:pt idx="340" formatCode="_(* #,##0.00_);_(* \(#,##0.00\);_(* &quot;-&quot;??_);_(@_)">
                  <c:v>0</c:v>
                </c:pt>
                <c:pt idx="341" formatCode="_(* #,##0.00_);_(* \(#,##0.00\);_(* &quot;-&quot;??_);_(@_)">
                  <c:v>0</c:v>
                </c:pt>
                <c:pt idx="342" formatCode="_(* #,##0.00_);_(* \(#,##0.00\);_(* &quot;-&quot;??_);_(@_)">
                  <c:v>0</c:v>
                </c:pt>
                <c:pt idx="343" formatCode="_(* #,##0.00_);_(* \(#,##0.00\);_(* &quot;-&quot;??_);_(@_)">
                  <c:v>0</c:v>
                </c:pt>
                <c:pt idx="344" formatCode="_(* #,##0.00_);_(* \(#,##0.00\);_(* &quot;-&quot;??_);_(@_)">
                  <c:v>0</c:v>
                </c:pt>
                <c:pt idx="345" formatCode="_(* #,##0.00_);_(* \(#,##0.00\);_(* &quot;-&quot;??_);_(@_)">
                  <c:v>0</c:v>
                </c:pt>
                <c:pt idx="346" formatCode="_(* #,##0.00_);_(* \(#,##0.00\);_(* &quot;-&quot;??_);_(@_)">
                  <c:v>0</c:v>
                </c:pt>
                <c:pt idx="347" formatCode="_(* #,##0.00_);_(* \(#,##0.00\);_(* &quot;-&quot;??_);_(@_)">
                  <c:v>0</c:v>
                </c:pt>
                <c:pt idx="348" formatCode="_(* #,##0.00_);_(* \(#,##0.00\);_(* &quot;-&quot;??_);_(@_)">
                  <c:v>0</c:v>
                </c:pt>
                <c:pt idx="349" formatCode="_(* #,##0.00_);_(* \(#,##0.00\);_(* &quot;-&quot;??_);_(@_)">
                  <c:v>0</c:v>
                </c:pt>
                <c:pt idx="350" formatCode="_(* #,##0.00_);_(* \(#,##0.00\);_(* &quot;-&quot;??_);_(@_)">
                  <c:v>0</c:v>
                </c:pt>
                <c:pt idx="351" formatCode="_(* #,##0.00_);_(* \(#,##0.00\);_(* &quot;-&quot;??_);_(@_)">
                  <c:v>0</c:v>
                </c:pt>
                <c:pt idx="352" formatCode="_(* #,##0.00_);_(* \(#,##0.00\);_(* &quot;-&quot;??_);_(@_)">
                  <c:v>0</c:v>
                </c:pt>
                <c:pt idx="353" formatCode="_(* #,##0.00_);_(* \(#,##0.00\);_(* &quot;-&quot;??_);_(@_)">
                  <c:v>0</c:v>
                </c:pt>
                <c:pt idx="354" formatCode="_(* #,##0.00_);_(* \(#,##0.00\);_(* &quot;-&quot;??_);_(@_)">
                  <c:v>0</c:v>
                </c:pt>
                <c:pt idx="355" formatCode="_(* #,##0.00_);_(* \(#,##0.00\);_(* &quot;-&quot;??_);_(@_)">
                  <c:v>0</c:v>
                </c:pt>
                <c:pt idx="356" formatCode="_(* #,##0.00_);_(* \(#,##0.00\);_(* &quot;-&quot;??_);_(@_)">
                  <c:v>0</c:v>
                </c:pt>
                <c:pt idx="357" formatCode="_(* #,##0.00_);_(* \(#,##0.00\);_(* &quot;-&quot;??_);_(@_)">
                  <c:v>0</c:v>
                </c:pt>
                <c:pt idx="358" formatCode="_(* #,##0.00_);_(* \(#,##0.00\);_(* &quot;-&quot;??_);_(@_)">
                  <c:v>0</c:v>
                </c:pt>
                <c:pt idx="359" formatCode="_(* #,##0.00_);_(* \(#,##0.00\);_(* &quot;-&quot;??_);_(@_)">
                  <c:v>0</c:v>
                </c:pt>
                <c:pt idx="360" formatCode="_(* #,##0.00_);_(* \(#,##0.00\);_(* &quot;-&quot;??_);_(@_)">
                  <c:v>0</c:v>
                </c:pt>
                <c:pt idx="361" formatCode="_(* #,##0.00_);_(* \(#,##0.00\);_(* &quot;-&quot;??_);_(@_)">
                  <c:v>0</c:v>
                </c:pt>
                <c:pt idx="362" formatCode="_(* #,##0.00_);_(* \(#,##0.00\);_(* &quot;-&quot;??_);_(@_)">
                  <c:v>0</c:v>
                </c:pt>
                <c:pt idx="363" formatCode="_(* #,##0.00_);_(* \(#,##0.00\);_(* &quot;-&quot;??_);_(@_)">
                  <c:v>0</c:v>
                </c:pt>
                <c:pt idx="364" formatCode="_(* #,##0.00_);_(* \(#,##0.00\);_(* &quot;-&quot;??_);_(@_)">
                  <c:v>0</c:v>
                </c:pt>
                <c:pt idx="365" formatCode="_(* #,##0.00_);_(* \(#,##0.00\);_(* &quot;-&quot;??_);_(@_)">
                  <c:v>0</c:v>
                </c:pt>
                <c:pt idx="366" formatCode="_(* #,##0.00_);_(* \(#,##0.00\);_(* &quot;-&quot;??_);_(@_)">
                  <c:v>0</c:v>
                </c:pt>
                <c:pt idx="367" formatCode="_(* #,##0.00_);_(* \(#,##0.00\);_(* &quot;-&quot;??_);_(@_)">
                  <c:v>0</c:v>
                </c:pt>
              </c:numCache>
            </c:numRef>
          </c:val>
          <c:extLst>
            <c:ext xmlns:c16="http://schemas.microsoft.com/office/drawing/2014/chart" uri="{C3380CC4-5D6E-409C-BE32-E72D297353CC}">
              <c16:uniqueId val="{00000005-E298-4778-97D0-D71E11E49940}"/>
            </c:ext>
          </c:extLst>
        </c:ser>
        <c:dLbls>
          <c:showLegendKey val="0"/>
          <c:showVal val="0"/>
          <c:showCatName val="0"/>
          <c:showSerName val="0"/>
          <c:showPercent val="0"/>
          <c:showBubbleSize val="0"/>
        </c:dLbls>
        <c:gapWidth val="0"/>
        <c:overlap val="100"/>
        <c:axId val="869380799"/>
        <c:axId val="1244014495"/>
      </c:barChart>
      <c:scatterChart>
        <c:scatterStyle val="lineMarker"/>
        <c:varyColors val="0"/>
        <c:ser>
          <c:idx val="0"/>
          <c:order val="0"/>
          <c:tx>
            <c:strRef>
              <c:f>'Cement Cost Model-Indonesia'!$J$177</c:f>
              <c:strCache>
                <c:ptCount val="1"/>
                <c:pt idx="0">
                  <c:v>Y</c:v>
                </c:pt>
              </c:strCache>
            </c:strRef>
          </c:tx>
          <c:spPr>
            <a:ln w="25400" cap="rnd">
              <a:noFill/>
              <a:round/>
            </a:ln>
            <a:effectLst/>
          </c:spPr>
          <c:marker>
            <c:symbol val="none"/>
          </c:marker>
          <c:xVal>
            <c:numRef>
              <c:f>'Cement Cost Model-Indonesia'!$I$178:$I$184</c:f>
              <c:numCache>
                <c:formatCode>_(* #,##0.00_);_(* \(#,##0.00\);_(* "-"??_);_(@_)</c:formatCode>
                <c:ptCount val="7"/>
                <c:pt idx="0" formatCode="General">
                  <c:v>0</c:v>
                </c:pt>
                <c:pt idx="1">
                  <c:v>8.7100000000000009</c:v>
                </c:pt>
                <c:pt idx="2">
                  <c:v>9.0770000000000017</c:v>
                </c:pt>
                <c:pt idx="3">
                  <c:v>13.427000000000001</c:v>
                </c:pt>
                <c:pt idx="4">
                  <c:v>15.629000000000001</c:v>
                </c:pt>
                <c:pt idx="5">
                  <c:v>20.400000000000002</c:v>
                </c:pt>
                <c:pt idx="6">
                  <c:v>36.770000000000003</c:v>
                </c:pt>
              </c:numCache>
            </c:numRef>
          </c:xVal>
          <c:yVal>
            <c:numRef>
              <c:f>'Cement Cost Model-Indonesia'!$J$178:$J$184</c:f>
              <c:numCache>
                <c:formatCode>_("$"* #,##0_);_("$"* \(#,##0\);_("$"* "-"??_);_(@_)</c:formatCode>
                <c:ptCount val="7"/>
                <c:pt idx="0">
                  <c:v>0</c:v>
                </c:pt>
                <c:pt idx="1">
                  <c:v>0</c:v>
                </c:pt>
                <c:pt idx="2">
                  <c:v>37.523622731304492</c:v>
                </c:pt>
                <c:pt idx="3">
                  <c:v>0</c:v>
                </c:pt>
                <c:pt idx="4">
                  <c:v>121.2046294499584</c:v>
                </c:pt>
                <c:pt idx="5">
                  <c:v>0</c:v>
                </c:pt>
                <c:pt idx="6">
                  <c:v>0</c:v>
                </c:pt>
              </c:numCache>
            </c:numRef>
          </c:yVal>
          <c:smooth val="0"/>
          <c:extLst>
            <c:ext xmlns:c16="http://schemas.microsoft.com/office/drawing/2014/chart" uri="{C3380CC4-5D6E-409C-BE32-E72D297353CC}">
              <c16:uniqueId val="{00000000-3A50-4AB1-BA66-AB330F010924}"/>
            </c:ext>
          </c:extLst>
        </c:ser>
        <c:dLbls>
          <c:showLegendKey val="0"/>
          <c:showVal val="0"/>
          <c:showCatName val="0"/>
          <c:showSerName val="0"/>
          <c:showPercent val="0"/>
          <c:showBubbleSize val="0"/>
        </c:dLbls>
        <c:axId val="1255449551"/>
        <c:axId val="1085702831"/>
      </c:scatterChart>
      <c:valAx>
        <c:axId val="1255449551"/>
        <c:scaling>
          <c:orientation val="minMax"/>
          <c:max val="37"/>
          <c:min val="0"/>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Avoided CO</a:t>
                </a:r>
                <a:r>
                  <a:rPr lang="en-US" sz="1100" baseline="-25000"/>
                  <a:t>2</a:t>
                </a:r>
                <a:r>
                  <a:rPr lang="en-US" sz="1100"/>
                  <a:t> Emissions in 2060 (MtCO</a:t>
                </a:r>
                <a:r>
                  <a:rPr lang="en-US" sz="1100" baseline="-25000"/>
                  <a:t>2</a:t>
                </a:r>
                <a:r>
                  <a:rPr lang="en-US" sz="1100"/>
                  <a:t>)</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085702831"/>
        <c:crosses val="autoZero"/>
        <c:crossBetween val="midCat"/>
      </c:valAx>
      <c:valAx>
        <c:axId val="1085702831"/>
        <c:scaling>
          <c:orientation val="minMax"/>
          <c:max val="500"/>
          <c:min val="0"/>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sz="1050"/>
                  <a:t>Marginal Abatement Cost in 2060 ($/tCO2)</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5449551"/>
        <c:crosses val="autoZero"/>
        <c:crossBetween val="midCat"/>
      </c:valAx>
      <c:valAx>
        <c:axId val="1244014495"/>
        <c:scaling>
          <c:orientation val="minMax"/>
          <c:max val="500"/>
        </c:scaling>
        <c:delete val="1"/>
        <c:axPos val="r"/>
        <c:numFmt formatCode="_(* #,##0.00_);_(* \(#,##0.00\);_(* &quot;-&quot;??_);_(@_)" sourceLinked="1"/>
        <c:majorTickMark val="out"/>
        <c:minorTickMark val="none"/>
        <c:tickLblPos val="nextTo"/>
        <c:crossAx val="869380799"/>
        <c:crosses val="max"/>
        <c:crossBetween val="between"/>
      </c:valAx>
      <c:catAx>
        <c:axId val="869380799"/>
        <c:scaling>
          <c:orientation val="minMax"/>
        </c:scaling>
        <c:delete val="1"/>
        <c:axPos val="b"/>
        <c:numFmt formatCode="General" sourceLinked="1"/>
        <c:majorTickMark val="out"/>
        <c:minorTickMark val="none"/>
        <c:tickLblPos val="nextTo"/>
        <c:crossAx val="1244014495"/>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Indonesia's Cement Industry Energy Transition</a:t>
            </a:r>
          </a:p>
          <a:p>
            <a:pPr>
              <a:defRPr/>
            </a:pPr>
            <a:r>
              <a:rPr lang="en-US" b="1" i="1"/>
              <a:t>Near Zero 2060 Scenario</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56268345336391"/>
          <c:y val="0.17389093585681473"/>
          <c:w val="0.45999122797708247"/>
          <c:h val="0.76502519110125933"/>
        </c:manualLayout>
      </c:layout>
      <c:barChart>
        <c:barDir val="col"/>
        <c:grouping val="stacked"/>
        <c:varyColors val="0"/>
        <c:ser>
          <c:idx val="4"/>
          <c:order val="0"/>
          <c:tx>
            <c:strRef>
              <c:f>'Cement Cost Model-Indonesia'!$A$91</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Model-Indonesia'!$B$91:$C$91</c:f>
              <c:numCache>
                <c:formatCode>_(* #,##0.0_);_(* \(#,##0.0\);_(* "-"??_);_(@_)</c:formatCode>
                <c:ptCount val="2"/>
                <c:pt idx="0">
                  <c:v>0.70617411011322584</c:v>
                </c:pt>
                <c:pt idx="1">
                  <c:v>2.5666768709308445</c:v>
                </c:pt>
              </c:numCache>
            </c:numRef>
          </c:val>
          <c:extLst>
            <c:ext xmlns:c16="http://schemas.microsoft.com/office/drawing/2014/chart" uri="{C3380CC4-5D6E-409C-BE32-E72D297353CC}">
              <c16:uniqueId val="{00000000-69BF-4442-85CE-CEC035F8F615}"/>
            </c:ext>
          </c:extLst>
        </c:ser>
        <c:ser>
          <c:idx val="5"/>
          <c:order val="1"/>
          <c:tx>
            <c:strRef>
              <c:f>'Cement Cost Model-Indonesia'!$A$93</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Model-Indonesia'!$B$93:$C$93</c:f>
              <c:numCache>
                <c:formatCode>_(* #,##0.0_);_(* \(#,##0.0\);_(* "-"??_);_(@_)</c:formatCode>
                <c:ptCount val="2"/>
                <c:pt idx="0">
                  <c:v>0.19927699442545893</c:v>
                </c:pt>
                <c:pt idx="1">
                  <c:v>0.75783157894736852</c:v>
                </c:pt>
              </c:numCache>
            </c:numRef>
          </c:val>
          <c:extLst>
            <c:ext xmlns:c16="http://schemas.microsoft.com/office/drawing/2014/chart" uri="{C3380CC4-5D6E-409C-BE32-E72D297353CC}">
              <c16:uniqueId val="{00000001-69BF-4442-85CE-CEC035F8F615}"/>
            </c:ext>
          </c:extLst>
        </c:ser>
        <c:ser>
          <c:idx val="2"/>
          <c:order val="2"/>
          <c:tx>
            <c:strRef>
              <c:f>'Cement Cost Model-Indonesia'!$A$94</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Model-Indonesia'!$B$94:$C$94</c:f>
              <c:numCache>
                <c:formatCode>_(* #,##0.0_);_(* \(#,##0.0\);_(* "-"??_);_(@_)</c:formatCode>
                <c:ptCount val="2"/>
                <c:pt idx="0">
                  <c:v>0.19927699442545893</c:v>
                </c:pt>
                <c:pt idx="1">
                  <c:v>0.75783157894736852</c:v>
                </c:pt>
              </c:numCache>
            </c:numRef>
          </c:val>
          <c:extLst>
            <c:ext xmlns:c16="http://schemas.microsoft.com/office/drawing/2014/chart" uri="{C3380CC4-5D6E-409C-BE32-E72D297353CC}">
              <c16:uniqueId val="{00000002-69BF-4442-85CE-CEC035F8F615}"/>
            </c:ext>
          </c:extLst>
        </c:ser>
        <c:ser>
          <c:idx val="8"/>
          <c:order val="3"/>
          <c:tx>
            <c:strRef>
              <c:f>'Cement Cost Model-Indonesia'!$A$96</c:f>
              <c:strCache>
                <c:ptCount val="1"/>
                <c:pt idx="0">
                  <c:v>Industrial and solid wastes </c:v>
                </c:pt>
              </c:strCache>
            </c:strRef>
          </c:tx>
          <c:spPr>
            <a:solidFill>
              <a:schemeClr val="accent2"/>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Model-Indonesia'!$B$96:$C$96</c:f>
              <c:numCache>
                <c:formatCode>_(* #,##0.0_);_(* \(#,##0.0\);_(* "-"??_);_(@_)</c:formatCode>
                <c:ptCount val="2"/>
                <c:pt idx="0">
                  <c:v>9.948095472200387E-2</c:v>
                </c:pt>
                <c:pt idx="1">
                  <c:v>0.42737615438596493</c:v>
                </c:pt>
              </c:numCache>
            </c:numRef>
          </c:val>
          <c:extLst>
            <c:ext xmlns:c16="http://schemas.microsoft.com/office/drawing/2014/chart" uri="{C3380CC4-5D6E-409C-BE32-E72D297353CC}">
              <c16:uniqueId val="{00000003-69BF-4442-85CE-CEC035F8F615}"/>
            </c:ext>
          </c:extLst>
        </c:ser>
        <c:ser>
          <c:idx val="10"/>
          <c:order val="4"/>
          <c:tx>
            <c:strRef>
              <c:f>'Cement Cost Model-Indonesia'!$A$97</c:f>
              <c:strCache>
                <c:ptCount val="1"/>
                <c:pt idx="0">
                  <c:v>Biomass </c:v>
                </c:pt>
              </c:strCache>
            </c:strRef>
          </c:tx>
          <c:spPr>
            <a:solidFill>
              <a:schemeClr val="accent5">
                <a:lumMod val="6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Model-Indonesia'!$B$97:$C$97</c:f>
              <c:numCache>
                <c:formatCode>_(* #,##0.0_);_(* \(#,##0.0\);_(* "-"??_);_(@_)</c:formatCode>
                <c:ptCount val="2"/>
                <c:pt idx="0">
                  <c:v>2.5548332618648584E-2</c:v>
                </c:pt>
                <c:pt idx="1">
                  <c:v>7.4736842105263171E-2</c:v>
                </c:pt>
              </c:numCache>
            </c:numRef>
          </c:val>
          <c:extLst>
            <c:ext xmlns:c16="http://schemas.microsoft.com/office/drawing/2014/chart" uri="{C3380CC4-5D6E-409C-BE32-E72D297353CC}">
              <c16:uniqueId val="{00000004-69BF-4442-85CE-CEC035F8F615}"/>
            </c:ext>
          </c:extLst>
        </c:ser>
        <c:ser>
          <c:idx val="11"/>
          <c:order val="5"/>
          <c:tx>
            <c:strRef>
              <c:f>'Cement Cost Model-Indonesia'!$A$98</c:f>
              <c:strCache>
                <c:ptCount val="1"/>
                <c:pt idx="0">
                  <c:v>H2 Injection</c:v>
                </c:pt>
              </c:strCache>
            </c:strRef>
          </c:tx>
          <c:spPr>
            <a:solidFill>
              <a:schemeClr val="accent6">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Model-Indonesia'!$B$98:$C$98</c:f>
              <c:numCache>
                <c:formatCode>_(* #,##0.0_);_(* \(#,##0.0\);_(* "-"??_);_(@_)</c:formatCode>
                <c:ptCount val="2"/>
                <c:pt idx="0">
                  <c:v>8.7574175357506435E-3</c:v>
                </c:pt>
                <c:pt idx="1">
                  <c:v>7.3220751937933551E-2</c:v>
                </c:pt>
              </c:numCache>
            </c:numRef>
          </c:val>
          <c:extLst>
            <c:ext xmlns:c16="http://schemas.microsoft.com/office/drawing/2014/chart" uri="{C3380CC4-5D6E-409C-BE32-E72D297353CC}">
              <c16:uniqueId val="{00000005-69BF-4442-85CE-CEC035F8F615}"/>
            </c:ext>
          </c:extLst>
        </c:ser>
        <c:ser>
          <c:idx val="3"/>
          <c:order val="6"/>
          <c:tx>
            <c:strRef>
              <c:f>'Cement Cost Model-Indonesia'!$A$101</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Model-Indonesia'!$B$101:$C$101</c:f>
              <c:numCache>
                <c:formatCode>_(* #,##0.0_);_(* \(#,##0.0\);_(* "-"??_);_(@_)</c:formatCode>
                <c:ptCount val="2"/>
                <c:pt idx="0">
                  <c:v>0.57418127674616881</c:v>
                </c:pt>
                <c:pt idx="1">
                  <c:v>1.4512256669069932</c:v>
                </c:pt>
              </c:numCache>
            </c:numRef>
          </c:val>
          <c:extLst>
            <c:ext xmlns:c16="http://schemas.microsoft.com/office/drawing/2014/chart" uri="{C3380CC4-5D6E-409C-BE32-E72D297353CC}">
              <c16:uniqueId val="{00000006-69BF-4442-85CE-CEC035F8F615}"/>
            </c:ext>
          </c:extLst>
        </c:ser>
        <c:ser>
          <c:idx val="9"/>
          <c:order val="7"/>
          <c:tx>
            <c:strRef>
              <c:f>'Cement Cost Model-Indonesia'!$A$104</c:f>
              <c:strCache>
                <c:ptCount val="1"/>
                <c:pt idx="0">
                  <c:v>CCS</c:v>
                </c:pt>
              </c:strCache>
            </c:strRef>
          </c:tx>
          <c:spPr>
            <a:solidFill>
              <a:schemeClr val="bg2">
                <a:lumMod val="75000"/>
              </a:schemeClr>
            </a:solidFill>
            <a:ln>
              <a:solidFill>
                <a:schemeClr val="tx1"/>
              </a:solidFill>
            </a:ln>
            <a:effectLst/>
          </c:spPr>
          <c:invertIfNegative val="0"/>
          <c:cat>
            <c:numRef>
              <c:f>'Cement Cost Model-Indonesia'!$B$90:$C$90</c:f>
              <c:numCache>
                <c:formatCode>General</c:formatCode>
                <c:ptCount val="2"/>
                <c:pt idx="0">
                  <c:v>2030</c:v>
                </c:pt>
                <c:pt idx="1">
                  <c:v>2060</c:v>
                </c:pt>
              </c:numCache>
            </c:numRef>
          </c:cat>
          <c:val>
            <c:numRef>
              <c:f>'Cement Cost Model-Indonesia'!$B$104:$C$104</c:f>
              <c:numCache>
                <c:formatCode>_(* #,##0.0_);_(* \(#,##0.0\);_(* "-"??_);_(@_)</c:formatCode>
                <c:ptCount val="2"/>
                <c:pt idx="0">
                  <c:v>0.70257914701283608</c:v>
                </c:pt>
                <c:pt idx="1">
                  <c:v>19.870257914701281</c:v>
                </c:pt>
              </c:numCache>
            </c:numRef>
          </c:val>
          <c:extLst>
            <c:ext xmlns:c16="http://schemas.microsoft.com/office/drawing/2014/chart" uri="{C3380CC4-5D6E-409C-BE32-E72D297353CC}">
              <c16:uniqueId val="{00000008-69BF-4442-85CE-CEC035F8F615}"/>
            </c:ext>
          </c:extLst>
        </c:ser>
        <c:dLbls>
          <c:showLegendKey val="0"/>
          <c:showVal val="0"/>
          <c:showCatName val="0"/>
          <c:showSerName val="0"/>
          <c:showPercent val="0"/>
          <c:showBubbleSize val="0"/>
        </c:dLbls>
        <c:gapWidth val="55"/>
        <c:overlap val="100"/>
        <c:axId val="695306704"/>
        <c:axId val="722281296"/>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480131465"/>
          <c:y val="0.26425042196680953"/>
          <c:w val="0.31771426136539249"/>
          <c:h val="0.7357495312796598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Vietnam's Cement Industry Energy Transition</a:t>
            </a:r>
          </a:p>
          <a:p>
            <a:pPr>
              <a:defRPr/>
            </a:pPr>
            <a:r>
              <a:rPr lang="en-US" b="1"/>
              <a:t>(Including RE Expansion)</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56268345336391"/>
          <c:y val="0.17389093585681473"/>
          <c:w val="0.45999122797708247"/>
          <c:h val="0.76502519110125933"/>
        </c:manualLayout>
      </c:layout>
      <c:barChart>
        <c:barDir val="col"/>
        <c:grouping val="stacked"/>
        <c:varyColors val="0"/>
        <c:ser>
          <c:idx val="4"/>
          <c:order val="0"/>
          <c:tx>
            <c:strRef>
              <c:f>'Cement Cost Model-Vietnam'!$A$91</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Model-Vietnam'!$B$91:$C$91</c:f>
              <c:numCache>
                <c:formatCode>_(* #,##0.0_);_(* \(#,##0.0\);_(* "-"??_);_(@_)</c:formatCode>
                <c:ptCount val="2"/>
                <c:pt idx="0">
                  <c:v>0.89694111217447903</c:v>
                </c:pt>
                <c:pt idx="1">
                  <c:v>3.31028674623562</c:v>
                </c:pt>
              </c:numCache>
            </c:numRef>
          </c:val>
          <c:extLst>
            <c:ext xmlns:c16="http://schemas.microsoft.com/office/drawing/2014/chart" uri="{C3380CC4-5D6E-409C-BE32-E72D297353CC}">
              <c16:uniqueId val="{00000000-BBB2-4B6D-A9BF-B9009FA63F50}"/>
            </c:ext>
          </c:extLst>
        </c:ser>
        <c:ser>
          <c:idx val="2"/>
          <c:order val="1"/>
          <c:tx>
            <c:strRef>
              <c:f>'Cement Cost Model-Vietnam'!$A$93</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Model-Vietnam'!$B$93:$C$93</c:f>
              <c:numCache>
                <c:formatCode>_(* #,##0.0_);_(* \(#,##0.0\);_(* "-"??_);_(@_)</c:formatCode>
                <c:ptCount val="2"/>
                <c:pt idx="0">
                  <c:v>0.25311</c:v>
                </c:pt>
                <c:pt idx="1">
                  <c:v>0.95572034999999977</c:v>
                </c:pt>
              </c:numCache>
            </c:numRef>
          </c:val>
          <c:extLst>
            <c:ext xmlns:c16="http://schemas.microsoft.com/office/drawing/2014/chart" uri="{C3380CC4-5D6E-409C-BE32-E72D297353CC}">
              <c16:uniqueId val="{00000002-BBB2-4B6D-A9BF-B9009FA63F50}"/>
            </c:ext>
          </c:extLst>
        </c:ser>
        <c:ser>
          <c:idx val="8"/>
          <c:order val="2"/>
          <c:tx>
            <c:strRef>
              <c:f>'Cement Cost Model-Vietnam'!$A$94</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Model-Vietnam'!$B$94:$C$94</c:f>
              <c:numCache>
                <c:formatCode>_(* #,##0.0_);_(* \(#,##0.0\);_(* "-"??_);_(@_)</c:formatCode>
                <c:ptCount val="2"/>
                <c:pt idx="0">
                  <c:v>0.25311</c:v>
                </c:pt>
                <c:pt idx="1">
                  <c:v>0.95572034999999977</c:v>
                </c:pt>
              </c:numCache>
            </c:numRef>
          </c:val>
          <c:extLst>
            <c:ext xmlns:c16="http://schemas.microsoft.com/office/drawing/2014/chart" uri="{C3380CC4-5D6E-409C-BE32-E72D297353CC}">
              <c16:uniqueId val="{00000003-BBB2-4B6D-A9BF-B9009FA63F50}"/>
            </c:ext>
          </c:extLst>
        </c:ser>
        <c:ser>
          <c:idx val="11"/>
          <c:order val="3"/>
          <c:tx>
            <c:strRef>
              <c:f>'Cement Cost Model-Vietnam'!$A$96</c:f>
              <c:strCache>
                <c:ptCount val="1"/>
                <c:pt idx="0">
                  <c:v>Industrial and solid wastes </c:v>
                </c:pt>
              </c:strCache>
            </c:strRef>
          </c:tx>
          <c:spPr>
            <a:solidFill>
              <a:schemeClr val="accent2"/>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Model-Vietnam'!$B$96:$C$96</c:f>
              <c:numCache>
                <c:formatCode>_(* #,##0.0_);_(* \(#,##0.0\);_(* "-"??_);_(@_)</c:formatCode>
                <c:ptCount val="2"/>
                <c:pt idx="0">
                  <c:v>0.12404750000000002</c:v>
                </c:pt>
                <c:pt idx="1">
                  <c:v>0.31088869999999996</c:v>
                </c:pt>
              </c:numCache>
            </c:numRef>
          </c:val>
          <c:extLst>
            <c:ext xmlns:c16="http://schemas.microsoft.com/office/drawing/2014/chart" uri="{C3380CC4-5D6E-409C-BE32-E72D297353CC}">
              <c16:uniqueId val="{00000005-BBB2-4B6D-A9BF-B9009FA63F50}"/>
            </c:ext>
          </c:extLst>
        </c:ser>
        <c:ser>
          <c:idx val="3"/>
          <c:order val="4"/>
          <c:tx>
            <c:strRef>
              <c:f>'Cement Cost Model-Vietnam'!$A$97</c:f>
              <c:strCache>
                <c:ptCount val="1"/>
                <c:pt idx="0">
                  <c:v>Biomass </c:v>
                </c:pt>
              </c:strCache>
            </c:strRef>
          </c:tx>
          <c:spPr>
            <a:solidFill>
              <a:schemeClr val="accent4"/>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Model-Vietnam'!$B$97:$C$97</c:f>
              <c:numCache>
                <c:formatCode>_(* #,##0.0_);_(* \(#,##0.0\);_(* "-"??_);_(@_)</c:formatCode>
                <c:ptCount val="2"/>
                <c:pt idx="0">
                  <c:v>4.0562500000000008E-2</c:v>
                </c:pt>
                <c:pt idx="1">
                  <c:v>9.4252500000000003E-2</c:v>
                </c:pt>
              </c:numCache>
            </c:numRef>
          </c:val>
          <c:extLst>
            <c:ext xmlns:c16="http://schemas.microsoft.com/office/drawing/2014/chart" uri="{C3380CC4-5D6E-409C-BE32-E72D297353CC}">
              <c16:uniqueId val="{00000006-BBB2-4B6D-A9BF-B9009FA63F50}"/>
            </c:ext>
          </c:extLst>
        </c:ser>
        <c:ser>
          <c:idx val="0"/>
          <c:order val="5"/>
          <c:tx>
            <c:strRef>
              <c:f>'Cement Cost Model-Vietnam'!$A$98</c:f>
              <c:strCache>
                <c:ptCount val="1"/>
                <c:pt idx="0">
                  <c:v>H2 Injection</c:v>
                </c:pt>
              </c:strCache>
            </c:strRef>
          </c:tx>
          <c:spPr>
            <a:solidFill>
              <a:schemeClr val="accent6">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Model-Vietnam'!$B$98:$C$98</c:f>
              <c:numCache>
                <c:formatCode>_(* #,##0.0_);_(* \(#,##0.0\);_(* "-"??_);_(@_)</c:formatCode>
                <c:ptCount val="2"/>
                <c:pt idx="0">
                  <c:v>1.1123160296875E-2</c:v>
                </c:pt>
                <c:pt idx="1">
                  <c:v>9.226155868062498E-2</c:v>
                </c:pt>
              </c:numCache>
            </c:numRef>
          </c:val>
          <c:extLst>
            <c:ext xmlns:c16="http://schemas.microsoft.com/office/drawing/2014/chart" uri="{C3380CC4-5D6E-409C-BE32-E72D297353CC}">
              <c16:uniqueId val="{00000007-BBB2-4B6D-A9BF-B9009FA63F50}"/>
            </c:ext>
          </c:extLst>
        </c:ser>
        <c:ser>
          <c:idx val="6"/>
          <c:order val="7"/>
          <c:tx>
            <c:strRef>
              <c:f>'Cement Cost Model-Vietnam'!$A$101</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Model-Vietnam'!$B$101:$C$101</c:f>
              <c:numCache>
                <c:formatCode>_(* #,##0.0_);_(* \(#,##0.0\);_(* "-"??_);_(@_)</c:formatCode>
                <c:ptCount val="2"/>
                <c:pt idx="0">
                  <c:v>0.71982020547945191</c:v>
                </c:pt>
                <c:pt idx="1">
                  <c:v>1.7403847369240351</c:v>
                </c:pt>
              </c:numCache>
            </c:numRef>
          </c:val>
          <c:extLst>
            <c:ext xmlns:c16="http://schemas.microsoft.com/office/drawing/2014/chart" uri="{C3380CC4-5D6E-409C-BE32-E72D297353CC}">
              <c16:uniqueId val="{0000000A-BBB2-4B6D-A9BF-B9009FA63F50}"/>
            </c:ext>
          </c:extLst>
        </c:ser>
        <c:ser>
          <c:idx val="12"/>
          <c:order val="9"/>
          <c:tx>
            <c:strRef>
              <c:f>'Cement Cost Model-Vietnam'!$A$103</c:f>
              <c:strCache>
                <c:ptCount val="1"/>
                <c:pt idx="0">
                  <c:v>RE Supply CAPEX (renewables)</c:v>
                </c:pt>
              </c:strCache>
            </c:strRef>
          </c:tx>
          <c:spPr>
            <a:solidFill>
              <a:schemeClr val="accent6">
                <a:lumMod val="20000"/>
                <a:lumOff val="8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Model-Vietnam'!$B$103:$C$103</c:f>
              <c:numCache>
                <c:formatCode>_(* #,##0.0_);_(* \(#,##0.0\);_(* "-"??_);_(@_)</c:formatCode>
                <c:ptCount val="2"/>
                <c:pt idx="0">
                  <c:v>2.4339430436711407</c:v>
                </c:pt>
                <c:pt idx="1">
                  <c:v>6.6669595026668009</c:v>
                </c:pt>
              </c:numCache>
            </c:numRef>
          </c:val>
          <c:extLst>
            <c:ext xmlns:c16="http://schemas.microsoft.com/office/drawing/2014/chart" uri="{C3380CC4-5D6E-409C-BE32-E72D297353CC}">
              <c16:uniqueId val="{0000000C-BBB2-4B6D-A9BF-B9009FA63F50}"/>
            </c:ext>
          </c:extLst>
        </c:ser>
        <c:ser>
          <c:idx val="13"/>
          <c:order val="10"/>
          <c:tx>
            <c:strRef>
              <c:f>'Cement Cost Model-Vietnam'!$A$104</c:f>
              <c:strCache>
                <c:ptCount val="1"/>
                <c:pt idx="0">
                  <c:v>CCS</c:v>
                </c:pt>
              </c:strCache>
            </c:strRef>
          </c:tx>
          <c:spPr>
            <a:solidFill>
              <a:schemeClr val="bg2">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Model-Vietnam'!$B$104:$C$104</c:f>
              <c:numCache>
                <c:formatCode>_(* #,##0.0_);_(* \(#,##0.0\);_(* "-"??_);_(@_)</c:formatCode>
                <c:ptCount val="2"/>
                <c:pt idx="0">
                  <c:v>0.89237500000000003</c:v>
                </c:pt>
                <c:pt idx="1">
                  <c:v>35.135237500000002</c:v>
                </c:pt>
              </c:numCache>
            </c:numRef>
          </c:val>
          <c:extLst>
            <c:ext xmlns:c16="http://schemas.microsoft.com/office/drawing/2014/chart" uri="{C3380CC4-5D6E-409C-BE32-E72D297353CC}">
              <c16:uniqueId val="{0000000D-BBB2-4B6D-A9BF-B9009FA63F50}"/>
            </c:ext>
          </c:extLst>
        </c:ser>
        <c:dLbls>
          <c:showLegendKey val="0"/>
          <c:showVal val="0"/>
          <c:showCatName val="0"/>
          <c:showSerName val="0"/>
          <c:showPercent val="0"/>
          <c:showBubbleSize val="0"/>
        </c:dLbls>
        <c:gapWidth val="55"/>
        <c:overlap val="100"/>
        <c:axId val="695306704"/>
        <c:axId val="722281296"/>
        <c:extLst>
          <c:ext xmlns:c15="http://schemas.microsoft.com/office/drawing/2012/chart" uri="{02D57815-91ED-43cb-92C2-25804820EDAC}">
            <c15:filteredBarSeries>
              <c15:ser>
                <c:idx val="1"/>
                <c:order val="6"/>
                <c:tx>
                  <c:strRef>
                    <c:extLst>
                      <c:ext uri="{02D57815-91ED-43cb-92C2-25804820EDAC}">
                        <c15:formulaRef>
                          <c15:sqref>'Cement Cost Model-Vietnam'!$A$100</c15:sqref>
                        </c15:formulaRef>
                      </c:ext>
                    </c:extLst>
                    <c:strCache>
                      <c:ptCount val="1"/>
                      <c:pt idx="0">
                        <c:v>Electrolyzers for H2 Production (utility plants)</c:v>
                      </c:pt>
                    </c:strCache>
                  </c:strRef>
                </c:tx>
                <c:spPr>
                  <a:solidFill>
                    <a:schemeClr val="accent2"/>
                  </a:solidFill>
                  <a:ln>
                    <a:noFill/>
                  </a:ln>
                  <a:effectLst/>
                </c:spPr>
                <c:invertIfNegative val="0"/>
                <c:cat>
                  <c:numRef>
                    <c:extLst>
                      <c:ext uri="{02D57815-91ED-43cb-92C2-25804820EDAC}">
                        <c15:formulaRef>
                          <c15:sqref>'Cement Cost Model-Vietnam'!$B$90:$C$90</c15:sqref>
                        </c15:formulaRef>
                      </c:ext>
                    </c:extLst>
                    <c:numCache>
                      <c:formatCode>General</c:formatCode>
                      <c:ptCount val="2"/>
                      <c:pt idx="0">
                        <c:v>2030</c:v>
                      </c:pt>
                      <c:pt idx="1">
                        <c:v>2050</c:v>
                      </c:pt>
                    </c:numCache>
                  </c:numRef>
                </c:cat>
                <c:val>
                  <c:numRef>
                    <c:extLst>
                      <c:ext uri="{02D57815-91ED-43cb-92C2-25804820EDAC}">
                        <c15:formulaRef>
                          <c15:sqref>'Cement Cost Model-Vietnam'!$B$100:$C$100</c15:sqref>
                        </c15:formulaRef>
                      </c:ext>
                    </c:extLst>
                    <c:numCache>
                      <c:formatCode>_(* #,##0.0_);_(* \(#,##0.0\);_(* "-"??_);_(@_)</c:formatCode>
                      <c:ptCount val="2"/>
                      <c:pt idx="0">
                        <c:v>0.21594606164383562</c:v>
                      </c:pt>
                      <c:pt idx="1">
                        <c:v>0.52211542107721043</c:v>
                      </c:pt>
                    </c:numCache>
                  </c:numRef>
                </c:val>
                <c:extLst>
                  <c:ext xmlns:c16="http://schemas.microsoft.com/office/drawing/2014/chart" uri="{C3380CC4-5D6E-409C-BE32-E72D297353CC}">
                    <c16:uniqueId val="{00000009-BBB2-4B6D-A9BF-B9009FA63F50}"/>
                  </c:ext>
                </c:extLst>
              </c15:ser>
            </c15:filteredBarSeries>
            <c15:filteredBarSeries>
              <c15:ser>
                <c:idx val="7"/>
                <c:order val="8"/>
                <c:tx>
                  <c:strRef>
                    <c:extLst xmlns:c15="http://schemas.microsoft.com/office/drawing/2012/chart">
                      <c:ext xmlns:c15="http://schemas.microsoft.com/office/drawing/2012/chart" uri="{02D57815-91ED-43cb-92C2-25804820EDAC}">
                        <c15:formulaRef>
                          <c15:sqref>'Cement Cost Model-Vietnam'!$A$102</c15:sqref>
                        </c15:formulaRef>
                      </c:ext>
                    </c:extLst>
                    <c:strCache>
                      <c:ptCount val="1"/>
                      <c:pt idx="0">
                        <c:v>RE Supply CAPEX (utility plants)</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'Cement Cost Model-Vietnam'!$B$90:$C$90</c15:sqref>
                        </c15:formulaRef>
                      </c:ext>
                    </c:extLst>
                    <c:numCache>
                      <c:formatCode>General</c:formatCode>
                      <c:ptCount val="2"/>
                      <c:pt idx="0">
                        <c:v>2030</c:v>
                      </c:pt>
                      <c:pt idx="1">
                        <c:v>2050</c:v>
                      </c:pt>
                    </c:numCache>
                  </c:numRef>
                </c:cat>
                <c:val>
                  <c:numRef>
                    <c:extLst xmlns:c15="http://schemas.microsoft.com/office/drawing/2012/chart">
                      <c:ext xmlns:c15="http://schemas.microsoft.com/office/drawing/2012/chart" uri="{02D57815-91ED-43cb-92C2-25804820EDAC}">
                        <c15:formulaRef>
                          <c15:sqref>'Cement Cost Model-Vietnam'!$B$102:$C$102</c15:sqref>
                        </c15:formulaRef>
                      </c:ext>
                    </c:extLst>
                    <c:numCache>
                      <c:formatCode>_(* #,##0.0_);_(* \(#,##0.0\);_(* "-"??_);_(@_)</c:formatCode>
                      <c:ptCount val="2"/>
                      <c:pt idx="0">
                        <c:v>0.73018291310134209</c:v>
                      </c:pt>
                      <c:pt idx="1">
                        <c:v>2.0000878508000399</c:v>
                      </c:pt>
                    </c:numCache>
                  </c:numRef>
                </c:val>
                <c:extLst xmlns:c15="http://schemas.microsoft.com/office/drawing/2012/chart">
                  <c:ext xmlns:c16="http://schemas.microsoft.com/office/drawing/2014/chart" uri="{C3380CC4-5D6E-409C-BE32-E72D297353CC}">
                    <c16:uniqueId val="{0000000B-BBB2-4B6D-A9BF-B9009FA63F50}"/>
                  </c:ext>
                </c:extLst>
              </c15:ser>
            </c15:filteredBarSeries>
          </c:ext>
        </c:extLst>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2620210541"/>
          <c:y val="0.38604329359283035"/>
          <c:w val="0.35667074274700389"/>
          <c:h val="0.5682843974322011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Vietnam's Cement Industry Energy Transition</a:t>
            </a:r>
          </a:p>
          <a:p>
            <a:pPr>
              <a:defRPr/>
            </a:pPr>
            <a:r>
              <a:rPr lang="en-US" b="1" i="1"/>
              <a:t>RE Expansion, Electrolyzers, or</a:t>
            </a:r>
            <a:r>
              <a:rPr lang="en-US" b="1" i="1" baseline="0"/>
              <a:t> </a:t>
            </a:r>
            <a:r>
              <a:rPr lang="en-US" b="1" i="1"/>
              <a:t>CCS Investment NOT Included</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56268345336391"/>
          <c:y val="0.17389093585681473"/>
          <c:w val="0.45999122797708247"/>
          <c:h val="0.76502519110125933"/>
        </c:manualLayout>
      </c:layout>
      <c:barChart>
        <c:barDir val="col"/>
        <c:grouping val="stacked"/>
        <c:varyColors val="0"/>
        <c:ser>
          <c:idx val="4"/>
          <c:order val="0"/>
          <c:tx>
            <c:strRef>
              <c:f>'Cement Cost Model-Vietnam'!$A$91</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Model-Vietnam'!$B$91:$C$91</c:f>
              <c:numCache>
                <c:formatCode>_(* #,##0.0_);_(* \(#,##0.0\);_(* "-"??_);_(@_)</c:formatCode>
                <c:ptCount val="2"/>
                <c:pt idx="0">
                  <c:v>0.89694111217447903</c:v>
                </c:pt>
                <c:pt idx="1">
                  <c:v>3.31028674623562</c:v>
                </c:pt>
              </c:numCache>
            </c:numRef>
          </c:val>
          <c:extLst>
            <c:ext xmlns:c16="http://schemas.microsoft.com/office/drawing/2014/chart" uri="{C3380CC4-5D6E-409C-BE32-E72D297353CC}">
              <c16:uniqueId val="{00000000-42A1-4BB7-BCB7-CCE60BF9D85B}"/>
            </c:ext>
          </c:extLst>
        </c:ser>
        <c:ser>
          <c:idx val="2"/>
          <c:order val="1"/>
          <c:tx>
            <c:strRef>
              <c:f>'Cement Cost Model-Vietnam'!$A$93</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Model-Vietnam'!$B$93:$C$93</c:f>
              <c:numCache>
                <c:formatCode>_(* #,##0.0_);_(* \(#,##0.0\);_(* "-"??_);_(@_)</c:formatCode>
                <c:ptCount val="2"/>
                <c:pt idx="0">
                  <c:v>0.25311</c:v>
                </c:pt>
                <c:pt idx="1">
                  <c:v>0.95572034999999977</c:v>
                </c:pt>
              </c:numCache>
            </c:numRef>
          </c:val>
          <c:extLst>
            <c:ext xmlns:c16="http://schemas.microsoft.com/office/drawing/2014/chart" uri="{C3380CC4-5D6E-409C-BE32-E72D297353CC}">
              <c16:uniqueId val="{00000001-42A1-4BB7-BCB7-CCE60BF9D85B}"/>
            </c:ext>
          </c:extLst>
        </c:ser>
        <c:ser>
          <c:idx val="8"/>
          <c:order val="2"/>
          <c:tx>
            <c:strRef>
              <c:f>'Cement Cost Model-Vietnam'!$A$94</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Model-Vietnam'!$B$94:$C$94</c:f>
              <c:numCache>
                <c:formatCode>_(* #,##0.0_);_(* \(#,##0.0\);_(* "-"??_);_(@_)</c:formatCode>
                <c:ptCount val="2"/>
                <c:pt idx="0">
                  <c:v>0.25311</c:v>
                </c:pt>
                <c:pt idx="1">
                  <c:v>0.95572034999999977</c:v>
                </c:pt>
              </c:numCache>
            </c:numRef>
          </c:val>
          <c:extLst>
            <c:ext xmlns:c16="http://schemas.microsoft.com/office/drawing/2014/chart" uri="{C3380CC4-5D6E-409C-BE32-E72D297353CC}">
              <c16:uniqueId val="{00000002-42A1-4BB7-BCB7-CCE60BF9D85B}"/>
            </c:ext>
          </c:extLst>
        </c:ser>
        <c:ser>
          <c:idx val="11"/>
          <c:order val="3"/>
          <c:tx>
            <c:strRef>
              <c:f>'Cement Cost Model-Vietnam'!$A$96</c:f>
              <c:strCache>
                <c:ptCount val="1"/>
                <c:pt idx="0">
                  <c:v>Industrial and solid wastes </c:v>
                </c:pt>
              </c:strCache>
            </c:strRef>
          </c:tx>
          <c:spPr>
            <a:solidFill>
              <a:schemeClr val="accent2"/>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Model-Vietnam'!$B$96:$C$96</c:f>
              <c:numCache>
                <c:formatCode>_(* #,##0.0_);_(* \(#,##0.0\);_(* "-"??_);_(@_)</c:formatCode>
                <c:ptCount val="2"/>
                <c:pt idx="0">
                  <c:v>0.12404750000000002</c:v>
                </c:pt>
                <c:pt idx="1">
                  <c:v>0.31088869999999996</c:v>
                </c:pt>
              </c:numCache>
            </c:numRef>
          </c:val>
          <c:extLst>
            <c:ext xmlns:c16="http://schemas.microsoft.com/office/drawing/2014/chart" uri="{C3380CC4-5D6E-409C-BE32-E72D297353CC}">
              <c16:uniqueId val="{00000003-42A1-4BB7-BCB7-CCE60BF9D85B}"/>
            </c:ext>
          </c:extLst>
        </c:ser>
        <c:ser>
          <c:idx val="3"/>
          <c:order val="4"/>
          <c:tx>
            <c:strRef>
              <c:f>'Cement Cost Model-Vietnam'!$A$97</c:f>
              <c:strCache>
                <c:ptCount val="1"/>
                <c:pt idx="0">
                  <c:v>Biomass </c:v>
                </c:pt>
              </c:strCache>
            </c:strRef>
          </c:tx>
          <c:spPr>
            <a:solidFill>
              <a:schemeClr val="accent4"/>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Model-Vietnam'!$B$97:$C$97</c:f>
              <c:numCache>
                <c:formatCode>_(* #,##0.0_);_(* \(#,##0.0\);_(* "-"??_);_(@_)</c:formatCode>
                <c:ptCount val="2"/>
                <c:pt idx="0">
                  <c:v>4.0562500000000008E-2</c:v>
                </c:pt>
                <c:pt idx="1">
                  <c:v>9.4252500000000003E-2</c:v>
                </c:pt>
              </c:numCache>
            </c:numRef>
          </c:val>
          <c:extLst>
            <c:ext xmlns:c16="http://schemas.microsoft.com/office/drawing/2014/chart" uri="{C3380CC4-5D6E-409C-BE32-E72D297353CC}">
              <c16:uniqueId val="{00000004-42A1-4BB7-BCB7-CCE60BF9D85B}"/>
            </c:ext>
          </c:extLst>
        </c:ser>
        <c:ser>
          <c:idx val="0"/>
          <c:order val="5"/>
          <c:tx>
            <c:strRef>
              <c:f>'Cement Cost Model-Vietnam'!$A$98</c:f>
              <c:strCache>
                <c:ptCount val="1"/>
                <c:pt idx="0">
                  <c:v>H2 Injection</c:v>
                </c:pt>
              </c:strCache>
            </c:strRef>
          </c:tx>
          <c:spPr>
            <a:solidFill>
              <a:schemeClr val="accent6">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Model-Vietnam'!$B$98:$C$98</c:f>
              <c:numCache>
                <c:formatCode>_(* #,##0.0_);_(* \(#,##0.0\);_(* "-"??_);_(@_)</c:formatCode>
                <c:ptCount val="2"/>
                <c:pt idx="0">
                  <c:v>1.1123160296875E-2</c:v>
                </c:pt>
                <c:pt idx="1">
                  <c:v>9.226155868062498E-2</c:v>
                </c:pt>
              </c:numCache>
            </c:numRef>
          </c:val>
          <c:extLst>
            <c:ext xmlns:c16="http://schemas.microsoft.com/office/drawing/2014/chart" uri="{C3380CC4-5D6E-409C-BE32-E72D297353CC}">
              <c16:uniqueId val="{00000005-42A1-4BB7-BCB7-CCE60BF9D85B}"/>
            </c:ext>
          </c:extLst>
        </c:ser>
        <c:dLbls>
          <c:showLegendKey val="0"/>
          <c:showVal val="0"/>
          <c:showCatName val="0"/>
          <c:showSerName val="0"/>
          <c:showPercent val="0"/>
          <c:showBubbleSize val="0"/>
        </c:dLbls>
        <c:gapWidth val="55"/>
        <c:overlap val="100"/>
        <c:axId val="695306704"/>
        <c:axId val="722281296"/>
        <c:extLst>
          <c:ext xmlns:c15="http://schemas.microsoft.com/office/drawing/2012/chart" uri="{02D57815-91ED-43cb-92C2-25804820EDAC}">
            <c15:filteredBarSeries>
              <c15:ser>
                <c:idx val="1"/>
                <c:order val="6"/>
                <c:tx>
                  <c:strRef>
                    <c:extLst>
                      <c:ext uri="{02D57815-91ED-43cb-92C2-25804820EDAC}">
                        <c15:formulaRef>
                          <c15:sqref>'Cement Cost Model-Vietnam'!$A$100</c15:sqref>
                        </c15:formulaRef>
                      </c:ext>
                    </c:extLst>
                    <c:strCache>
                      <c:ptCount val="1"/>
                      <c:pt idx="0">
                        <c:v>Electrolyzers for H2 Production (utility plants)</c:v>
                      </c:pt>
                    </c:strCache>
                  </c:strRef>
                </c:tx>
                <c:spPr>
                  <a:solidFill>
                    <a:schemeClr val="accent2"/>
                  </a:solidFill>
                  <a:ln>
                    <a:noFill/>
                  </a:ln>
                  <a:effectLst/>
                </c:spPr>
                <c:invertIfNegative val="0"/>
                <c:cat>
                  <c:numRef>
                    <c:extLst>
                      <c:ext uri="{02D57815-91ED-43cb-92C2-25804820EDAC}">
                        <c15:formulaRef>
                          <c15:sqref>'Cement Cost Model-Vietnam'!$B$90:$C$90</c15:sqref>
                        </c15:formulaRef>
                      </c:ext>
                    </c:extLst>
                    <c:numCache>
                      <c:formatCode>General</c:formatCode>
                      <c:ptCount val="2"/>
                      <c:pt idx="0">
                        <c:v>2030</c:v>
                      </c:pt>
                      <c:pt idx="1">
                        <c:v>2050</c:v>
                      </c:pt>
                    </c:numCache>
                  </c:numRef>
                </c:cat>
                <c:val>
                  <c:numRef>
                    <c:extLst>
                      <c:ext uri="{02D57815-91ED-43cb-92C2-25804820EDAC}">
                        <c15:formulaRef>
                          <c15:sqref>'Cement Cost Model-Vietnam'!$B$100:$C$100</c15:sqref>
                        </c15:formulaRef>
                      </c:ext>
                    </c:extLst>
                    <c:numCache>
                      <c:formatCode>_(* #,##0.0_);_(* \(#,##0.0\);_(* "-"??_);_(@_)</c:formatCode>
                      <c:ptCount val="2"/>
                      <c:pt idx="0">
                        <c:v>0.21594606164383562</c:v>
                      </c:pt>
                      <c:pt idx="1">
                        <c:v>0.52211542107721043</c:v>
                      </c:pt>
                    </c:numCache>
                  </c:numRef>
                </c:val>
                <c:extLst>
                  <c:ext xmlns:c16="http://schemas.microsoft.com/office/drawing/2014/chart" uri="{C3380CC4-5D6E-409C-BE32-E72D297353CC}">
                    <c16:uniqueId val="{00000009-42A1-4BB7-BCB7-CCE60BF9D85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'Cement Cost Model-Vietnam'!$A$102</c15:sqref>
                        </c15:formulaRef>
                      </c:ext>
                    </c:extLst>
                    <c:strCache>
                      <c:ptCount val="1"/>
                      <c:pt idx="0">
                        <c:v>RE Supply CAPEX (utility plants)</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'Cement Cost Model-Vietnam'!$B$90:$C$90</c15:sqref>
                        </c15:formulaRef>
                      </c:ext>
                    </c:extLst>
                    <c:numCache>
                      <c:formatCode>General</c:formatCode>
                      <c:ptCount val="2"/>
                      <c:pt idx="0">
                        <c:v>2030</c:v>
                      </c:pt>
                      <c:pt idx="1">
                        <c:v>2050</c:v>
                      </c:pt>
                    </c:numCache>
                  </c:numRef>
                </c:cat>
                <c:val>
                  <c:numRef>
                    <c:extLst xmlns:c15="http://schemas.microsoft.com/office/drawing/2012/chart">
                      <c:ext xmlns:c15="http://schemas.microsoft.com/office/drawing/2012/chart" uri="{02D57815-91ED-43cb-92C2-25804820EDAC}">
                        <c15:formulaRef>
                          <c15:sqref>'Cement Cost Model-Vietnam'!$B$102:$C$102</c15:sqref>
                        </c15:formulaRef>
                      </c:ext>
                    </c:extLst>
                    <c:numCache>
                      <c:formatCode>_(* #,##0.0_);_(* \(#,##0.0\);_(* "-"??_);_(@_)</c:formatCode>
                      <c:ptCount val="2"/>
                      <c:pt idx="0">
                        <c:v>0.73018291310134209</c:v>
                      </c:pt>
                      <c:pt idx="1">
                        <c:v>2.0000878508000399</c:v>
                      </c:pt>
                    </c:numCache>
                  </c:numRef>
                </c:val>
                <c:extLst xmlns:c15="http://schemas.microsoft.com/office/drawing/2012/chart">
                  <c:ext xmlns:c16="http://schemas.microsoft.com/office/drawing/2014/chart" uri="{C3380CC4-5D6E-409C-BE32-E72D297353CC}">
                    <c16:uniqueId val="{0000000A-42A1-4BB7-BCB7-CCE60BF9D85B}"/>
                  </c:ext>
                </c:extLst>
              </c15:ser>
            </c15:filteredBarSeries>
          </c:ext>
        </c:extLst>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2620210541"/>
          <c:y val="0.38604329359283035"/>
          <c:w val="0.35667074274700389"/>
          <c:h val="0.5682843974322011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Marginal Abatement Cost Curve for </a:t>
            </a:r>
            <a:r>
              <a:rPr lang="en-US" altLang="zh-CN"/>
              <a:t>the Vietnamese </a:t>
            </a:r>
            <a:r>
              <a:rPr lang="en-US"/>
              <a:t>Cement Industry </a:t>
            </a:r>
          </a:p>
          <a:p>
            <a:pPr>
              <a:defRPr/>
            </a:pPr>
            <a:r>
              <a:rPr lang="en-US"/>
              <a:t>in 2030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1"/>
          <c:order val="1"/>
          <c:tx>
            <c:strRef>
              <c:f>'Cement Cost Model-Vietnam'!$G$191</c:f>
              <c:strCache>
                <c:ptCount val="1"/>
                <c:pt idx="0">
                  <c:v>Clinker Substitution</c:v>
                </c:pt>
              </c:strCache>
            </c:strRef>
          </c:tx>
          <c:spPr>
            <a:solidFill>
              <a:schemeClr val="accent2"/>
            </a:solidFill>
            <a:ln w="25400">
              <a:noFill/>
            </a:ln>
            <a:effectLst/>
          </c:spPr>
          <c:invertIfNegative val="0"/>
          <c:cat>
            <c:numRef>
              <c:f>'Cement Cost Model-Vietnam'!$F$192:$F$278</c:f>
              <c:numCache>
                <c:formatCode>General</c:formatCode>
                <c:ptCount val="8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numCache>
            </c:numRef>
          </c:cat>
          <c:val>
            <c:numRef>
              <c:f>'Cement Cost Model-Vietnam'!$G$192:$G$305</c:f>
              <c:numCache>
                <c:formatCode>_("$"* #,##0_);_("$"* \(#,##0\);_("$"* "-"??_);_(@_)</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BEDC-42BE-8A03-55E66C854FE4}"/>
            </c:ext>
          </c:extLst>
        </c:ser>
        <c:ser>
          <c:idx val="2"/>
          <c:order val="2"/>
          <c:tx>
            <c:strRef>
              <c:f>'Cement Cost Model-Vietnam'!$H$191</c:f>
              <c:strCache>
                <c:ptCount val="1"/>
                <c:pt idx="0">
                  <c:v>Energy Efficiency</c:v>
                </c:pt>
              </c:strCache>
            </c:strRef>
          </c:tx>
          <c:spPr>
            <a:solidFill>
              <a:schemeClr val="accent6">
                <a:lumMod val="60000"/>
                <a:lumOff val="40000"/>
              </a:schemeClr>
            </a:solidFill>
            <a:ln w="25400">
              <a:noFill/>
            </a:ln>
            <a:effectLst/>
          </c:spPr>
          <c:invertIfNegative val="0"/>
          <c:cat>
            <c:numRef>
              <c:f>'Cement Cost Model-Vietnam'!$F$192:$F$278</c:f>
              <c:numCache>
                <c:formatCode>General</c:formatCode>
                <c:ptCount val="8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numCache>
            </c:numRef>
          </c:cat>
          <c:val>
            <c:numRef>
              <c:f>'Cement Cost Model-Vietnam'!$H$192:$H$305</c:f>
              <c:numCache>
                <c:formatCode>General</c:formatCode>
                <c:ptCount val="114"/>
                <c:pt idx="35" formatCode="_(&quot;$&quot;* #,##0_);_(&quot;$&quot;* \(#,##0\);_(&quot;$&quot;* &quot;-&quot;??_);_(@_)">
                  <c:v>0</c:v>
                </c:pt>
                <c:pt idx="36" formatCode="_(&quot;$&quot;* #,##0_);_(&quot;$&quot;* \(#,##0\);_(&quot;$&quot;* &quot;-&quot;??_);_(@_)">
                  <c:v>0</c:v>
                </c:pt>
                <c:pt idx="37" formatCode="_(&quot;$&quot;* #,##0_);_(&quot;$&quot;* \(#,##0\);_(&quot;$&quot;* &quot;-&quot;??_);_(@_)">
                  <c:v>0</c:v>
                </c:pt>
                <c:pt idx="38" formatCode="_(&quot;$&quot;* #,##0_);_(&quot;$&quot;* \(#,##0\);_(&quot;$&quot;* &quot;-&quot;??_);_(@_)">
                  <c:v>0</c:v>
                </c:pt>
                <c:pt idx="39" formatCode="_(&quot;$&quot;* #,##0_);_(&quot;$&quot;* \(#,##0\);_(&quot;$&quot;* &quot;-&quot;??_);_(@_)">
                  <c:v>0</c:v>
                </c:pt>
                <c:pt idx="40" formatCode="_(&quot;$&quot;* #,##0_);_(&quot;$&quot;* \(#,##0\);_(&quot;$&quot;* &quot;-&quot;??_);_(@_)">
                  <c:v>0</c:v>
                </c:pt>
                <c:pt idx="41" formatCode="_(&quot;$&quot;* #,##0_);_(&quot;$&quot;* \(#,##0\);_(&quot;$&quot;* &quot;-&quot;??_);_(@_)">
                  <c:v>0</c:v>
                </c:pt>
                <c:pt idx="42" formatCode="_(&quot;$&quot;* #,##0_);_(&quot;$&quot;* \(#,##0\);_(&quot;$&quot;* &quot;-&quot;??_);_(@_)">
                  <c:v>0</c:v>
                </c:pt>
                <c:pt idx="43" formatCode="_(&quot;$&quot;* #,##0_);_(&quot;$&quot;* \(#,##0\);_(&quot;$&quot;* &quot;-&quot;??_);_(@_)">
                  <c:v>0</c:v>
                </c:pt>
                <c:pt idx="44" formatCode="_(&quot;$&quot;* #,##0_);_(&quot;$&quot;* \(#,##0\);_(&quot;$&quot;* &quot;-&quot;??_);_(@_)">
                  <c:v>0</c:v>
                </c:pt>
                <c:pt idx="45" formatCode="_(&quot;$&quot;* #,##0_);_(&quot;$&quot;* \(#,##0\);_(&quot;$&quot;* &quot;-&quot;??_);_(@_)">
                  <c:v>0</c:v>
                </c:pt>
                <c:pt idx="46" formatCode="_(&quot;$&quot;* #,##0_);_(&quot;$&quot;* \(#,##0\);_(&quot;$&quot;* &quot;-&quot;??_);_(@_)">
                  <c:v>0</c:v>
                </c:pt>
                <c:pt idx="47" formatCode="_(&quot;$&quot;* #,##0_);_(&quot;$&quot;* \(#,##0\);_(&quot;$&quot;* &quot;-&quot;??_);_(@_)">
                  <c:v>0</c:v>
                </c:pt>
                <c:pt idx="48" formatCode="_(&quot;$&quot;* #,##0_);_(&quot;$&quot;* \(#,##0\);_(&quot;$&quot;* &quot;-&quot;??_);_(@_)">
                  <c:v>0</c:v>
                </c:pt>
                <c:pt idx="49" formatCode="_(&quot;$&quot;* #,##0_);_(&quot;$&quot;* \(#,##0\);_(&quot;$&quot;* &quot;-&quot;??_);_(@_)">
                  <c:v>0</c:v>
                </c:pt>
                <c:pt idx="50" formatCode="_(&quot;$&quot;* #,##0_);_(&quot;$&quot;* \(#,##0\);_(&quot;$&quot;* &quot;-&quot;??_);_(@_)">
                  <c:v>0</c:v>
                </c:pt>
                <c:pt idx="51" formatCode="_(&quot;$&quot;* #,##0_);_(&quot;$&quot;* \(#,##0\);_(&quot;$&quot;* &quot;-&quot;??_);_(@_)">
                  <c:v>0</c:v>
                </c:pt>
                <c:pt idx="52" formatCode="_(&quot;$&quot;* #,##0_);_(&quot;$&quot;* \(#,##0\);_(&quot;$&quot;* &quot;-&quot;??_);_(@_)">
                  <c:v>0</c:v>
                </c:pt>
                <c:pt idx="53" formatCode="_(&quot;$&quot;* #,##0_);_(&quot;$&quot;* \(#,##0\);_(&quot;$&quot;* &quot;-&quot;??_);_(@_)">
                  <c:v>0</c:v>
                </c:pt>
                <c:pt idx="54" formatCode="_(&quot;$&quot;* #,##0_);_(&quot;$&quot;* \(#,##0\);_(&quot;$&quot;* &quot;-&quot;??_);_(@_)">
                  <c:v>0</c:v>
                </c:pt>
                <c:pt idx="55" formatCode="_(&quot;$&quot;* #,##0_);_(&quot;$&quot;* \(#,##0\);_(&quot;$&quot;* &quot;-&quot;??_);_(@_)">
                  <c:v>0</c:v>
                </c:pt>
                <c:pt idx="56" formatCode="_(&quot;$&quot;* #,##0_);_(&quot;$&quot;* \(#,##0\);_(&quot;$&quot;* &quot;-&quot;??_);_(@_)">
                  <c:v>0</c:v>
                </c:pt>
                <c:pt idx="57" formatCode="_(&quot;$&quot;* #,##0_);_(&quot;$&quot;* \(#,##0\);_(&quot;$&quot;* &quot;-&quot;??_);_(@_)">
                  <c:v>0</c:v>
                </c:pt>
                <c:pt idx="58" formatCode="_(&quot;$&quot;* #,##0_);_(&quot;$&quot;* \(#,##0\);_(&quot;$&quot;* &quot;-&quot;??_);_(@_)">
                  <c:v>0</c:v>
                </c:pt>
                <c:pt idx="59" formatCode="_(&quot;$&quot;* #,##0_);_(&quot;$&quot;* \(#,##0\);_(&quot;$&quot;* &quot;-&quot;??_);_(@_)">
                  <c:v>0</c:v>
                </c:pt>
                <c:pt idx="60" formatCode="_(&quot;$&quot;* #,##0_);_(&quot;$&quot;* \(#,##0\);_(&quot;$&quot;* &quot;-&quot;??_);_(@_)">
                  <c:v>0</c:v>
                </c:pt>
                <c:pt idx="61" formatCode="_(&quot;$&quot;* #,##0_);_(&quot;$&quot;* \(#,##0\);_(&quot;$&quot;* &quot;-&quot;??_);_(@_)">
                  <c:v>0</c:v>
                </c:pt>
                <c:pt idx="62" formatCode="_(&quot;$&quot;* #,##0_);_(&quot;$&quot;* \(#,##0\);_(&quot;$&quot;* &quot;-&quot;??_);_(@_)">
                  <c:v>0</c:v>
                </c:pt>
                <c:pt idx="63" formatCode="_(&quot;$&quot;* #,##0_);_(&quot;$&quot;* \(#,##0\);_(&quot;$&quot;* &quot;-&quot;??_);_(@_)">
                  <c:v>0</c:v>
                </c:pt>
                <c:pt idx="64" formatCode="_(&quot;$&quot;* #,##0_);_(&quot;$&quot;* \(#,##0\);_(&quot;$&quot;* &quot;-&quot;??_);_(@_)">
                  <c:v>0</c:v>
                </c:pt>
                <c:pt idx="65" formatCode="_(&quot;$&quot;* #,##0_);_(&quot;$&quot;* \(#,##0\);_(&quot;$&quot;* &quot;-&quot;??_);_(@_)">
                  <c:v>0</c:v>
                </c:pt>
                <c:pt idx="66" formatCode="_(&quot;$&quot;* #,##0_);_(&quot;$&quot;* \(#,##0\);_(&quot;$&quot;* &quot;-&quot;??_);_(@_)">
                  <c:v>0</c:v>
                </c:pt>
                <c:pt idx="67" formatCode="_(&quot;$&quot;* #,##0_);_(&quot;$&quot;* \(#,##0\);_(&quot;$&quot;* &quot;-&quot;??_);_(@_)">
                  <c:v>0</c:v>
                </c:pt>
                <c:pt idx="68" formatCode="_(&quot;$&quot;* #,##0_);_(&quot;$&quot;* \(#,##0\);_(&quot;$&quot;* &quot;-&quot;??_);_(@_)">
                  <c:v>0</c:v>
                </c:pt>
                <c:pt idx="69" formatCode="_(&quot;$&quot;* #,##0_);_(&quot;$&quot;* \(#,##0\);_(&quot;$&quot;* &quot;-&quot;??_);_(@_)">
                  <c:v>0</c:v>
                </c:pt>
                <c:pt idx="70" formatCode="_(&quot;$&quot;* #,##0_);_(&quot;$&quot;* \(#,##0\);_(&quot;$&quot;* &quot;-&quot;??_);_(@_)">
                  <c:v>0</c:v>
                </c:pt>
                <c:pt idx="71" formatCode="_(&quot;$&quot;* #,##0_);_(&quot;$&quot;* \(#,##0\);_(&quot;$&quot;* &quot;-&quot;??_);_(@_)">
                  <c:v>0</c:v>
                </c:pt>
                <c:pt idx="72" formatCode="_(&quot;$&quot;* #,##0_);_(&quot;$&quot;* \(#,##0\);_(&quot;$&quot;* &quot;-&quot;??_);_(@_)">
                  <c:v>0</c:v>
                </c:pt>
                <c:pt idx="73" formatCode="_(&quot;$&quot;* #,##0_);_(&quot;$&quot;* \(#,##0\);_(&quot;$&quot;* &quot;-&quot;??_);_(@_)">
                  <c:v>0</c:v>
                </c:pt>
                <c:pt idx="74" formatCode="_(&quot;$&quot;* #,##0_);_(&quot;$&quot;* \(#,##0\);_(&quot;$&quot;* &quot;-&quot;??_);_(@_)">
                  <c:v>0</c:v>
                </c:pt>
              </c:numCache>
            </c:numRef>
          </c:val>
          <c:extLst>
            <c:ext xmlns:c16="http://schemas.microsoft.com/office/drawing/2014/chart" uri="{C3380CC4-5D6E-409C-BE32-E72D297353CC}">
              <c16:uniqueId val="{00000001-BEDC-42BE-8A03-55E66C854FE4}"/>
            </c:ext>
          </c:extLst>
        </c:ser>
        <c:ser>
          <c:idx val="3"/>
          <c:order val="3"/>
          <c:tx>
            <c:strRef>
              <c:f>'Cement Cost Model-Vietnam'!$I$191</c:f>
              <c:strCache>
                <c:ptCount val="1"/>
                <c:pt idx="0">
                  <c:v>Alternative Fuels: Biomass</c:v>
                </c:pt>
              </c:strCache>
            </c:strRef>
          </c:tx>
          <c:spPr>
            <a:solidFill>
              <a:schemeClr val="accent4"/>
            </a:solidFill>
            <a:ln w="25400">
              <a:noFill/>
            </a:ln>
            <a:effectLst/>
          </c:spPr>
          <c:invertIfNegative val="0"/>
          <c:cat>
            <c:numRef>
              <c:f>'Cement Cost Model-Vietnam'!$F$192:$F$278</c:f>
              <c:numCache>
                <c:formatCode>General</c:formatCode>
                <c:ptCount val="8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numCache>
            </c:numRef>
          </c:cat>
          <c:val>
            <c:numRef>
              <c:f>'Cement Cost Model-Vietnam'!$I$192:$I$305</c:f>
              <c:numCache>
                <c:formatCode>General</c:formatCode>
                <c:ptCount val="114"/>
                <c:pt idx="75" formatCode="_(&quot;$&quot;* #,##0_);_(&quot;$&quot;* \(#,##0\);_(&quot;$&quot;* &quot;-&quot;??_);_(@_)">
                  <c:v>38.756784483391833</c:v>
                </c:pt>
                <c:pt idx="76" formatCode="_(&quot;$&quot;* #,##0_);_(&quot;$&quot;* \(#,##0\);_(&quot;$&quot;* &quot;-&quot;??_);_(@_)">
                  <c:v>38.756784483391833</c:v>
                </c:pt>
              </c:numCache>
            </c:numRef>
          </c:val>
          <c:extLst>
            <c:ext xmlns:c16="http://schemas.microsoft.com/office/drawing/2014/chart" uri="{C3380CC4-5D6E-409C-BE32-E72D297353CC}">
              <c16:uniqueId val="{00000002-BEDC-42BE-8A03-55E66C854FE4}"/>
            </c:ext>
          </c:extLst>
        </c:ser>
        <c:ser>
          <c:idx val="4"/>
          <c:order val="4"/>
          <c:tx>
            <c:strRef>
              <c:f>'Cement Cost Model-Vietnam'!$J$191</c:f>
              <c:strCache>
                <c:ptCount val="1"/>
                <c:pt idx="0">
                  <c:v>Alternative Fuels: Industrial Wastes</c:v>
                </c:pt>
              </c:strCache>
            </c:strRef>
          </c:tx>
          <c:spPr>
            <a:solidFill>
              <a:schemeClr val="accent5"/>
            </a:solidFill>
            <a:ln>
              <a:noFill/>
            </a:ln>
            <a:effectLst/>
          </c:spPr>
          <c:invertIfNegative val="0"/>
          <c:cat>
            <c:numRef>
              <c:f>'Cement Cost Model-Vietnam'!$F$192:$F$278</c:f>
              <c:numCache>
                <c:formatCode>General</c:formatCode>
                <c:ptCount val="8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numCache>
            </c:numRef>
          </c:cat>
          <c:val>
            <c:numRef>
              <c:f>'Cement Cost Model-Vietnam'!$J$192:$J$305</c:f>
              <c:numCache>
                <c:formatCode>General</c:formatCode>
                <c:ptCount val="114"/>
                <c:pt idx="77" formatCode="_(&quot;$&quot;* #,##0_);_(&quot;$&quot;* \(#,##0\);_(&quot;$&quot;* &quot;-&quot;??_);_(@_)">
                  <c:v>83.718452591721814</c:v>
                </c:pt>
                <c:pt idx="78" formatCode="_(&quot;$&quot;* #,##0_);_(&quot;$&quot;* \(#,##0\);_(&quot;$&quot;* &quot;-&quot;??_);_(@_)">
                  <c:v>83.718452591721814</c:v>
                </c:pt>
                <c:pt idx="79" formatCode="_(&quot;$&quot;* #,##0_);_(&quot;$&quot;* \(#,##0\);_(&quot;$&quot;* &quot;-&quot;??_);_(@_)">
                  <c:v>83.718452591721814</c:v>
                </c:pt>
                <c:pt idx="80" formatCode="_(&quot;$&quot;* #,##0_);_(&quot;$&quot;* \(#,##0\);_(&quot;$&quot;* &quot;-&quot;??_);_(@_)">
                  <c:v>83.718452591721814</c:v>
                </c:pt>
                <c:pt idx="81" formatCode="_(&quot;$&quot;* #,##0_);_(&quot;$&quot;* \(#,##0\);_(&quot;$&quot;* &quot;-&quot;??_);_(@_)">
                  <c:v>83.718452591721814</c:v>
                </c:pt>
                <c:pt idx="82" formatCode="_(&quot;$&quot;* #,##0_);_(&quot;$&quot;* \(#,##0\);_(&quot;$&quot;* &quot;-&quot;??_);_(@_)">
                  <c:v>83.718452591721814</c:v>
                </c:pt>
                <c:pt idx="83" formatCode="_(&quot;$&quot;* #,##0_);_(&quot;$&quot;* \(#,##0\);_(&quot;$&quot;* &quot;-&quot;??_);_(@_)">
                  <c:v>83.718452591721814</c:v>
                </c:pt>
                <c:pt idx="84" formatCode="_(&quot;$&quot;* #,##0_);_(&quot;$&quot;* \(#,##0\);_(&quot;$&quot;* &quot;-&quot;??_);_(@_)">
                  <c:v>83.718452591721814</c:v>
                </c:pt>
                <c:pt idx="85" formatCode="_(&quot;$&quot;* #,##0_);_(&quot;$&quot;* \(#,##0\);_(&quot;$&quot;* &quot;-&quot;??_);_(@_)">
                  <c:v>83.718452591721814</c:v>
                </c:pt>
                <c:pt idx="86" formatCode="_(&quot;$&quot;* #,##0_);_(&quot;$&quot;* \(#,##0\);_(&quot;$&quot;* &quot;-&quot;??_);_(@_)">
                  <c:v>83.718452591721814</c:v>
                </c:pt>
              </c:numCache>
            </c:numRef>
          </c:val>
          <c:extLst>
            <c:ext xmlns:c16="http://schemas.microsoft.com/office/drawing/2014/chart" uri="{C3380CC4-5D6E-409C-BE32-E72D297353CC}">
              <c16:uniqueId val="{00000003-BEDC-42BE-8A03-55E66C854FE4}"/>
            </c:ext>
          </c:extLst>
        </c:ser>
        <c:ser>
          <c:idx val="5"/>
          <c:order val="5"/>
          <c:tx>
            <c:strRef>
              <c:f>'Cement Cost Model-Vietnam'!$K$191</c:f>
              <c:strCache>
                <c:ptCount val="1"/>
                <c:pt idx="0">
                  <c:v>Alternative Fuels: H2 Injection (including RE and Electrolyzer CAPEX)</c:v>
                </c:pt>
              </c:strCache>
            </c:strRef>
          </c:tx>
          <c:spPr>
            <a:solidFill>
              <a:schemeClr val="accent6"/>
            </a:solidFill>
            <a:ln>
              <a:noFill/>
            </a:ln>
            <a:effectLst/>
          </c:spPr>
          <c:invertIfNegative val="0"/>
          <c:cat>
            <c:numRef>
              <c:f>'Cement Cost Model-Vietnam'!$F$192:$F$278</c:f>
              <c:numCache>
                <c:formatCode>General</c:formatCode>
                <c:ptCount val="8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numCache>
            </c:numRef>
          </c:cat>
          <c:val>
            <c:numRef>
              <c:f>'Cement Cost Model-Vietnam'!$K$192:$K$305</c:f>
              <c:numCache>
                <c:formatCode>General</c:formatCode>
                <c:ptCount val="114"/>
                <c:pt idx="87" formatCode="_(&quot;$&quot;* #,##0_);_(&quot;$&quot;* \(#,##0\);_(&quot;$&quot;* &quot;-&quot;??_);_(@_)">
                  <c:v>0</c:v>
                </c:pt>
                <c:pt idx="88" formatCode="_(&quot;$&quot;* #,##0_);_(&quot;$&quot;* \(#,##0\);_(&quot;$&quot;* &quot;-&quot;??_);_(@_)">
                  <c:v>0</c:v>
                </c:pt>
                <c:pt idx="89" formatCode="_(&quot;$&quot;* #,##0_);_(&quot;$&quot;* \(#,##0\);_(&quot;$&quot;* &quot;-&quot;??_);_(@_)">
                  <c:v>0</c:v>
                </c:pt>
                <c:pt idx="90" formatCode="_(&quot;$&quot;* #,##0_);_(&quot;$&quot;* \(#,##0\);_(&quot;$&quot;* &quot;-&quot;??_);_(@_)">
                  <c:v>0</c:v>
                </c:pt>
                <c:pt idx="91" formatCode="_(&quot;$&quot;* #,##0_);_(&quot;$&quot;* \(#,##0\);_(&quot;$&quot;* &quot;-&quot;??_);_(@_)">
                  <c:v>0</c:v>
                </c:pt>
                <c:pt idx="92" formatCode="_(&quot;$&quot;* #,##0_);_(&quot;$&quot;* \(#,##0\);_(&quot;$&quot;* &quot;-&quot;??_);_(@_)">
                  <c:v>0</c:v>
                </c:pt>
                <c:pt idx="93" formatCode="_(&quot;$&quot;* #,##0_);_(&quot;$&quot;* \(#,##0\);_(&quot;$&quot;* &quot;-&quot;??_);_(@_)">
                  <c:v>0</c:v>
                </c:pt>
                <c:pt idx="94" formatCode="_(&quot;$&quot;* #,##0_);_(&quot;$&quot;* \(#,##0\);_(&quot;$&quot;* &quot;-&quot;??_);_(@_)">
                  <c:v>0</c:v>
                </c:pt>
                <c:pt idx="95" formatCode="_(&quot;$&quot;* #,##0_);_(&quot;$&quot;* \(#,##0\);_(&quot;$&quot;* &quot;-&quot;??_);_(@_)">
                  <c:v>0</c:v>
                </c:pt>
                <c:pt idx="96" formatCode="_(&quot;$&quot;* #,##0_);_(&quot;$&quot;* \(#,##0\);_(&quot;$&quot;* &quot;-&quot;??_);_(@_)">
                  <c:v>0</c:v>
                </c:pt>
                <c:pt idx="97" formatCode="_(&quot;$&quot;* #,##0_);_(&quot;$&quot;* \(#,##0\);_(&quot;$&quot;* &quot;-&quot;??_);_(@_)">
                  <c:v>0</c:v>
                </c:pt>
                <c:pt idx="98" formatCode="_(&quot;$&quot;* #,##0_);_(&quot;$&quot;* \(#,##0\);_(&quot;$&quot;* &quot;-&quot;??_);_(@_)">
                  <c:v>0</c:v>
                </c:pt>
                <c:pt idx="99" formatCode="_(&quot;$&quot;* #,##0_);_(&quot;$&quot;* \(#,##0\);_(&quot;$&quot;* &quot;-&quot;??_);_(@_)">
                  <c:v>0</c:v>
                </c:pt>
                <c:pt idx="100" formatCode="_(&quot;$&quot;* #,##0_);_(&quot;$&quot;* \(#,##0\);_(&quot;$&quot;* &quot;-&quot;??_);_(@_)">
                  <c:v>0</c:v>
                </c:pt>
                <c:pt idx="101" formatCode="_(&quot;$&quot;* #,##0_);_(&quot;$&quot;* \(#,##0\);_(&quot;$&quot;* &quot;-&quot;??_);_(@_)">
                  <c:v>0</c:v>
                </c:pt>
                <c:pt idx="102" formatCode="_(&quot;$&quot;* #,##0_);_(&quot;$&quot;* \(#,##0\);_(&quot;$&quot;* &quot;-&quot;??_);_(@_)">
                  <c:v>0</c:v>
                </c:pt>
                <c:pt idx="103" formatCode="_(&quot;$&quot;* #,##0_);_(&quot;$&quot;* \(#,##0\);_(&quot;$&quot;* &quot;-&quot;??_);_(@_)">
                  <c:v>0</c:v>
                </c:pt>
                <c:pt idx="104" formatCode="_(&quot;$&quot;* #,##0_);_(&quot;$&quot;* \(#,##0\);_(&quot;$&quot;* &quot;-&quot;??_);_(@_)">
                  <c:v>0</c:v>
                </c:pt>
                <c:pt idx="105" formatCode="_(&quot;$&quot;* #,##0_);_(&quot;$&quot;* \(#,##0\);_(&quot;$&quot;* &quot;-&quot;??_);_(@_)">
                  <c:v>0</c:v>
                </c:pt>
                <c:pt idx="106" formatCode="_(&quot;$&quot;* #,##0_);_(&quot;$&quot;* \(#,##0\);_(&quot;$&quot;* &quot;-&quot;??_);_(@_)">
                  <c:v>0</c:v>
                </c:pt>
                <c:pt idx="107" formatCode="_(&quot;$&quot;* #,##0_);_(&quot;$&quot;* \(#,##0\);_(&quot;$&quot;* &quot;-&quot;??_);_(@_)">
                  <c:v>0</c:v>
                </c:pt>
                <c:pt idx="108" formatCode="_(&quot;$&quot;* #,##0_);_(&quot;$&quot;* \(#,##0\);_(&quot;$&quot;* &quot;-&quot;??_);_(@_)">
                  <c:v>0</c:v>
                </c:pt>
              </c:numCache>
            </c:numRef>
          </c:val>
          <c:extLst>
            <c:ext xmlns:c16="http://schemas.microsoft.com/office/drawing/2014/chart" uri="{C3380CC4-5D6E-409C-BE32-E72D297353CC}">
              <c16:uniqueId val="{00000004-BEDC-42BE-8A03-55E66C854FE4}"/>
            </c:ext>
          </c:extLst>
        </c:ser>
        <c:ser>
          <c:idx val="6"/>
          <c:order val="6"/>
          <c:tx>
            <c:strRef>
              <c:f>'Cement Cost Model-Vietnam'!$L$191</c:f>
              <c:strCache>
                <c:ptCount val="1"/>
                <c:pt idx="0">
                  <c:v>CCS</c:v>
                </c:pt>
              </c:strCache>
            </c:strRef>
          </c:tx>
          <c:spPr>
            <a:solidFill>
              <a:schemeClr val="accent1">
                <a:lumMod val="60000"/>
              </a:schemeClr>
            </a:solidFill>
            <a:ln>
              <a:noFill/>
            </a:ln>
            <a:effectLst/>
          </c:spPr>
          <c:invertIfNegative val="0"/>
          <c:cat>
            <c:numRef>
              <c:f>'Cement Cost Model-Vietnam'!$F$192:$F$278</c:f>
              <c:numCache>
                <c:formatCode>General</c:formatCode>
                <c:ptCount val="87"/>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numCache>
            </c:numRef>
          </c:cat>
          <c:val>
            <c:numRef>
              <c:f>'Cement Cost Model-Vietnam'!$L$192:$L$305</c:f>
              <c:numCache>
                <c:formatCode>General</c:formatCode>
                <c:ptCount val="114"/>
                <c:pt idx="109" formatCode="_(&quot;$&quot;* #,##0_);_(&quot;$&quot;* \(#,##0\);_(&quot;$&quot;* &quot;-&quot;??_);_(@_)">
                  <c:v>0</c:v>
                </c:pt>
                <c:pt idx="110" formatCode="_(&quot;$&quot;* #,##0_);_(&quot;$&quot;* \(#,##0\);_(&quot;$&quot;* &quot;-&quot;??_);_(@_)">
                  <c:v>0</c:v>
                </c:pt>
                <c:pt idx="111" formatCode="_(&quot;$&quot;* #,##0_);_(&quot;$&quot;* \(#,##0\);_(&quot;$&quot;* &quot;-&quot;??_);_(@_)">
                  <c:v>0</c:v>
                </c:pt>
                <c:pt idx="112" formatCode="_(&quot;$&quot;* #,##0_);_(&quot;$&quot;* \(#,##0\);_(&quot;$&quot;* &quot;-&quot;??_);_(@_)">
                  <c:v>0</c:v>
                </c:pt>
                <c:pt idx="113" formatCode="_(&quot;$&quot;* #,##0_);_(&quot;$&quot;* \(#,##0\);_(&quot;$&quot;* &quot;-&quot;??_);_(@_)">
                  <c:v>0</c:v>
                </c:pt>
              </c:numCache>
            </c:numRef>
          </c:val>
          <c:extLst>
            <c:ext xmlns:c16="http://schemas.microsoft.com/office/drawing/2014/chart" uri="{C3380CC4-5D6E-409C-BE32-E72D297353CC}">
              <c16:uniqueId val="{00000005-BEDC-42BE-8A03-55E66C854FE4}"/>
            </c:ext>
          </c:extLst>
        </c:ser>
        <c:dLbls>
          <c:showLegendKey val="0"/>
          <c:showVal val="0"/>
          <c:showCatName val="0"/>
          <c:showSerName val="0"/>
          <c:showPercent val="0"/>
          <c:showBubbleSize val="0"/>
        </c:dLbls>
        <c:gapWidth val="0"/>
        <c:overlap val="100"/>
        <c:axId val="1750805616"/>
        <c:axId val="670237407"/>
      </c:barChart>
      <c:scatterChart>
        <c:scatterStyle val="lineMarker"/>
        <c:varyColors val="0"/>
        <c:ser>
          <c:idx val="0"/>
          <c:order val="0"/>
          <c:spPr>
            <a:ln w="25400" cap="rnd">
              <a:noFill/>
              <a:round/>
            </a:ln>
            <a:effectLst/>
          </c:spPr>
          <c:marker>
            <c:symbol val="none"/>
          </c:marker>
          <c:errBars>
            <c:errDir val="y"/>
            <c:errBarType val="minus"/>
            <c:errValType val="cust"/>
            <c:noEndCap val="1"/>
            <c:plus>
              <c:numLit>
                <c:formatCode>General</c:formatCode>
                <c:ptCount val="1"/>
                <c:pt idx="0">
                  <c:v>1</c:v>
                </c:pt>
              </c:numLit>
            </c:plus>
            <c:minus>
              <c:numRef>
                <c:f>'Cement Cost Model-Vietnam'!$K$167:$K$173</c:f>
                <c:numCache>
                  <c:formatCode>_(* #,##0.00_);_(* \(#,##0.00\);_(* "-"??_);_(@_)</c:formatCode>
                  <c:ptCount val="7"/>
                  <c:pt idx="1">
                    <c:v>2.5910888584439311</c:v>
                  </c:pt>
                  <c:pt idx="2">
                    <c:v>2.8959228417902763</c:v>
                  </c:pt>
                  <c:pt idx="3">
                    <c:v>0.15003547617827895</c:v>
                  </c:pt>
                  <c:pt idx="4">
                    <c:v>0.75807398490077826</c:v>
                  </c:pt>
                  <c:pt idx="5">
                    <c:v>1.5603689522541027</c:v>
                  </c:pt>
                  <c:pt idx="6">
                    <c:v>0.35563964723740238</c:v>
                  </c:pt>
                </c:numCache>
              </c:numRef>
            </c:minus>
            <c:spPr>
              <a:noFill/>
              <a:ln w="9525" cap="flat" cmpd="sng" algn="ctr">
                <a:solidFill>
                  <a:schemeClr val="tx1">
                    <a:lumMod val="65000"/>
                    <a:lumOff val="35000"/>
                  </a:schemeClr>
                </a:solidFill>
                <a:round/>
              </a:ln>
              <a:effectLst/>
            </c:spPr>
          </c:errBars>
          <c:xVal>
            <c:numRef>
              <c:f>'Cement Cost Model-Vietnam'!$I$167:$I$173</c:f>
              <c:numCache>
                <c:formatCode>_(* #,##0.00_);_(* \(#,##0.00\);_(* "-"??_);_(@_)</c:formatCode>
                <c:ptCount val="7"/>
                <c:pt idx="0" formatCode="General">
                  <c:v>0</c:v>
                </c:pt>
                <c:pt idx="1">
                  <c:v>2.5910888584439311</c:v>
                </c:pt>
                <c:pt idx="2">
                  <c:v>5.4870117002342074</c:v>
                </c:pt>
                <c:pt idx="3">
                  <c:v>5.6370471764124863</c:v>
                </c:pt>
                <c:pt idx="4">
                  <c:v>6.3951211613132646</c:v>
                </c:pt>
                <c:pt idx="5">
                  <c:v>7.9554901135673672</c:v>
                </c:pt>
                <c:pt idx="6">
                  <c:v>8.3111297608047696</c:v>
                </c:pt>
              </c:numCache>
            </c:numRef>
          </c:xVal>
          <c:yVal>
            <c:numRef>
              <c:f>'Cement Cost Model-Vietnam'!$J$167:$J$173</c:f>
              <c:numCache>
                <c:formatCode>_("$"* #,##0_);_("$"* \(#,##0\);_("$"* "-"??_);_(@_)</c:formatCode>
                <c:ptCount val="7"/>
                <c:pt idx="0">
                  <c:v>0</c:v>
                </c:pt>
                <c:pt idx="1">
                  <c:v>0</c:v>
                </c:pt>
                <c:pt idx="2">
                  <c:v>0</c:v>
                </c:pt>
                <c:pt idx="3">
                  <c:v>38.756784483391833</c:v>
                </c:pt>
                <c:pt idx="4">
                  <c:v>83.718452591721814</c:v>
                </c:pt>
                <c:pt idx="5">
                  <c:v>0</c:v>
                </c:pt>
                <c:pt idx="6">
                  <c:v>0</c:v>
                </c:pt>
              </c:numCache>
            </c:numRef>
          </c:yVal>
          <c:smooth val="0"/>
          <c:extLst>
            <c:ext xmlns:c16="http://schemas.microsoft.com/office/drawing/2014/chart" uri="{C3380CC4-5D6E-409C-BE32-E72D297353CC}">
              <c16:uniqueId val="{00000000-4AE0-42D7-AA0C-659787E476F1}"/>
            </c:ext>
          </c:extLst>
        </c:ser>
        <c:dLbls>
          <c:showLegendKey val="0"/>
          <c:showVal val="0"/>
          <c:showCatName val="0"/>
          <c:showSerName val="0"/>
          <c:showPercent val="0"/>
          <c:showBubbleSize val="0"/>
        </c:dLbls>
        <c:axId val="1004387183"/>
        <c:axId val="999446367"/>
      </c:scatterChart>
      <c:valAx>
        <c:axId val="1004387183"/>
        <c:scaling>
          <c:orientation val="minMax"/>
          <c:max val="6"/>
          <c:min val="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Avoided CO</a:t>
                </a:r>
                <a:r>
                  <a:rPr lang="en-US" baseline="-25000"/>
                  <a:t>2</a:t>
                </a:r>
                <a:r>
                  <a:rPr lang="en-US"/>
                  <a:t> Emissions in</a:t>
                </a:r>
                <a:r>
                  <a:rPr lang="en-US" baseline="0"/>
                  <a:t> 2030 </a:t>
                </a:r>
                <a:r>
                  <a:rPr lang="en-US"/>
                  <a:t>(MtCO</a:t>
                </a:r>
                <a:r>
                  <a:rPr lang="en-US" baseline="-25000"/>
                  <a:t>2</a:t>
                </a:r>
                <a:r>
                  <a:rPr lang="en-US" baseline="0"/>
                  <a:t>)</a:t>
                </a:r>
              </a:p>
            </c:rich>
          </c:tx>
          <c:layout>
            <c:manualLayout>
              <c:xMode val="edge"/>
              <c:yMode val="edge"/>
              <c:x val="0.36726273647114016"/>
              <c:y val="0.925764781683007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99446367"/>
        <c:crosses val="autoZero"/>
        <c:crossBetween val="midCat"/>
        <c:majorUnit val="1"/>
      </c:valAx>
      <c:valAx>
        <c:axId val="999446367"/>
        <c:scaling>
          <c:orientation val="minMax"/>
          <c:max val="50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Marginal Abatement Cost in 2030 ($/tCO</a:t>
                </a:r>
                <a:r>
                  <a:rPr lang="en-US" baseline="-25000"/>
                  <a:t>2</a:t>
                </a:r>
                <a:r>
                  <a:rPr lang="en-US" baseline="0"/>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04387183"/>
        <c:crosses val="autoZero"/>
        <c:crossBetween val="midCat"/>
      </c:valAx>
      <c:valAx>
        <c:axId val="670237407"/>
        <c:scaling>
          <c:orientation val="minMax"/>
        </c:scaling>
        <c:delete val="1"/>
        <c:axPos val="r"/>
        <c:numFmt formatCode="_(&quot;$&quot;* #,##0_);_(&quot;$&quot;* \(#,##0\);_(&quot;$&quot;* &quot;-&quot;??_);_(@_)" sourceLinked="1"/>
        <c:majorTickMark val="out"/>
        <c:minorTickMark val="none"/>
        <c:tickLblPos val="nextTo"/>
        <c:crossAx val="1750805616"/>
        <c:crosses val="max"/>
        <c:crossBetween val="between"/>
      </c:valAx>
      <c:catAx>
        <c:axId val="1750805616"/>
        <c:scaling>
          <c:orientation val="minMax"/>
        </c:scaling>
        <c:delete val="1"/>
        <c:axPos val="b"/>
        <c:numFmt formatCode="General" sourceLinked="1"/>
        <c:majorTickMark val="out"/>
        <c:minorTickMark val="none"/>
        <c:tickLblPos val="nextTo"/>
        <c:crossAx val="670237407"/>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a:t>Marginal Abatement Cost Curve for Indonesian Cement Industry </a:t>
            </a:r>
          </a:p>
          <a:p>
            <a:pPr>
              <a:defRPr/>
            </a:pPr>
            <a:r>
              <a:rPr lang="en-US" sz="1400"/>
              <a:t>in 2060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1"/>
          <c:order val="1"/>
          <c:tx>
            <c:strRef>
              <c:f>'Cement Cost Model-Vietnam'!$O$191</c:f>
              <c:strCache>
                <c:ptCount val="1"/>
                <c:pt idx="0">
                  <c:v>Clinker Substitution</c:v>
                </c:pt>
              </c:strCache>
            </c:strRef>
          </c:tx>
          <c:spPr>
            <a:solidFill>
              <a:schemeClr val="accent2"/>
            </a:solidFill>
            <a:ln w="25400">
              <a:noFill/>
            </a:ln>
            <a:effectLst/>
          </c:spPr>
          <c:invertIfNegative val="0"/>
          <c:cat>
            <c:numRef>
              <c:f>'Cement Cost Model-Vietnam'!$N$192:$N$603</c:f>
              <c:numCache>
                <c:formatCode>General</c:formatCode>
                <c:ptCount val="412"/>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pt idx="97">
                  <c:v>4.95</c:v>
                </c:pt>
                <c:pt idx="98">
                  <c:v>5</c:v>
                </c:pt>
                <c:pt idx="99">
                  <c:v>5.05</c:v>
                </c:pt>
                <c:pt idx="100">
                  <c:v>5.0999999999999996</c:v>
                </c:pt>
                <c:pt idx="101">
                  <c:v>5.15</c:v>
                </c:pt>
                <c:pt idx="102">
                  <c:v>5.2</c:v>
                </c:pt>
                <c:pt idx="103">
                  <c:v>5.25</c:v>
                </c:pt>
                <c:pt idx="104">
                  <c:v>5.3</c:v>
                </c:pt>
                <c:pt idx="105">
                  <c:v>5.35</c:v>
                </c:pt>
                <c:pt idx="106">
                  <c:v>5.4</c:v>
                </c:pt>
                <c:pt idx="107">
                  <c:v>5.45</c:v>
                </c:pt>
                <c:pt idx="108">
                  <c:v>5.5</c:v>
                </c:pt>
                <c:pt idx="109">
                  <c:v>5.55</c:v>
                </c:pt>
                <c:pt idx="110">
                  <c:v>5.6</c:v>
                </c:pt>
                <c:pt idx="111">
                  <c:v>5.65</c:v>
                </c:pt>
                <c:pt idx="112">
                  <c:v>5.7</c:v>
                </c:pt>
                <c:pt idx="113">
                  <c:v>5.75</c:v>
                </c:pt>
                <c:pt idx="114">
                  <c:v>5.8</c:v>
                </c:pt>
                <c:pt idx="115">
                  <c:v>5.85</c:v>
                </c:pt>
                <c:pt idx="116">
                  <c:v>5.9</c:v>
                </c:pt>
                <c:pt idx="117">
                  <c:v>5.95</c:v>
                </c:pt>
                <c:pt idx="118">
                  <c:v>6</c:v>
                </c:pt>
                <c:pt idx="119">
                  <c:v>6.05</c:v>
                </c:pt>
                <c:pt idx="120">
                  <c:v>6.1</c:v>
                </c:pt>
                <c:pt idx="121">
                  <c:v>6.15</c:v>
                </c:pt>
                <c:pt idx="122">
                  <c:v>6.2</c:v>
                </c:pt>
                <c:pt idx="123">
                  <c:v>6.25</c:v>
                </c:pt>
                <c:pt idx="124">
                  <c:v>6.3</c:v>
                </c:pt>
                <c:pt idx="125">
                  <c:v>6.35</c:v>
                </c:pt>
                <c:pt idx="126">
                  <c:v>6.4</c:v>
                </c:pt>
                <c:pt idx="127">
                  <c:v>6.45</c:v>
                </c:pt>
                <c:pt idx="128">
                  <c:v>6.5</c:v>
                </c:pt>
                <c:pt idx="129">
                  <c:v>6.55</c:v>
                </c:pt>
                <c:pt idx="130">
                  <c:v>6.6</c:v>
                </c:pt>
                <c:pt idx="131">
                  <c:v>6.65</c:v>
                </c:pt>
                <c:pt idx="132">
                  <c:v>6.7</c:v>
                </c:pt>
                <c:pt idx="133">
                  <c:v>6.75</c:v>
                </c:pt>
                <c:pt idx="134">
                  <c:v>6.8</c:v>
                </c:pt>
                <c:pt idx="135">
                  <c:v>6.85</c:v>
                </c:pt>
                <c:pt idx="136">
                  <c:v>6.9</c:v>
                </c:pt>
                <c:pt idx="137">
                  <c:v>6.95</c:v>
                </c:pt>
                <c:pt idx="138">
                  <c:v>7</c:v>
                </c:pt>
                <c:pt idx="139">
                  <c:v>7.05</c:v>
                </c:pt>
                <c:pt idx="140">
                  <c:v>7.1</c:v>
                </c:pt>
                <c:pt idx="141">
                  <c:v>7.15</c:v>
                </c:pt>
                <c:pt idx="142">
                  <c:v>7.2</c:v>
                </c:pt>
                <c:pt idx="143">
                  <c:v>7.25</c:v>
                </c:pt>
                <c:pt idx="144">
                  <c:v>7.3</c:v>
                </c:pt>
                <c:pt idx="145">
                  <c:v>7.35</c:v>
                </c:pt>
                <c:pt idx="146">
                  <c:v>7.4</c:v>
                </c:pt>
                <c:pt idx="147">
                  <c:v>7.45</c:v>
                </c:pt>
                <c:pt idx="148">
                  <c:v>7.5</c:v>
                </c:pt>
                <c:pt idx="149">
                  <c:v>7.55</c:v>
                </c:pt>
                <c:pt idx="150">
                  <c:v>7.6</c:v>
                </c:pt>
                <c:pt idx="151">
                  <c:v>7.65</c:v>
                </c:pt>
                <c:pt idx="152">
                  <c:v>7.7</c:v>
                </c:pt>
                <c:pt idx="153">
                  <c:v>7.75</c:v>
                </c:pt>
                <c:pt idx="154">
                  <c:v>7.8</c:v>
                </c:pt>
                <c:pt idx="155">
                  <c:v>7.85</c:v>
                </c:pt>
                <c:pt idx="156">
                  <c:v>7.9</c:v>
                </c:pt>
                <c:pt idx="157">
                  <c:v>7.95</c:v>
                </c:pt>
                <c:pt idx="158">
                  <c:v>8</c:v>
                </c:pt>
                <c:pt idx="159">
                  <c:v>8.0500000000000007</c:v>
                </c:pt>
                <c:pt idx="160">
                  <c:v>8.1</c:v>
                </c:pt>
                <c:pt idx="161">
                  <c:v>8.15</c:v>
                </c:pt>
                <c:pt idx="162">
                  <c:v>8.1999999999999993</c:v>
                </c:pt>
                <c:pt idx="163">
                  <c:v>8.25</c:v>
                </c:pt>
                <c:pt idx="164">
                  <c:v>8.3000000000000007</c:v>
                </c:pt>
                <c:pt idx="165">
                  <c:v>8.35</c:v>
                </c:pt>
                <c:pt idx="166">
                  <c:v>8.4</c:v>
                </c:pt>
                <c:pt idx="167">
                  <c:v>8.4499999999999993</c:v>
                </c:pt>
                <c:pt idx="168">
                  <c:v>8.5</c:v>
                </c:pt>
                <c:pt idx="169">
                  <c:v>8.5500000000000007</c:v>
                </c:pt>
                <c:pt idx="170">
                  <c:v>8.6</c:v>
                </c:pt>
                <c:pt idx="171">
                  <c:v>8.65</c:v>
                </c:pt>
                <c:pt idx="172">
                  <c:v>8.6999999999999993</c:v>
                </c:pt>
                <c:pt idx="173">
                  <c:v>8.75</c:v>
                </c:pt>
                <c:pt idx="174">
                  <c:v>8.8000000000000007</c:v>
                </c:pt>
                <c:pt idx="175">
                  <c:v>8.85</c:v>
                </c:pt>
                <c:pt idx="176">
                  <c:v>8.9</c:v>
                </c:pt>
                <c:pt idx="177">
                  <c:v>8.9499999999999993</c:v>
                </c:pt>
                <c:pt idx="178">
                  <c:v>9</c:v>
                </c:pt>
                <c:pt idx="179">
                  <c:v>9.0500000000000007</c:v>
                </c:pt>
                <c:pt idx="180">
                  <c:v>9.1</c:v>
                </c:pt>
                <c:pt idx="181">
                  <c:v>9.15</c:v>
                </c:pt>
                <c:pt idx="182">
                  <c:v>9.1999999999999993</c:v>
                </c:pt>
                <c:pt idx="183">
                  <c:v>9.25</c:v>
                </c:pt>
                <c:pt idx="184">
                  <c:v>9.3000000000000007</c:v>
                </c:pt>
                <c:pt idx="185">
                  <c:v>9.35</c:v>
                </c:pt>
                <c:pt idx="186">
                  <c:v>9.4</c:v>
                </c:pt>
                <c:pt idx="187">
                  <c:v>9.4499999999999993</c:v>
                </c:pt>
                <c:pt idx="188">
                  <c:v>9.5</c:v>
                </c:pt>
                <c:pt idx="189">
                  <c:v>9.5500000000000007</c:v>
                </c:pt>
                <c:pt idx="190">
                  <c:v>9.6</c:v>
                </c:pt>
                <c:pt idx="191">
                  <c:v>9.65</c:v>
                </c:pt>
                <c:pt idx="192">
                  <c:v>9.6999999999999993</c:v>
                </c:pt>
                <c:pt idx="193">
                  <c:v>9.75</c:v>
                </c:pt>
                <c:pt idx="194">
                  <c:v>9.8000000000000007</c:v>
                </c:pt>
                <c:pt idx="195">
                  <c:v>9.85</c:v>
                </c:pt>
                <c:pt idx="196">
                  <c:v>9.9</c:v>
                </c:pt>
                <c:pt idx="197">
                  <c:v>9.9499999999999993</c:v>
                </c:pt>
                <c:pt idx="198">
                  <c:v>10</c:v>
                </c:pt>
                <c:pt idx="199">
                  <c:v>10.050000000000001</c:v>
                </c:pt>
                <c:pt idx="200">
                  <c:v>10.1</c:v>
                </c:pt>
                <c:pt idx="201">
                  <c:v>10.15</c:v>
                </c:pt>
                <c:pt idx="202">
                  <c:v>10.199999999999999</c:v>
                </c:pt>
                <c:pt idx="203">
                  <c:v>10.25</c:v>
                </c:pt>
                <c:pt idx="204">
                  <c:v>10.3</c:v>
                </c:pt>
                <c:pt idx="205">
                  <c:v>10.35</c:v>
                </c:pt>
                <c:pt idx="206">
                  <c:v>10.4</c:v>
                </c:pt>
                <c:pt idx="207">
                  <c:v>10.45</c:v>
                </c:pt>
                <c:pt idx="208">
                  <c:v>10.5</c:v>
                </c:pt>
                <c:pt idx="209">
                  <c:v>10.55</c:v>
                </c:pt>
                <c:pt idx="210">
                  <c:v>10.6</c:v>
                </c:pt>
                <c:pt idx="211">
                  <c:v>10.65</c:v>
                </c:pt>
                <c:pt idx="212">
                  <c:v>10.7</c:v>
                </c:pt>
                <c:pt idx="213">
                  <c:v>10.75</c:v>
                </c:pt>
                <c:pt idx="214">
                  <c:v>10.8</c:v>
                </c:pt>
                <c:pt idx="215">
                  <c:v>10.85</c:v>
                </c:pt>
                <c:pt idx="216">
                  <c:v>10.9</c:v>
                </c:pt>
                <c:pt idx="217">
                  <c:v>10.95</c:v>
                </c:pt>
                <c:pt idx="218">
                  <c:v>11</c:v>
                </c:pt>
                <c:pt idx="219">
                  <c:v>11.05</c:v>
                </c:pt>
                <c:pt idx="220">
                  <c:v>11.1</c:v>
                </c:pt>
                <c:pt idx="221">
                  <c:v>11.15</c:v>
                </c:pt>
                <c:pt idx="222">
                  <c:v>11.2</c:v>
                </c:pt>
                <c:pt idx="223">
                  <c:v>11.25</c:v>
                </c:pt>
                <c:pt idx="224">
                  <c:v>11.3</c:v>
                </c:pt>
                <c:pt idx="225">
                  <c:v>11.35</c:v>
                </c:pt>
                <c:pt idx="226">
                  <c:v>11.4</c:v>
                </c:pt>
                <c:pt idx="227">
                  <c:v>11.45</c:v>
                </c:pt>
                <c:pt idx="228">
                  <c:v>11.5</c:v>
                </c:pt>
                <c:pt idx="229">
                  <c:v>11.55</c:v>
                </c:pt>
                <c:pt idx="230">
                  <c:v>11.6</c:v>
                </c:pt>
                <c:pt idx="231">
                  <c:v>11.65</c:v>
                </c:pt>
                <c:pt idx="232">
                  <c:v>11.7</c:v>
                </c:pt>
                <c:pt idx="233">
                  <c:v>11.75</c:v>
                </c:pt>
                <c:pt idx="234">
                  <c:v>11.8</c:v>
                </c:pt>
                <c:pt idx="235">
                  <c:v>11.85</c:v>
                </c:pt>
                <c:pt idx="236">
                  <c:v>11.9</c:v>
                </c:pt>
                <c:pt idx="237">
                  <c:v>11.95</c:v>
                </c:pt>
                <c:pt idx="238">
                  <c:v>12</c:v>
                </c:pt>
                <c:pt idx="239">
                  <c:v>12.05</c:v>
                </c:pt>
                <c:pt idx="240">
                  <c:v>12.1</c:v>
                </c:pt>
                <c:pt idx="241">
                  <c:v>12.15</c:v>
                </c:pt>
                <c:pt idx="242">
                  <c:v>12.2</c:v>
                </c:pt>
                <c:pt idx="243">
                  <c:v>12.25</c:v>
                </c:pt>
                <c:pt idx="244">
                  <c:v>12.3</c:v>
                </c:pt>
                <c:pt idx="245">
                  <c:v>12.35</c:v>
                </c:pt>
                <c:pt idx="246">
                  <c:v>12.4</c:v>
                </c:pt>
                <c:pt idx="247">
                  <c:v>12.45</c:v>
                </c:pt>
                <c:pt idx="248">
                  <c:v>12.5</c:v>
                </c:pt>
                <c:pt idx="249">
                  <c:v>12.55</c:v>
                </c:pt>
                <c:pt idx="250">
                  <c:v>12.6</c:v>
                </c:pt>
                <c:pt idx="251">
                  <c:v>12.65</c:v>
                </c:pt>
                <c:pt idx="252">
                  <c:v>12.7</c:v>
                </c:pt>
                <c:pt idx="253">
                  <c:v>12.75</c:v>
                </c:pt>
                <c:pt idx="254">
                  <c:v>12.8</c:v>
                </c:pt>
                <c:pt idx="255">
                  <c:v>12.85</c:v>
                </c:pt>
                <c:pt idx="256">
                  <c:v>12.9</c:v>
                </c:pt>
                <c:pt idx="257">
                  <c:v>12.95</c:v>
                </c:pt>
                <c:pt idx="258">
                  <c:v>13</c:v>
                </c:pt>
                <c:pt idx="259">
                  <c:v>13.05</c:v>
                </c:pt>
                <c:pt idx="260">
                  <c:v>13.1</c:v>
                </c:pt>
                <c:pt idx="261">
                  <c:v>13.15</c:v>
                </c:pt>
                <c:pt idx="262">
                  <c:v>13.2</c:v>
                </c:pt>
                <c:pt idx="263">
                  <c:v>13.25</c:v>
                </c:pt>
                <c:pt idx="264">
                  <c:v>13.3</c:v>
                </c:pt>
                <c:pt idx="265">
                  <c:v>13.35</c:v>
                </c:pt>
                <c:pt idx="266">
                  <c:v>13.4</c:v>
                </c:pt>
                <c:pt idx="267">
                  <c:v>13.45</c:v>
                </c:pt>
                <c:pt idx="268">
                  <c:v>13.5</c:v>
                </c:pt>
                <c:pt idx="269">
                  <c:v>13.55</c:v>
                </c:pt>
                <c:pt idx="270">
                  <c:v>13.6</c:v>
                </c:pt>
                <c:pt idx="271">
                  <c:v>13.65</c:v>
                </c:pt>
                <c:pt idx="272">
                  <c:v>13.7</c:v>
                </c:pt>
                <c:pt idx="273">
                  <c:v>13.75</c:v>
                </c:pt>
                <c:pt idx="274">
                  <c:v>13.8</c:v>
                </c:pt>
                <c:pt idx="275">
                  <c:v>13.85</c:v>
                </c:pt>
                <c:pt idx="276">
                  <c:v>13.9</c:v>
                </c:pt>
                <c:pt idx="277">
                  <c:v>13.95</c:v>
                </c:pt>
                <c:pt idx="278">
                  <c:v>14</c:v>
                </c:pt>
                <c:pt idx="279">
                  <c:v>14.05</c:v>
                </c:pt>
                <c:pt idx="280">
                  <c:v>14.1</c:v>
                </c:pt>
                <c:pt idx="281">
                  <c:v>14.15</c:v>
                </c:pt>
                <c:pt idx="282">
                  <c:v>14.2</c:v>
                </c:pt>
                <c:pt idx="283">
                  <c:v>14.25</c:v>
                </c:pt>
                <c:pt idx="284">
                  <c:v>14.3</c:v>
                </c:pt>
                <c:pt idx="285">
                  <c:v>14.35</c:v>
                </c:pt>
                <c:pt idx="286">
                  <c:v>14.4</c:v>
                </c:pt>
                <c:pt idx="287">
                  <c:v>14.45</c:v>
                </c:pt>
                <c:pt idx="288">
                  <c:v>14.5</c:v>
                </c:pt>
                <c:pt idx="289">
                  <c:v>14.55</c:v>
                </c:pt>
                <c:pt idx="290">
                  <c:v>14.6</c:v>
                </c:pt>
                <c:pt idx="291">
                  <c:v>14.65</c:v>
                </c:pt>
                <c:pt idx="292">
                  <c:v>14.7</c:v>
                </c:pt>
                <c:pt idx="293">
                  <c:v>14.75</c:v>
                </c:pt>
                <c:pt idx="294">
                  <c:v>14.8</c:v>
                </c:pt>
                <c:pt idx="295">
                  <c:v>14.85</c:v>
                </c:pt>
                <c:pt idx="296">
                  <c:v>14.9</c:v>
                </c:pt>
                <c:pt idx="297">
                  <c:v>14.95</c:v>
                </c:pt>
                <c:pt idx="298">
                  <c:v>15</c:v>
                </c:pt>
                <c:pt idx="299">
                  <c:v>15.05</c:v>
                </c:pt>
                <c:pt idx="300">
                  <c:v>15.1</c:v>
                </c:pt>
                <c:pt idx="301">
                  <c:v>15.15</c:v>
                </c:pt>
                <c:pt idx="302">
                  <c:v>15.2</c:v>
                </c:pt>
                <c:pt idx="303">
                  <c:v>15.25</c:v>
                </c:pt>
                <c:pt idx="304">
                  <c:v>15.3</c:v>
                </c:pt>
                <c:pt idx="305">
                  <c:v>15.35</c:v>
                </c:pt>
                <c:pt idx="306">
                  <c:v>15.4</c:v>
                </c:pt>
                <c:pt idx="307">
                  <c:v>15.45</c:v>
                </c:pt>
                <c:pt idx="308">
                  <c:v>15.5</c:v>
                </c:pt>
                <c:pt idx="309">
                  <c:v>15.55</c:v>
                </c:pt>
                <c:pt idx="310">
                  <c:v>15.6</c:v>
                </c:pt>
                <c:pt idx="311">
                  <c:v>15.65</c:v>
                </c:pt>
                <c:pt idx="312">
                  <c:v>15.7</c:v>
                </c:pt>
                <c:pt idx="313">
                  <c:v>15.75</c:v>
                </c:pt>
                <c:pt idx="314">
                  <c:v>15.8</c:v>
                </c:pt>
                <c:pt idx="315">
                  <c:v>15.85</c:v>
                </c:pt>
                <c:pt idx="316">
                  <c:v>15.9</c:v>
                </c:pt>
                <c:pt idx="317">
                  <c:v>15.95</c:v>
                </c:pt>
                <c:pt idx="318">
                  <c:v>16</c:v>
                </c:pt>
                <c:pt idx="319">
                  <c:v>16.05</c:v>
                </c:pt>
                <c:pt idx="320">
                  <c:v>16.100000000000001</c:v>
                </c:pt>
                <c:pt idx="321">
                  <c:v>16.149999999999999</c:v>
                </c:pt>
                <c:pt idx="322">
                  <c:v>16.2</c:v>
                </c:pt>
                <c:pt idx="323">
                  <c:v>16.25</c:v>
                </c:pt>
                <c:pt idx="324">
                  <c:v>16.3</c:v>
                </c:pt>
                <c:pt idx="325">
                  <c:v>16.350000000000001</c:v>
                </c:pt>
                <c:pt idx="326">
                  <c:v>16.399999999999999</c:v>
                </c:pt>
                <c:pt idx="327">
                  <c:v>16.45</c:v>
                </c:pt>
                <c:pt idx="328">
                  <c:v>16.5</c:v>
                </c:pt>
                <c:pt idx="329">
                  <c:v>16.55</c:v>
                </c:pt>
                <c:pt idx="330">
                  <c:v>16.600000000000001</c:v>
                </c:pt>
                <c:pt idx="331">
                  <c:v>16.649999999999999</c:v>
                </c:pt>
                <c:pt idx="332">
                  <c:v>16.7</c:v>
                </c:pt>
                <c:pt idx="333">
                  <c:v>16.75</c:v>
                </c:pt>
                <c:pt idx="334">
                  <c:v>16.8</c:v>
                </c:pt>
                <c:pt idx="335">
                  <c:v>16.850000000000001</c:v>
                </c:pt>
                <c:pt idx="336">
                  <c:v>16.899999999999999</c:v>
                </c:pt>
                <c:pt idx="337">
                  <c:v>16.95</c:v>
                </c:pt>
                <c:pt idx="338">
                  <c:v>17</c:v>
                </c:pt>
                <c:pt idx="339">
                  <c:v>17.05</c:v>
                </c:pt>
                <c:pt idx="340">
                  <c:v>17.100000000000001</c:v>
                </c:pt>
                <c:pt idx="341">
                  <c:v>17.149999999999999</c:v>
                </c:pt>
                <c:pt idx="342">
                  <c:v>17.2</c:v>
                </c:pt>
                <c:pt idx="343">
                  <c:v>17.25</c:v>
                </c:pt>
                <c:pt idx="344">
                  <c:v>17.3</c:v>
                </c:pt>
                <c:pt idx="345">
                  <c:v>17.350000000000001</c:v>
                </c:pt>
                <c:pt idx="346">
                  <c:v>17.399999999999999</c:v>
                </c:pt>
                <c:pt idx="347">
                  <c:v>17.45</c:v>
                </c:pt>
                <c:pt idx="348">
                  <c:v>17.5</c:v>
                </c:pt>
                <c:pt idx="349">
                  <c:v>17.55</c:v>
                </c:pt>
                <c:pt idx="350">
                  <c:v>17.600000000000001</c:v>
                </c:pt>
                <c:pt idx="351">
                  <c:v>17.649999999999999</c:v>
                </c:pt>
                <c:pt idx="352">
                  <c:v>17.7</c:v>
                </c:pt>
                <c:pt idx="353">
                  <c:v>17.75</c:v>
                </c:pt>
                <c:pt idx="354">
                  <c:v>17.8</c:v>
                </c:pt>
                <c:pt idx="355">
                  <c:v>17.850000000000001</c:v>
                </c:pt>
                <c:pt idx="356">
                  <c:v>17.899999999999999</c:v>
                </c:pt>
                <c:pt idx="357">
                  <c:v>17.95</c:v>
                </c:pt>
                <c:pt idx="358">
                  <c:v>18</c:v>
                </c:pt>
                <c:pt idx="359">
                  <c:v>18.05</c:v>
                </c:pt>
                <c:pt idx="360">
                  <c:v>18.100000000000001</c:v>
                </c:pt>
                <c:pt idx="361">
                  <c:v>18.149999999999999</c:v>
                </c:pt>
                <c:pt idx="362">
                  <c:v>18.2</c:v>
                </c:pt>
                <c:pt idx="363">
                  <c:v>18.25</c:v>
                </c:pt>
                <c:pt idx="364">
                  <c:v>18.3</c:v>
                </c:pt>
                <c:pt idx="365">
                  <c:v>18.350000000000001</c:v>
                </c:pt>
                <c:pt idx="366">
                  <c:v>18.399999999999999</c:v>
                </c:pt>
                <c:pt idx="367">
                  <c:v>18.45</c:v>
                </c:pt>
                <c:pt idx="368">
                  <c:v>18.5</c:v>
                </c:pt>
                <c:pt idx="369">
                  <c:v>18.55</c:v>
                </c:pt>
                <c:pt idx="370">
                  <c:v>18.600000000000001</c:v>
                </c:pt>
                <c:pt idx="371">
                  <c:v>18.649999999999999</c:v>
                </c:pt>
                <c:pt idx="372">
                  <c:v>18.7</c:v>
                </c:pt>
                <c:pt idx="373">
                  <c:v>18.75</c:v>
                </c:pt>
                <c:pt idx="374">
                  <c:v>18.8</c:v>
                </c:pt>
                <c:pt idx="375">
                  <c:v>18.850000000000001</c:v>
                </c:pt>
                <c:pt idx="376">
                  <c:v>18.899999999999999</c:v>
                </c:pt>
                <c:pt idx="377">
                  <c:v>18.95</c:v>
                </c:pt>
                <c:pt idx="378">
                  <c:v>19</c:v>
                </c:pt>
                <c:pt idx="379">
                  <c:v>19.05</c:v>
                </c:pt>
                <c:pt idx="380">
                  <c:v>19.100000000000001</c:v>
                </c:pt>
                <c:pt idx="381">
                  <c:v>19.149999999999999</c:v>
                </c:pt>
                <c:pt idx="382">
                  <c:v>19.2</c:v>
                </c:pt>
                <c:pt idx="383">
                  <c:v>19.25</c:v>
                </c:pt>
                <c:pt idx="384">
                  <c:v>19.3</c:v>
                </c:pt>
                <c:pt idx="385">
                  <c:v>19.350000000000001</c:v>
                </c:pt>
                <c:pt idx="386">
                  <c:v>19.399999999999999</c:v>
                </c:pt>
                <c:pt idx="387">
                  <c:v>19.45</c:v>
                </c:pt>
                <c:pt idx="388">
                  <c:v>19.5</c:v>
                </c:pt>
                <c:pt idx="389">
                  <c:v>19.55</c:v>
                </c:pt>
                <c:pt idx="390">
                  <c:v>19.600000000000001</c:v>
                </c:pt>
                <c:pt idx="391">
                  <c:v>19.649999999999999</c:v>
                </c:pt>
                <c:pt idx="392">
                  <c:v>19.7</c:v>
                </c:pt>
                <c:pt idx="393">
                  <c:v>19.75</c:v>
                </c:pt>
                <c:pt idx="394">
                  <c:v>19.8</c:v>
                </c:pt>
                <c:pt idx="395">
                  <c:v>19.850000000000001</c:v>
                </c:pt>
                <c:pt idx="396">
                  <c:v>19.899999999999999</c:v>
                </c:pt>
                <c:pt idx="397">
                  <c:v>19.95</c:v>
                </c:pt>
                <c:pt idx="398">
                  <c:v>20</c:v>
                </c:pt>
                <c:pt idx="399">
                  <c:v>20.05</c:v>
                </c:pt>
                <c:pt idx="400">
                  <c:v>20.100000000000001</c:v>
                </c:pt>
                <c:pt idx="401">
                  <c:v>20.149999999999999</c:v>
                </c:pt>
                <c:pt idx="402">
                  <c:v>20.2</c:v>
                </c:pt>
                <c:pt idx="403">
                  <c:v>20.25</c:v>
                </c:pt>
                <c:pt idx="404">
                  <c:v>20.3</c:v>
                </c:pt>
                <c:pt idx="405">
                  <c:v>20.350000000000001</c:v>
                </c:pt>
                <c:pt idx="406">
                  <c:v>20.399999999999999</c:v>
                </c:pt>
                <c:pt idx="407">
                  <c:v>20.45</c:v>
                </c:pt>
                <c:pt idx="408">
                  <c:v>20.5</c:v>
                </c:pt>
                <c:pt idx="409">
                  <c:v>20.55</c:v>
                </c:pt>
                <c:pt idx="410">
                  <c:v>20.6</c:v>
                </c:pt>
                <c:pt idx="411">
                  <c:v>20.65</c:v>
                </c:pt>
              </c:numCache>
            </c:numRef>
          </c:cat>
          <c:val>
            <c:numRef>
              <c:f>'Cement Cost Model-Vietnam'!$O$192:$O$653</c:f>
              <c:numCache>
                <c:formatCode>_("$"* #,##0_);_("$"* \(#,##0\);_("$"* "-"??_);_(@_)</c:formatCode>
                <c:ptCount val="4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val>
          <c:extLst>
            <c:ext xmlns:c16="http://schemas.microsoft.com/office/drawing/2014/chart" uri="{C3380CC4-5D6E-409C-BE32-E72D297353CC}">
              <c16:uniqueId val="{00000000-8C9A-46DD-B9D1-826A2BCE4EC8}"/>
            </c:ext>
          </c:extLst>
        </c:ser>
        <c:ser>
          <c:idx val="2"/>
          <c:order val="2"/>
          <c:tx>
            <c:strRef>
              <c:f>'Cement Cost Model-Vietnam'!$P$191</c:f>
              <c:strCache>
                <c:ptCount val="1"/>
                <c:pt idx="0">
                  <c:v>Alternative Fuels: Biomass</c:v>
                </c:pt>
              </c:strCache>
            </c:strRef>
          </c:tx>
          <c:spPr>
            <a:solidFill>
              <a:schemeClr val="accent4"/>
            </a:solidFill>
            <a:ln w="25400">
              <a:noFill/>
            </a:ln>
            <a:effectLst/>
          </c:spPr>
          <c:invertIfNegative val="0"/>
          <c:cat>
            <c:numRef>
              <c:f>'Cement Cost Model-Vietnam'!$N$192:$N$603</c:f>
              <c:numCache>
                <c:formatCode>General</c:formatCode>
                <c:ptCount val="412"/>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pt idx="97">
                  <c:v>4.95</c:v>
                </c:pt>
                <c:pt idx="98">
                  <c:v>5</c:v>
                </c:pt>
                <c:pt idx="99">
                  <c:v>5.05</c:v>
                </c:pt>
                <c:pt idx="100">
                  <c:v>5.0999999999999996</c:v>
                </c:pt>
                <c:pt idx="101">
                  <c:v>5.15</c:v>
                </c:pt>
                <c:pt idx="102">
                  <c:v>5.2</c:v>
                </c:pt>
                <c:pt idx="103">
                  <c:v>5.25</c:v>
                </c:pt>
                <c:pt idx="104">
                  <c:v>5.3</c:v>
                </c:pt>
                <c:pt idx="105">
                  <c:v>5.35</c:v>
                </c:pt>
                <c:pt idx="106">
                  <c:v>5.4</c:v>
                </c:pt>
                <c:pt idx="107">
                  <c:v>5.45</c:v>
                </c:pt>
                <c:pt idx="108">
                  <c:v>5.5</c:v>
                </c:pt>
                <c:pt idx="109">
                  <c:v>5.55</c:v>
                </c:pt>
                <c:pt idx="110">
                  <c:v>5.6</c:v>
                </c:pt>
                <c:pt idx="111">
                  <c:v>5.65</c:v>
                </c:pt>
                <c:pt idx="112">
                  <c:v>5.7</c:v>
                </c:pt>
                <c:pt idx="113">
                  <c:v>5.75</c:v>
                </c:pt>
                <c:pt idx="114">
                  <c:v>5.8</c:v>
                </c:pt>
                <c:pt idx="115">
                  <c:v>5.85</c:v>
                </c:pt>
                <c:pt idx="116">
                  <c:v>5.9</c:v>
                </c:pt>
                <c:pt idx="117">
                  <c:v>5.95</c:v>
                </c:pt>
                <c:pt idx="118">
                  <c:v>6</c:v>
                </c:pt>
                <c:pt idx="119">
                  <c:v>6.05</c:v>
                </c:pt>
                <c:pt idx="120">
                  <c:v>6.1</c:v>
                </c:pt>
                <c:pt idx="121">
                  <c:v>6.15</c:v>
                </c:pt>
                <c:pt idx="122">
                  <c:v>6.2</c:v>
                </c:pt>
                <c:pt idx="123">
                  <c:v>6.25</c:v>
                </c:pt>
                <c:pt idx="124">
                  <c:v>6.3</c:v>
                </c:pt>
                <c:pt idx="125">
                  <c:v>6.35</c:v>
                </c:pt>
                <c:pt idx="126">
                  <c:v>6.4</c:v>
                </c:pt>
                <c:pt idx="127">
                  <c:v>6.45</c:v>
                </c:pt>
                <c:pt idx="128">
                  <c:v>6.5</c:v>
                </c:pt>
                <c:pt idx="129">
                  <c:v>6.55</c:v>
                </c:pt>
                <c:pt idx="130">
                  <c:v>6.6</c:v>
                </c:pt>
                <c:pt idx="131">
                  <c:v>6.65</c:v>
                </c:pt>
                <c:pt idx="132">
                  <c:v>6.7</c:v>
                </c:pt>
                <c:pt idx="133">
                  <c:v>6.75</c:v>
                </c:pt>
                <c:pt idx="134">
                  <c:v>6.8</c:v>
                </c:pt>
                <c:pt idx="135">
                  <c:v>6.85</c:v>
                </c:pt>
                <c:pt idx="136">
                  <c:v>6.9</c:v>
                </c:pt>
                <c:pt idx="137">
                  <c:v>6.95</c:v>
                </c:pt>
                <c:pt idx="138">
                  <c:v>7</c:v>
                </c:pt>
                <c:pt idx="139">
                  <c:v>7.05</c:v>
                </c:pt>
                <c:pt idx="140">
                  <c:v>7.1</c:v>
                </c:pt>
                <c:pt idx="141">
                  <c:v>7.15</c:v>
                </c:pt>
                <c:pt idx="142">
                  <c:v>7.2</c:v>
                </c:pt>
                <c:pt idx="143">
                  <c:v>7.25</c:v>
                </c:pt>
                <c:pt idx="144">
                  <c:v>7.3</c:v>
                </c:pt>
                <c:pt idx="145">
                  <c:v>7.35</c:v>
                </c:pt>
                <c:pt idx="146">
                  <c:v>7.4</c:v>
                </c:pt>
                <c:pt idx="147">
                  <c:v>7.45</c:v>
                </c:pt>
                <c:pt idx="148">
                  <c:v>7.5</c:v>
                </c:pt>
                <c:pt idx="149">
                  <c:v>7.55</c:v>
                </c:pt>
                <c:pt idx="150">
                  <c:v>7.6</c:v>
                </c:pt>
                <c:pt idx="151">
                  <c:v>7.65</c:v>
                </c:pt>
                <c:pt idx="152">
                  <c:v>7.7</c:v>
                </c:pt>
                <c:pt idx="153">
                  <c:v>7.75</c:v>
                </c:pt>
                <c:pt idx="154">
                  <c:v>7.8</c:v>
                </c:pt>
                <c:pt idx="155">
                  <c:v>7.85</c:v>
                </c:pt>
                <c:pt idx="156">
                  <c:v>7.9</c:v>
                </c:pt>
                <c:pt idx="157">
                  <c:v>7.95</c:v>
                </c:pt>
                <c:pt idx="158">
                  <c:v>8</c:v>
                </c:pt>
                <c:pt idx="159">
                  <c:v>8.0500000000000007</c:v>
                </c:pt>
                <c:pt idx="160">
                  <c:v>8.1</c:v>
                </c:pt>
                <c:pt idx="161">
                  <c:v>8.15</c:v>
                </c:pt>
                <c:pt idx="162">
                  <c:v>8.1999999999999993</c:v>
                </c:pt>
                <c:pt idx="163">
                  <c:v>8.25</c:v>
                </c:pt>
                <c:pt idx="164">
                  <c:v>8.3000000000000007</c:v>
                </c:pt>
                <c:pt idx="165">
                  <c:v>8.35</c:v>
                </c:pt>
                <c:pt idx="166">
                  <c:v>8.4</c:v>
                </c:pt>
                <c:pt idx="167">
                  <c:v>8.4499999999999993</c:v>
                </c:pt>
                <c:pt idx="168">
                  <c:v>8.5</c:v>
                </c:pt>
                <c:pt idx="169">
                  <c:v>8.5500000000000007</c:v>
                </c:pt>
                <c:pt idx="170">
                  <c:v>8.6</c:v>
                </c:pt>
                <c:pt idx="171">
                  <c:v>8.65</c:v>
                </c:pt>
                <c:pt idx="172">
                  <c:v>8.6999999999999993</c:v>
                </c:pt>
                <c:pt idx="173">
                  <c:v>8.75</c:v>
                </c:pt>
                <c:pt idx="174">
                  <c:v>8.8000000000000007</c:v>
                </c:pt>
                <c:pt idx="175">
                  <c:v>8.85</c:v>
                </c:pt>
                <c:pt idx="176">
                  <c:v>8.9</c:v>
                </c:pt>
                <c:pt idx="177">
                  <c:v>8.9499999999999993</c:v>
                </c:pt>
                <c:pt idx="178">
                  <c:v>9</c:v>
                </c:pt>
                <c:pt idx="179">
                  <c:v>9.0500000000000007</c:v>
                </c:pt>
                <c:pt idx="180">
                  <c:v>9.1</c:v>
                </c:pt>
                <c:pt idx="181">
                  <c:v>9.15</c:v>
                </c:pt>
                <c:pt idx="182">
                  <c:v>9.1999999999999993</c:v>
                </c:pt>
                <c:pt idx="183">
                  <c:v>9.25</c:v>
                </c:pt>
                <c:pt idx="184">
                  <c:v>9.3000000000000007</c:v>
                </c:pt>
                <c:pt idx="185">
                  <c:v>9.35</c:v>
                </c:pt>
                <c:pt idx="186">
                  <c:v>9.4</c:v>
                </c:pt>
                <c:pt idx="187">
                  <c:v>9.4499999999999993</c:v>
                </c:pt>
                <c:pt idx="188">
                  <c:v>9.5</c:v>
                </c:pt>
                <c:pt idx="189">
                  <c:v>9.5500000000000007</c:v>
                </c:pt>
                <c:pt idx="190">
                  <c:v>9.6</c:v>
                </c:pt>
                <c:pt idx="191">
                  <c:v>9.65</c:v>
                </c:pt>
                <c:pt idx="192">
                  <c:v>9.6999999999999993</c:v>
                </c:pt>
                <c:pt idx="193">
                  <c:v>9.75</c:v>
                </c:pt>
                <c:pt idx="194">
                  <c:v>9.8000000000000007</c:v>
                </c:pt>
                <c:pt idx="195">
                  <c:v>9.85</c:v>
                </c:pt>
                <c:pt idx="196">
                  <c:v>9.9</c:v>
                </c:pt>
                <c:pt idx="197">
                  <c:v>9.9499999999999993</c:v>
                </c:pt>
                <c:pt idx="198">
                  <c:v>10</c:v>
                </c:pt>
                <c:pt idx="199">
                  <c:v>10.050000000000001</c:v>
                </c:pt>
                <c:pt idx="200">
                  <c:v>10.1</c:v>
                </c:pt>
                <c:pt idx="201">
                  <c:v>10.15</c:v>
                </c:pt>
                <c:pt idx="202">
                  <c:v>10.199999999999999</c:v>
                </c:pt>
                <c:pt idx="203">
                  <c:v>10.25</c:v>
                </c:pt>
                <c:pt idx="204">
                  <c:v>10.3</c:v>
                </c:pt>
                <c:pt idx="205">
                  <c:v>10.35</c:v>
                </c:pt>
                <c:pt idx="206">
                  <c:v>10.4</c:v>
                </c:pt>
                <c:pt idx="207">
                  <c:v>10.45</c:v>
                </c:pt>
                <c:pt idx="208">
                  <c:v>10.5</c:v>
                </c:pt>
                <c:pt idx="209">
                  <c:v>10.55</c:v>
                </c:pt>
                <c:pt idx="210">
                  <c:v>10.6</c:v>
                </c:pt>
                <c:pt idx="211">
                  <c:v>10.65</c:v>
                </c:pt>
                <c:pt idx="212">
                  <c:v>10.7</c:v>
                </c:pt>
                <c:pt idx="213">
                  <c:v>10.75</c:v>
                </c:pt>
                <c:pt idx="214">
                  <c:v>10.8</c:v>
                </c:pt>
                <c:pt idx="215">
                  <c:v>10.85</c:v>
                </c:pt>
                <c:pt idx="216">
                  <c:v>10.9</c:v>
                </c:pt>
                <c:pt idx="217">
                  <c:v>10.95</c:v>
                </c:pt>
                <c:pt idx="218">
                  <c:v>11</c:v>
                </c:pt>
                <c:pt idx="219">
                  <c:v>11.05</c:v>
                </c:pt>
                <c:pt idx="220">
                  <c:v>11.1</c:v>
                </c:pt>
                <c:pt idx="221">
                  <c:v>11.15</c:v>
                </c:pt>
                <c:pt idx="222">
                  <c:v>11.2</c:v>
                </c:pt>
                <c:pt idx="223">
                  <c:v>11.25</c:v>
                </c:pt>
                <c:pt idx="224">
                  <c:v>11.3</c:v>
                </c:pt>
                <c:pt idx="225">
                  <c:v>11.35</c:v>
                </c:pt>
                <c:pt idx="226">
                  <c:v>11.4</c:v>
                </c:pt>
                <c:pt idx="227">
                  <c:v>11.45</c:v>
                </c:pt>
                <c:pt idx="228">
                  <c:v>11.5</c:v>
                </c:pt>
                <c:pt idx="229">
                  <c:v>11.55</c:v>
                </c:pt>
                <c:pt idx="230">
                  <c:v>11.6</c:v>
                </c:pt>
                <c:pt idx="231">
                  <c:v>11.65</c:v>
                </c:pt>
                <c:pt idx="232">
                  <c:v>11.7</c:v>
                </c:pt>
                <c:pt idx="233">
                  <c:v>11.75</c:v>
                </c:pt>
                <c:pt idx="234">
                  <c:v>11.8</c:v>
                </c:pt>
                <c:pt idx="235">
                  <c:v>11.85</c:v>
                </c:pt>
                <c:pt idx="236">
                  <c:v>11.9</c:v>
                </c:pt>
                <c:pt idx="237">
                  <c:v>11.95</c:v>
                </c:pt>
                <c:pt idx="238">
                  <c:v>12</c:v>
                </c:pt>
                <c:pt idx="239">
                  <c:v>12.05</c:v>
                </c:pt>
                <c:pt idx="240">
                  <c:v>12.1</c:v>
                </c:pt>
                <c:pt idx="241">
                  <c:v>12.15</c:v>
                </c:pt>
                <c:pt idx="242">
                  <c:v>12.2</c:v>
                </c:pt>
                <c:pt idx="243">
                  <c:v>12.25</c:v>
                </c:pt>
                <c:pt idx="244">
                  <c:v>12.3</c:v>
                </c:pt>
                <c:pt idx="245">
                  <c:v>12.35</c:v>
                </c:pt>
                <c:pt idx="246">
                  <c:v>12.4</c:v>
                </c:pt>
                <c:pt idx="247">
                  <c:v>12.45</c:v>
                </c:pt>
                <c:pt idx="248">
                  <c:v>12.5</c:v>
                </c:pt>
                <c:pt idx="249">
                  <c:v>12.55</c:v>
                </c:pt>
                <c:pt idx="250">
                  <c:v>12.6</c:v>
                </c:pt>
                <c:pt idx="251">
                  <c:v>12.65</c:v>
                </c:pt>
                <c:pt idx="252">
                  <c:v>12.7</c:v>
                </c:pt>
                <c:pt idx="253">
                  <c:v>12.75</c:v>
                </c:pt>
                <c:pt idx="254">
                  <c:v>12.8</c:v>
                </c:pt>
                <c:pt idx="255">
                  <c:v>12.85</c:v>
                </c:pt>
                <c:pt idx="256">
                  <c:v>12.9</c:v>
                </c:pt>
                <c:pt idx="257">
                  <c:v>12.95</c:v>
                </c:pt>
                <c:pt idx="258">
                  <c:v>13</c:v>
                </c:pt>
                <c:pt idx="259">
                  <c:v>13.05</c:v>
                </c:pt>
                <c:pt idx="260">
                  <c:v>13.1</c:v>
                </c:pt>
                <c:pt idx="261">
                  <c:v>13.15</c:v>
                </c:pt>
                <c:pt idx="262">
                  <c:v>13.2</c:v>
                </c:pt>
                <c:pt idx="263">
                  <c:v>13.25</c:v>
                </c:pt>
                <c:pt idx="264">
                  <c:v>13.3</c:v>
                </c:pt>
                <c:pt idx="265">
                  <c:v>13.35</c:v>
                </c:pt>
                <c:pt idx="266">
                  <c:v>13.4</c:v>
                </c:pt>
                <c:pt idx="267">
                  <c:v>13.45</c:v>
                </c:pt>
                <c:pt idx="268">
                  <c:v>13.5</c:v>
                </c:pt>
                <c:pt idx="269">
                  <c:v>13.55</c:v>
                </c:pt>
                <c:pt idx="270">
                  <c:v>13.6</c:v>
                </c:pt>
                <c:pt idx="271">
                  <c:v>13.65</c:v>
                </c:pt>
                <c:pt idx="272">
                  <c:v>13.7</c:v>
                </c:pt>
                <c:pt idx="273">
                  <c:v>13.75</c:v>
                </c:pt>
                <c:pt idx="274">
                  <c:v>13.8</c:v>
                </c:pt>
                <c:pt idx="275">
                  <c:v>13.85</c:v>
                </c:pt>
                <c:pt idx="276">
                  <c:v>13.9</c:v>
                </c:pt>
                <c:pt idx="277">
                  <c:v>13.95</c:v>
                </c:pt>
                <c:pt idx="278">
                  <c:v>14</c:v>
                </c:pt>
                <c:pt idx="279">
                  <c:v>14.05</c:v>
                </c:pt>
                <c:pt idx="280">
                  <c:v>14.1</c:v>
                </c:pt>
                <c:pt idx="281">
                  <c:v>14.15</c:v>
                </c:pt>
                <c:pt idx="282">
                  <c:v>14.2</c:v>
                </c:pt>
                <c:pt idx="283">
                  <c:v>14.25</c:v>
                </c:pt>
                <c:pt idx="284">
                  <c:v>14.3</c:v>
                </c:pt>
                <c:pt idx="285">
                  <c:v>14.35</c:v>
                </c:pt>
                <c:pt idx="286">
                  <c:v>14.4</c:v>
                </c:pt>
                <c:pt idx="287">
                  <c:v>14.45</c:v>
                </c:pt>
                <c:pt idx="288">
                  <c:v>14.5</c:v>
                </c:pt>
                <c:pt idx="289">
                  <c:v>14.55</c:v>
                </c:pt>
                <c:pt idx="290">
                  <c:v>14.6</c:v>
                </c:pt>
                <c:pt idx="291">
                  <c:v>14.65</c:v>
                </c:pt>
                <c:pt idx="292">
                  <c:v>14.7</c:v>
                </c:pt>
                <c:pt idx="293">
                  <c:v>14.75</c:v>
                </c:pt>
                <c:pt idx="294">
                  <c:v>14.8</c:v>
                </c:pt>
                <c:pt idx="295">
                  <c:v>14.85</c:v>
                </c:pt>
                <c:pt idx="296">
                  <c:v>14.9</c:v>
                </c:pt>
                <c:pt idx="297">
                  <c:v>14.95</c:v>
                </c:pt>
                <c:pt idx="298">
                  <c:v>15</c:v>
                </c:pt>
                <c:pt idx="299">
                  <c:v>15.05</c:v>
                </c:pt>
                <c:pt idx="300">
                  <c:v>15.1</c:v>
                </c:pt>
                <c:pt idx="301">
                  <c:v>15.15</c:v>
                </c:pt>
                <c:pt idx="302">
                  <c:v>15.2</c:v>
                </c:pt>
                <c:pt idx="303">
                  <c:v>15.25</c:v>
                </c:pt>
                <c:pt idx="304">
                  <c:v>15.3</c:v>
                </c:pt>
                <c:pt idx="305">
                  <c:v>15.35</c:v>
                </c:pt>
                <c:pt idx="306">
                  <c:v>15.4</c:v>
                </c:pt>
                <c:pt idx="307">
                  <c:v>15.45</c:v>
                </c:pt>
                <c:pt idx="308">
                  <c:v>15.5</c:v>
                </c:pt>
                <c:pt idx="309">
                  <c:v>15.55</c:v>
                </c:pt>
                <c:pt idx="310">
                  <c:v>15.6</c:v>
                </c:pt>
                <c:pt idx="311">
                  <c:v>15.65</c:v>
                </c:pt>
                <c:pt idx="312">
                  <c:v>15.7</c:v>
                </c:pt>
                <c:pt idx="313">
                  <c:v>15.75</c:v>
                </c:pt>
                <c:pt idx="314">
                  <c:v>15.8</c:v>
                </c:pt>
                <c:pt idx="315">
                  <c:v>15.85</c:v>
                </c:pt>
                <c:pt idx="316">
                  <c:v>15.9</c:v>
                </c:pt>
                <c:pt idx="317">
                  <c:v>15.95</c:v>
                </c:pt>
                <c:pt idx="318">
                  <c:v>16</c:v>
                </c:pt>
                <c:pt idx="319">
                  <c:v>16.05</c:v>
                </c:pt>
                <c:pt idx="320">
                  <c:v>16.100000000000001</c:v>
                </c:pt>
                <c:pt idx="321">
                  <c:v>16.149999999999999</c:v>
                </c:pt>
                <c:pt idx="322">
                  <c:v>16.2</c:v>
                </c:pt>
                <c:pt idx="323">
                  <c:v>16.25</c:v>
                </c:pt>
                <c:pt idx="324">
                  <c:v>16.3</c:v>
                </c:pt>
                <c:pt idx="325">
                  <c:v>16.350000000000001</c:v>
                </c:pt>
                <c:pt idx="326">
                  <c:v>16.399999999999999</c:v>
                </c:pt>
                <c:pt idx="327">
                  <c:v>16.45</c:v>
                </c:pt>
                <c:pt idx="328">
                  <c:v>16.5</c:v>
                </c:pt>
                <c:pt idx="329">
                  <c:v>16.55</c:v>
                </c:pt>
                <c:pt idx="330">
                  <c:v>16.600000000000001</c:v>
                </c:pt>
                <c:pt idx="331">
                  <c:v>16.649999999999999</c:v>
                </c:pt>
                <c:pt idx="332">
                  <c:v>16.7</c:v>
                </c:pt>
                <c:pt idx="333">
                  <c:v>16.75</c:v>
                </c:pt>
                <c:pt idx="334">
                  <c:v>16.8</c:v>
                </c:pt>
                <c:pt idx="335">
                  <c:v>16.850000000000001</c:v>
                </c:pt>
                <c:pt idx="336">
                  <c:v>16.899999999999999</c:v>
                </c:pt>
                <c:pt idx="337">
                  <c:v>16.95</c:v>
                </c:pt>
                <c:pt idx="338">
                  <c:v>17</c:v>
                </c:pt>
                <c:pt idx="339">
                  <c:v>17.05</c:v>
                </c:pt>
                <c:pt idx="340">
                  <c:v>17.100000000000001</c:v>
                </c:pt>
                <c:pt idx="341">
                  <c:v>17.149999999999999</c:v>
                </c:pt>
                <c:pt idx="342">
                  <c:v>17.2</c:v>
                </c:pt>
                <c:pt idx="343">
                  <c:v>17.25</c:v>
                </c:pt>
                <c:pt idx="344">
                  <c:v>17.3</c:v>
                </c:pt>
                <c:pt idx="345">
                  <c:v>17.350000000000001</c:v>
                </c:pt>
                <c:pt idx="346">
                  <c:v>17.399999999999999</c:v>
                </c:pt>
                <c:pt idx="347">
                  <c:v>17.45</c:v>
                </c:pt>
                <c:pt idx="348">
                  <c:v>17.5</c:v>
                </c:pt>
                <c:pt idx="349">
                  <c:v>17.55</c:v>
                </c:pt>
                <c:pt idx="350">
                  <c:v>17.600000000000001</c:v>
                </c:pt>
                <c:pt idx="351">
                  <c:v>17.649999999999999</c:v>
                </c:pt>
                <c:pt idx="352">
                  <c:v>17.7</c:v>
                </c:pt>
                <c:pt idx="353">
                  <c:v>17.75</c:v>
                </c:pt>
                <c:pt idx="354">
                  <c:v>17.8</c:v>
                </c:pt>
                <c:pt idx="355">
                  <c:v>17.850000000000001</c:v>
                </c:pt>
                <c:pt idx="356">
                  <c:v>17.899999999999999</c:v>
                </c:pt>
                <c:pt idx="357">
                  <c:v>17.95</c:v>
                </c:pt>
                <c:pt idx="358">
                  <c:v>18</c:v>
                </c:pt>
                <c:pt idx="359">
                  <c:v>18.05</c:v>
                </c:pt>
                <c:pt idx="360">
                  <c:v>18.100000000000001</c:v>
                </c:pt>
                <c:pt idx="361">
                  <c:v>18.149999999999999</c:v>
                </c:pt>
                <c:pt idx="362">
                  <c:v>18.2</c:v>
                </c:pt>
                <c:pt idx="363">
                  <c:v>18.25</c:v>
                </c:pt>
                <c:pt idx="364">
                  <c:v>18.3</c:v>
                </c:pt>
                <c:pt idx="365">
                  <c:v>18.350000000000001</c:v>
                </c:pt>
                <c:pt idx="366">
                  <c:v>18.399999999999999</c:v>
                </c:pt>
                <c:pt idx="367">
                  <c:v>18.45</c:v>
                </c:pt>
                <c:pt idx="368">
                  <c:v>18.5</c:v>
                </c:pt>
                <c:pt idx="369">
                  <c:v>18.55</c:v>
                </c:pt>
                <c:pt idx="370">
                  <c:v>18.600000000000001</c:v>
                </c:pt>
                <c:pt idx="371">
                  <c:v>18.649999999999999</c:v>
                </c:pt>
                <c:pt idx="372">
                  <c:v>18.7</c:v>
                </c:pt>
                <c:pt idx="373">
                  <c:v>18.75</c:v>
                </c:pt>
                <c:pt idx="374">
                  <c:v>18.8</c:v>
                </c:pt>
                <c:pt idx="375">
                  <c:v>18.850000000000001</c:v>
                </c:pt>
                <c:pt idx="376">
                  <c:v>18.899999999999999</c:v>
                </c:pt>
                <c:pt idx="377">
                  <c:v>18.95</c:v>
                </c:pt>
                <c:pt idx="378">
                  <c:v>19</c:v>
                </c:pt>
                <c:pt idx="379">
                  <c:v>19.05</c:v>
                </c:pt>
                <c:pt idx="380">
                  <c:v>19.100000000000001</c:v>
                </c:pt>
                <c:pt idx="381">
                  <c:v>19.149999999999999</c:v>
                </c:pt>
                <c:pt idx="382">
                  <c:v>19.2</c:v>
                </c:pt>
                <c:pt idx="383">
                  <c:v>19.25</c:v>
                </c:pt>
                <c:pt idx="384">
                  <c:v>19.3</c:v>
                </c:pt>
                <c:pt idx="385">
                  <c:v>19.350000000000001</c:v>
                </c:pt>
                <c:pt idx="386">
                  <c:v>19.399999999999999</c:v>
                </c:pt>
                <c:pt idx="387">
                  <c:v>19.45</c:v>
                </c:pt>
                <c:pt idx="388">
                  <c:v>19.5</c:v>
                </c:pt>
                <c:pt idx="389">
                  <c:v>19.55</c:v>
                </c:pt>
                <c:pt idx="390">
                  <c:v>19.600000000000001</c:v>
                </c:pt>
                <c:pt idx="391">
                  <c:v>19.649999999999999</c:v>
                </c:pt>
                <c:pt idx="392">
                  <c:v>19.7</c:v>
                </c:pt>
                <c:pt idx="393">
                  <c:v>19.75</c:v>
                </c:pt>
                <c:pt idx="394">
                  <c:v>19.8</c:v>
                </c:pt>
                <c:pt idx="395">
                  <c:v>19.850000000000001</c:v>
                </c:pt>
                <c:pt idx="396">
                  <c:v>19.899999999999999</c:v>
                </c:pt>
                <c:pt idx="397">
                  <c:v>19.95</c:v>
                </c:pt>
                <c:pt idx="398">
                  <c:v>20</c:v>
                </c:pt>
                <c:pt idx="399">
                  <c:v>20.05</c:v>
                </c:pt>
                <c:pt idx="400">
                  <c:v>20.100000000000001</c:v>
                </c:pt>
                <c:pt idx="401">
                  <c:v>20.149999999999999</c:v>
                </c:pt>
                <c:pt idx="402">
                  <c:v>20.2</c:v>
                </c:pt>
                <c:pt idx="403">
                  <c:v>20.25</c:v>
                </c:pt>
                <c:pt idx="404">
                  <c:v>20.3</c:v>
                </c:pt>
                <c:pt idx="405">
                  <c:v>20.350000000000001</c:v>
                </c:pt>
                <c:pt idx="406">
                  <c:v>20.399999999999999</c:v>
                </c:pt>
                <c:pt idx="407">
                  <c:v>20.45</c:v>
                </c:pt>
                <c:pt idx="408">
                  <c:v>20.5</c:v>
                </c:pt>
                <c:pt idx="409">
                  <c:v>20.55</c:v>
                </c:pt>
                <c:pt idx="410">
                  <c:v>20.6</c:v>
                </c:pt>
                <c:pt idx="411">
                  <c:v>20.65</c:v>
                </c:pt>
              </c:numCache>
            </c:numRef>
          </c:cat>
          <c:val>
            <c:numRef>
              <c:f>'Cement Cost Model-Vietnam'!$P$192:$P$653</c:f>
              <c:numCache>
                <c:formatCode>General</c:formatCode>
                <c:ptCount val="462"/>
                <c:pt idx="95" formatCode="_(&quot;$&quot;* #,##0_);_(&quot;$&quot;* \(#,##0\);_(&quot;$&quot;* &quot;-&quot;??_);_(@_)">
                  <c:v>53.315145989642602</c:v>
                </c:pt>
                <c:pt idx="96" formatCode="_(&quot;$&quot;* #,##0_);_(&quot;$&quot;* \(#,##0\);_(&quot;$&quot;* &quot;-&quot;??_);_(@_)">
                  <c:v>53.315145989642602</c:v>
                </c:pt>
                <c:pt idx="97" formatCode="_(&quot;$&quot;* #,##0_);_(&quot;$&quot;* \(#,##0\);_(&quot;$&quot;* &quot;-&quot;??_);_(@_)">
                  <c:v>53.315145989642602</c:v>
                </c:pt>
                <c:pt idx="98" formatCode="_(&quot;$&quot;* #,##0_);_(&quot;$&quot;* \(#,##0\);_(&quot;$&quot;* &quot;-&quot;??_);_(@_)">
                  <c:v>53.315145989642602</c:v>
                </c:pt>
                <c:pt idx="99" formatCode="_(&quot;$&quot;* #,##0_);_(&quot;$&quot;* \(#,##0\);_(&quot;$&quot;* &quot;-&quot;??_);_(@_)">
                  <c:v>53.315145989642602</c:v>
                </c:pt>
                <c:pt idx="100" formatCode="_(&quot;$&quot;* #,##0_);_(&quot;$&quot;* \(#,##0\);_(&quot;$&quot;* &quot;-&quot;??_);_(@_)">
                  <c:v>53.315145989642602</c:v>
                </c:pt>
              </c:numCache>
            </c:numRef>
          </c:val>
          <c:extLst>
            <c:ext xmlns:c16="http://schemas.microsoft.com/office/drawing/2014/chart" uri="{C3380CC4-5D6E-409C-BE32-E72D297353CC}">
              <c16:uniqueId val="{00000001-8C9A-46DD-B9D1-826A2BCE4EC8}"/>
            </c:ext>
          </c:extLst>
        </c:ser>
        <c:ser>
          <c:idx val="3"/>
          <c:order val="3"/>
          <c:tx>
            <c:strRef>
              <c:f>'Cement Cost Model-Vietnam'!$Q$191</c:f>
              <c:strCache>
                <c:ptCount val="1"/>
                <c:pt idx="0">
                  <c:v>Energy Efficiency</c:v>
                </c:pt>
              </c:strCache>
            </c:strRef>
          </c:tx>
          <c:spPr>
            <a:solidFill>
              <a:schemeClr val="accent6">
                <a:lumMod val="60000"/>
                <a:lumOff val="40000"/>
              </a:schemeClr>
            </a:solidFill>
            <a:ln w="25400">
              <a:noFill/>
            </a:ln>
            <a:effectLst/>
          </c:spPr>
          <c:invertIfNegative val="0"/>
          <c:cat>
            <c:numRef>
              <c:f>'Cement Cost Model-Vietnam'!$N$192:$N$603</c:f>
              <c:numCache>
                <c:formatCode>General</c:formatCode>
                <c:ptCount val="412"/>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pt idx="97">
                  <c:v>4.95</c:v>
                </c:pt>
                <c:pt idx="98">
                  <c:v>5</c:v>
                </c:pt>
                <c:pt idx="99">
                  <c:v>5.05</c:v>
                </c:pt>
                <c:pt idx="100">
                  <c:v>5.0999999999999996</c:v>
                </c:pt>
                <c:pt idx="101">
                  <c:v>5.15</c:v>
                </c:pt>
                <c:pt idx="102">
                  <c:v>5.2</c:v>
                </c:pt>
                <c:pt idx="103">
                  <c:v>5.25</c:v>
                </c:pt>
                <c:pt idx="104">
                  <c:v>5.3</c:v>
                </c:pt>
                <c:pt idx="105">
                  <c:v>5.35</c:v>
                </c:pt>
                <c:pt idx="106">
                  <c:v>5.4</c:v>
                </c:pt>
                <c:pt idx="107">
                  <c:v>5.45</c:v>
                </c:pt>
                <c:pt idx="108">
                  <c:v>5.5</c:v>
                </c:pt>
                <c:pt idx="109">
                  <c:v>5.55</c:v>
                </c:pt>
                <c:pt idx="110">
                  <c:v>5.6</c:v>
                </c:pt>
                <c:pt idx="111">
                  <c:v>5.65</c:v>
                </c:pt>
                <c:pt idx="112">
                  <c:v>5.7</c:v>
                </c:pt>
                <c:pt idx="113">
                  <c:v>5.75</c:v>
                </c:pt>
                <c:pt idx="114">
                  <c:v>5.8</c:v>
                </c:pt>
                <c:pt idx="115">
                  <c:v>5.85</c:v>
                </c:pt>
                <c:pt idx="116">
                  <c:v>5.9</c:v>
                </c:pt>
                <c:pt idx="117">
                  <c:v>5.95</c:v>
                </c:pt>
                <c:pt idx="118">
                  <c:v>6</c:v>
                </c:pt>
                <c:pt idx="119">
                  <c:v>6.05</c:v>
                </c:pt>
                <c:pt idx="120">
                  <c:v>6.1</c:v>
                </c:pt>
                <c:pt idx="121">
                  <c:v>6.15</c:v>
                </c:pt>
                <c:pt idx="122">
                  <c:v>6.2</c:v>
                </c:pt>
                <c:pt idx="123">
                  <c:v>6.25</c:v>
                </c:pt>
                <c:pt idx="124">
                  <c:v>6.3</c:v>
                </c:pt>
                <c:pt idx="125">
                  <c:v>6.35</c:v>
                </c:pt>
                <c:pt idx="126">
                  <c:v>6.4</c:v>
                </c:pt>
                <c:pt idx="127">
                  <c:v>6.45</c:v>
                </c:pt>
                <c:pt idx="128">
                  <c:v>6.5</c:v>
                </c:pt>
                <c:pt idx="129">
                  <c:v>6.55</c:v>
                </c:pt>
                <c:pt idx="130">
                  <c:v>6.6</c:v>
                </c:pt>
                <c:pt idx="131">
                  <c:v>6.65</c:v>
                </c:pt>
                <c:pt idx="132">
                  <c:v>6.7</c:v>
                </c:pt>
                <c:pt idx="133">
                  <c:v>6.75</c:v>
                </c:pt>
                <c:pt idx="134">
                  <c:v>6.8</c:v>
                </c:pt>
                <c:pt idx="135">
                  <c:v>6.85</c:v>
                </c:pt>
                <c:pt idx="136">
                  <c:v>6.9</c:v>
                </c:pt>
                <c:pt idx="137">
                  <c:v>6.95</c:v>
                </c:pt>
                <c:pt idx="138">
                  <c:v>7</c:v>
                </c:pt>
                <c:pt idx="139">
                  <c:v>7.05</c:v>
                </c:pt>
                <c:pt idx="140">
                  <c:v>7.1</c:v>
                </c:pt>
                <c:pt idx="141">
                  <c:v>7.15</c:v>
                </c:pt>
                <c:pt idx="142">
                  <c:v>7.2</c:v>
                </c:pt>
                <c:pt idx="143">
                  <c:v>7.25</c:v>
                </c:pt>
                <c:pt idx="144">
                  <c:v>7.3</c:v>
                </c:pt>
                <c:pt idx="145">
                  <c:v>7.35</c:v>
                </c:pt>
                <c:pt idx="146">
                  <c:v>7.4</c:v>
                </c:pt>
                <c:pt idx="147">
                  <c:v>7.45</c:v>
                </c:pt>
                <c:pt idx="148">
                  <c:v>7.5</c:v>
                </c:pt>
                <c:pt idx="149">
                  <c:v>7.55</c:v>
                </c:pt>
                <c:pt idx="150">
                  <c:v>7.6</c:v>
                </c:pt>
                <c:pt idx="151">
                  <c:v>7.65</c:v>
                </c:pt>
                <c:pt idx="152">
                  <c:v>7.7</c:v>
                </c:pt>
                <c:pt idx="153">
                  <c:v>7.75</c:v>
                </c:pt>
                <c:pt idx="154">
                  <c:v>7.8</c:v>
                </c:pt>
                <c:pt idx="155">
                  <c:v>7.85</c:v>
                </c:pt>
                <c:pt idx="156">
                  <c:v>7.9</c:v>
                </c:pt>
                <c:pt idx="157">
                  <c:v>7.95</c:v>
                </c:pt>
                <c:pt idx="158">
                  <c:v>8</c:v>
                </c:pt>
                <c:pt idx="159">
                  <c:v>8.0500000000000007</c:v>
                </c:pt>
                <c:pt idx="160">
                  <c:v>8.1</c:v>
                </c:pt>
                <c:pt idx="161">
                  <c:v>8.15</c:v>
                </c:pt>
                <c:pt idx="162">
                  <c:v>8.1999999999999993</c:v>
                </c:pt>
                <c:pt idx="163">
                  <c:v>8.25</c:v>
                </c:pt>
                <c:pt idx="164">
                  <c:v>8.3000000000000007</c:v>
                </c:pt>
                <c:pt idx="165">
                  <c:v>8.35</c:v>
                </c:pt>
                <c:pt idx="166">
                  <c:v>8.4</c:v>
                </c:pt>
                <c:pt idx="167">
                  <c:v>8.4499999999999993</c:v>
                </c:pt>
                <c:pt idx="168">
                  <c:v>8.5</c:v>
                </c:pt>
                <c:pt idx="169">
                  <c:v>8.5500000000000007</c:v>
                </c:pt>
                <c:pt idx="170">
                  <c:v>8.6</c:v>
                </c:pt>
                <c:pt idx="171">
                  <c:v>8.65</c:v>
                </c:pt>
                <c:pt idx="172">
                  <c:v>8.6999999999999993</c:v>
                </c:pt>
                <c:pt idx="173">
                  <c:v>8.75</c:v>
                </c:pt>
                <c:pt idx="174">
                  <c:v>8.8000000000000007</c:v>
                </c:pt>
                <c:pt idx="175">
                  <c:v>8.85</c:v>
                </c:pt>
                <c:pt idx="176">
                  <c:v>8.9</c:v>
                </c:pt>
                <c:pt idx="177">
                  <c:v>8.9499999999999993</c:v>
                </c:pt>
                <c:pt idx="178">
                  <c:v>9</c:v>
                </c:pt>
                <c:pt idx="179">
                  <c:v>9.0500000000000007</c:v>
                </c:pt>
                <c:pt idx="180">
                  <c:v>9.1</c:v>
                </c:pt>
                <c:pt idx="181">
                  <c:v>9.15</c:v>
                </c:pt>
                <c:pt idx="182">
                  <c:v>9.1999999999999993</c:v>
                </c:pt>
                <c:pt idx="183">
                  <c:v>9.25</c:v>
                </c:pt>
                <c:pt idx="184">
                  <c:v>9.3000000000000007</c:v>
                </c:pt>
                <c:pt idx="185">
                  <c:v>9.35</c:v>
                </c:pt>
                <c:pt idx="186">
                  <c:v>9.4</c:v>
                </c:pt>
                <c:pt idx="187">
                  <c:v>9.4499999999999993</c:v>
                </c:pt>
                <c:pt idx="188">
                  <c:v>9.5</c:v>
                </c:pt>
                <c:pt idx="189">
                  <c:v>9.5500000000000007</c:v>
                </c:pt>
                <c:pt idx="190">
                  <c:v>9.6</c:v>
                </c:pt>
                <c:pt idx="191">
                  <c:v>9.65</c:v>
                </c:pt>
                <c:pt idx="192">
                  <c:v>9.6999999999999993</c:v>
                </c:pt>
                <c:pt idx="193">
                  <c:v>9.75</c:v>
                </c:pt>
                <c:pt idx="194">
                  <c:v>9.8000000000000007</c:v>
                </c:pt>
                <c:pt idx="195">
                  <c:v>9.85</c:v>
                </c:pt>
                <c:pt idx="196">
                  <c:v>9.9</c:v>
                </c:pt>
                <c:pt idx="197">
                  <c:v>9.9499999999999993</c:v>
                </c:pt>
                <c:pt idx="198">
                  <c:v>10</c:v>
                </c:pt>
                <c:pt idx="199">
                  <c:v>10.050000000000001</c:v>
                </c:pt>
                <c:pt idx="200">
                  <c:v>10.1</c:v>
                </c:pt>
                <c:pt idx="201">
                  <c:v>10.15</c:v>
                </c:pt>
                <c:pt idx="202">
                  <c:v>10.199999999999999</c:v>
                </c:pt>
                <c:pt idx="203">
                  <c:v>10.25</c:v>
                </c:pt>
                <c:pt idx="204">
                  <c:v>10.3</c:v>
                </c:pt>
                <c:pt idx="205">
                  <c:v>10.35</c:v>
                </c:pt>
                <c:pt idx="206">
                  <c:v>10.4</c:v>
                </c:pt>
                <c:pt idx="207">
                  <c:v>10.45</c:v>
                </c:pt>
                <c:pt idx="208">
                  <c:v>10.5</c:v>
                </c:pt>
                <c:pt idx="209">
                  <c:v>10.55</c:v>
                </c:pt>
                <c:pt idx="210">
                  <c:v>10.6</c:v>
                </c:pt>
                <c:pt idx="211">
                  <c:v>10.65</c:v>
                </c:pt>
                <c:pt idx="212">
                  <c:v>10.7</c:v>
                </c:pt>
                <c:pt idx="213">
                  <c:v>10.75</c:v>
                </c:pt>
                <c:pt idx="214">
                  <c:v>10.8</c:v>
                </c:pt>
                <c:pt idx="215">
                  <c:v>10.85</c:v>
                </c:pt>
                <c:pt idx="216">
                  <c:v>10.9</c:v>
                </c:pt>
                <c:pt idx="217">
                  <c:v>10.95</c:v>
                </c:pt>
                <c:pt idx="218">
                  <c:v>11</c:v>
                </c:pt>
                <c:pt idx="219">
                  <c:v>11.05</c:v>
                </c:pt>
                <c:pt idx="220">
                  <c:v>11.1</c:v>
                </c:pt>
                <c:pt idx="221">
                  <c:v>11.15</c:v>
                </c:pt>
                <c:pt idx="222">
                  <c:v>11.2</c:v>
                </c:pt>
                <c:pt idx="223">
                  <c:v>11.25</c:v>
                </c:pt>
                <c:pt idx="224">
                  <c:v>11.3</c:v>
                </c:pt>
                <c:pt idx="225">
                  <c:v>11.35</c:v>
                </c:pt>
                <c:pt idx="226">
                  <c:v>11.4</c:v>
                </c:pt>
                <c:pt idx="227">
                  <c:v>11.45</c:v>
                </c:pt>
                <c:pt idx="228">
                  <c:v>11.5</c:v>
                </c:pt>
                <c:pt idx="229">
                  <c:v>11.55</c:v>
                </c:pt>
                <c:pt idx="230">
                  <c:v>11.6</c:v>
                </c:pt>
                <c:pt idx="231">
                  <c:v>11.65</c:v>
                </c:pt>
                <c:pt idx="232">
                  <c:v>11.7</c:v>
                </c:pt>
                <c:pt idx="233">
                  <c:v>11.75</c:v>
                </c:pt>
                <c:pt idx="234">
                  <c:v>11.8</c:v>
                </c:pt>
                <c:pt idx="235">
                  <c:v>11.85</c:v>
                </c:pt>
                <c:pt idx="236">
                  <c:v>11.9</c:v>
                </c:pt>
                <c:pt idx="237">
                  <c:v>11.95</c:v>
                </c:pt>
                <c:pt idx="238">
                  <c:v>12</c:v>
                </c:pt>
                <c:pt idx="239">
                  <c:v>12.05</c:v>
                </c:pt>
                <c:pt idx="240">
                  <c:v>12.1</c:v>
                </c:pt>
                <c:pt idx="241">
                  <c:v>12.15</c:v>
                </c:pt>
                <c:pt idx="242">
                  <c:v>12.2</c:v>
                </c:pt>
                <c:pt idx="243">
                  <c:v>12.25</c:v>
                </c:pt>
                <c:pt idx="244">
                  <c:v>12.3</c:v>
                </c:pt>
                <c:pt idx="245">
                  <c:v>12.35</c:v>
                </c:pt>
                <c:pt idx="246">
                  <c:v>12.4</c:v>
                </c:pt>
                <c:pt idx="247">
                  <c:v>12.45</c:v>
                </c:pt>
                <c:pt idx="248">
                  <c:v>12.5</c:v>
                </c:pt>
                <c:pt idx="249">
                  <c:v>12.55</c:v>
                </c:pt>
                <c:pt idx="250">
                  <c:v>12.6</c:v>
                </c:pt>
                <c:pt idx="251">
                  <c:v>12.65</c:v>
                </c:pt>
                <c:pt idx="252">
                  <c:v>12.7</c:v>
                </c:pt>
                <c:pt idx="253">
                  <c:v>12.75</c:v>
                </c:pt>
                <c:pt idx="254">
                  <c:v>12.8</c:v>
                </c:pt>
                <c:pt idx="255">
                  <c:v>12.85</c:v>
                </c:pt>
                <c:pt idx="256">
                  <c:v>12.9</c:v>
                </c:pt>
                <c:pt idx="257">
                  <c:v>12.95</c:v>
                </c:pt>
                <c:pt idx="258">
                  <c:v>13</c:v>
                </c:pt>
                <c:pt idx="259">
                  <c:v>13.05</c:v>
                </c:pt>
                <c:pt idx="260">
                  <c:v>13.1</c:v>
                </c:pt>
                <c:pt idx="261">
                  <c:v>13.15</c:v>
                </c:pt>
                <c:pt idx="262">
                  <c:v>13.2</c:v>
                </c:pt>
                <c:pt idx="263">
                  <c:v>13.25</c:v>
                </c:pt>
                <c:pt idx="264">
                  <c:v>13.3</c:v>
                </c:pt>
                <c:pt idx="265">
                  <c:v>13.35</c:v>
                </c:pt>
                <c:pt idx="266">
                  <c:v>13.4</c:v>
                </c:pt>
                <c:pt idx="267">
                  <c:v>13.45</c:v>
                </c:pt>
                <c:pt idx="268">
                  <c:v>13.5</c:v>
                </c:pt>
                <c:pt idx="269">
                  <c:v>13.55</c:v>
                </c:pt>
                <c:pt idx="270">
                  <c:v>13.6</c:v>
                </c:pt>
                <c:pt idx="271">
                  <c:v>13.65</c:v>
                </c:pt>
                <c:pt idx="272">
                  <c:v>13.7</c:v>
                </c:pt>
                <c:pt idx="273">
                  <c:v>13.75</c:v>
                </c:pt>
                <c:pt idx="274">
                  <c:v>13.8</c:v>
                </c:pt>
                <c:pt idx="275">
                  <c:v>13.85</c:v>
                </c:pt>
                <c:pt idx="276">
                  <c:v>13.9</c:v>
                </c:pt>
                <c:pt idx="277">
                  <c:v>13.95</c:v>
                </c:pt>
                <c:pt idx="278">
                  <c:v>14</c:v>
                </c:pt>
                <c:pt idx="279">
                  <c:v>14.05</c:v>
                </c:pt>
                <c:pt idx="280">
                  <c:v>14.1</c:v>
                </c:pt>
                <c:pt idx="281">
                  <c:v>14.15</c:v>
                </c:pt>
                <c:pt idx="282">
                  <c:v>14.2</c:v>
                </c:pt>
                <c:pt idx="283">
                  <c:v>14.25</c:v>
                </c:pt>
                <c:pt idx="284">
                  <c:v>14.3</c:v>
                </c:pt>
                <c:pt idx="285">
                  <c:v>14.35</c:v>
                </c:pt>
                <c:pt idx="286">
                  <c:v>14.4</c:v>
                </c:pt>
                <c:pt idx="287">
                  <c:v>14.45</c:v>
                </c:pt>
                <c:pt idx="288">
                  <c:v>14.5</c:v>
                </c:pt>
                <c:pt idx="289">
                  <c:v>14.55</c:v>
                </c:pt>
                <c:pt idx="290">
                  <c:v>14.6</c:v>
                </c:pt>
                <c:pt idx="291">
                  <c:v>14.65</c:v>
                </c:pt>
                <c:pt idx="292">
                  <c:v>14.7</c:v>
                </c:pt>
                <c:pt idx="293">
                  <c:v>14.75</c:v>
                </c:pt>
                <c:pt idx="294">
                  <c:v>14.8</c:v>
                </c:pt>
                <c:pt idx="295">
                  <c:v>14.85</c:v>
                </c:pt>
                <c:pt idx="296">
                  <c:v>14.9</c:v>
                </c:pt>
                <c:pt idx="297">
                  <c:v>14.95</c:v>
                </c:pt>
                <c:pt idx="298">
                  <c:v>15</c:v>
                </c:pt>
                <c:pt idx="299">
                  <c:v>15.05</c:v>
                </c:pt>
                <c:pt idx="300">
                  <c:v>15.1</c:v>
                </c:pt>
                <c:pt idx="301">
                  <c:v>15.15</c:v>
                </c:pt>
                <c:pt idx="302">
                  <c:v>15.2</c:v>
                </c:pt>
                <c:pt idx="303">
                  <c:v>15.25</c:v>
                </c:pt>
                <c:pt idx="304">
                  <c:v>15.3</c:v>
                </c:pt>
                <c:pt idx="305">
                  <c:v>15.35</c:v>
                </c:pt>
                <c:pt idx="306">
                  <c:v>15.4</c:v>
                </c:pt>
                <c:pt idx="307">
                  <c:v>15.45</c:v>
                </c:pt>
                <c:pt idx="308">
                  <c:v>15.5</c:v>
                </c:pt>
                <c:pt idx="309">
                  <c:v>15.55</c:v>
                </c:pt>
                <c:pt idx="310">
                  <c:v>15.6</c:v>
                </c:pt>
                <c:pt idx="311">
                  <c:v>15.65</c:v>
                </c:pt>
                <c:pt idx="312">
                  <c:v>15.7</c:v>
                </c:pt>
                <c:pt idx="313">
                  <c:v>15.75</c:v>
                </c:pt>
                <c:pt idx="314">
                  <c:v>15.8</c:v>
                </c:pt>
                <c:pt idx="315">
                  <c:v>15.85</c:v>
                </c:pt>
                <c:pt idx="316">
                  <c:v>15.9</c:v>
                </c:pt>
                <c:pt idx="317">
                  <c:v>15.95</c:v>
                </c:pt>
                <c:pt idx="318">
                  <c:v>16</c:v>
                </c:pt>
                <c:pt idx="319">
                  <c:v>16.05</c:v>
                </c:pt>
                <c:pt idx="320">
                  <c:v>16.100000000000001</c:v>
                </c:pt>
                <c:pt idx="321">
                  <c:v>16.149999999999999</c:v>
                </c:pt>
                <c:pt idx="322">
                  <c:v>16.2</c:v>
                </c:pt>
                <c:pt idx="323">
                  <c:v>16.25</c:v>
                </c:pt>
                <c:pt idx="324">
                  <c:v>16.3</c:v>
                </c:pt>
                <c:pt idx="325">
                  <c:v>16.350000000000001</c:v>
                </c:pt>
                <c:pt idx="326">
                  <c:v>16.399999999999999</c:v>
                </c:pt>
                <c:pt idx="327">
                  <c:v>16.45</c:v>
                </c:pt>
                <c:pt idx="328">
                  <c:v>16.5</c:v>
                </c:pt>
                <c:pt idx="329">
                  <c:v>16.55</c:v>
                </c:pt>
                <c:pt idx="330">
                  <c:v>16.600000000000001</c:v>
                </c:pt>
                <c:pt idx="331">
                  <c:v>16.649999999999999</c:v>
                </c:pt>
                <c:pt idx="332">
                  <c:v>16.7</c:v>
                </c:pt>
                <c:pt idx="333">
                  <c:v>16.75</c:v>
                </c:pt>
                <c:pt idx="334">
                  <c:v>16.8</c:v>
                </c:pt>
                <c:pt idx="335">
                  <c:v>16.850000000000001</c:v>
                </c:pt>
                <c:pt idx="336">
                  <c:v>16.899999999999999</c:v>
                </c:pt>
                <c:pt idx="337">
                  <c:v>16.95</c:v>
                </c:pt>
                <c:pt idx="338">
                  <c:v>17</c:v>
                </c:pt>
                <c:pt idx="339">
                  <c:v>17.05</c:v>
                </c:pt>
                <c:pt idx="340">
                  <c:v>17.100000000000001</c:v>
                </c:pt>
                <c:pt idx="341">
                  <c:v>17.149999999999999</c:v>
                </c:pt>
                <c:pt idx="342">
                  <c:v>17.2</c:v>
                </c:pt>
                <c:pt idx="343">
                  <c:v>17.25</c:v>
                </c:pt>
                <c:pt idx="344">
                  <c:v>17.3</c:v>
                </c:pt>
                <c:pt idx="345">
                  <c:v>17.350000000000001</c:v>
                </c:pt>
                <c:pt idx="346">
                  <c:v>17.399999999999999</c:v>
                </c:pt>
                <c:pt idx="347">
                  <c:v>17.45</c:v>
                </c:pt>
                <c:pt idx="348">
                  <c:v>17.5</c:v>
                </c:pt>
                <c:pt idx="349">
                  <c:v>17.55</c:v>
                </c:pt>
                <c:pt idx="350">
                  <c:v>17.600000000000001</c:v>
                </c:pt>
                <c:pt idx="351">
                  <c:v>17.649999999999999</c:v>
                </c:pt>
                <c:pt idx="352">
                  <c:v>17.7</c:v>
                </c:pt>
                <c:pt idx="353">
                  <c:v>17.75</c:v>
                </c:pt>
                <c:pt idx="354">
                  <c:v>17.8</c:v>
                </c:pt>
                <c:pt idx="355">
                  <c:v>17.850000000000001</c:v>
                </c:pt>
                <c:pt idx="356">
                  <c:v>17.899999999999999</c:v>
                </c:pt>
                <c:pt idx="357">
                  <c:v>17.95</c:v>
                </c:pt>
                <c:pt idx="358">
                  <c:v>18</c:v>
                </c:pt>
                <c:pt idx="359">
                  <c:v>18.05</c:v>
                </c:pt>
                <c:pt idx="360">
                  <c:v>18.100000000000001</c:v>
                </c:pt>
                <c:pt idx="361">
                  <c:v>18.149999999999999</c:v>
                </c:pt>
                <c:pt idx="362">
                  <c:v>18.2</c:v>
                </c:pt>
                <c:pt idx="363">
                  <c:v>18.25</c:v>
                </c:pt>
                <c:pt idx="364">
                  <c:v>18.3</c:v>
                </c:pt>
                <c:pt idx="365">
                  <c:v>18.350000000000001</c:v>
                </c:pt>
                <c:pt idx="366">
                  <c:v>18.399999999999999</c:v>
                </c:pt>
                <c:pt idx="367">
                  <c:v>18.45</c:v>
                </c:pt>
                <c:pt idx="368">
                  <c:v>18.5</c:v>
                </c:pt>
                <c:pt idx="369">
                  <c:v>18.55</c:v>
                </c:pt>
                <c:pt idx="370">
                  <c:v>18.600000000000001</c:v>
                </c:pt>
                <c:pt idx="371">
                  <c:v>18.649999999999999</c:v>
                </c:pt>
                <c:pt idx="372">
                  <c:v>18.7</c:v>
                </c:pt>
                <c:pt idx="373">
                  <c:v>18.75</c:v>
                </c:pt>
                <c:pt idx="374">
                  <c:v>18.8</c:v>
                </c:pt>
                <c:pt idx="375">
                  <c:v>18.850000000000001</c:v>
                </c:pt>
                <c:pt idx="376">
                  <c:v>18.899999999999999</c:v>
                </c:pt>
                <c:pt idx="377">
                  <c:v>18.95</c:v>
                </c:pt>
                <c:pt idx="378">
                  <c:v>19</c:v>
                </c:pt>
                <c:pt idx="379">
                  <c:v>19.05</c:v>
                </c:pt>
                <c:pt idx="380">
                  <c:v>19.100000000000001</c:v>
                </c:pt>
                <c:pt idx="381">
                  <c:v>19.149999999999999</c:v>
                </c:pt>
                <c:pt idx="382">
                  <c:v>19.2</c:v>
                </c:pt>
                <c:pt idx="383">
                  <c:v>19.25</c:v>
                </c:pt>
                <c:pt idx="384">
                  <c:v>19.3</c:v>
                </c:pt>
                <c:pt idx="385">
                  <c:v>19.350000000000001</c:v>
                </c:pt>
                <c:pt idx="386">
                  <c:v>19.399999999999999</c:v>
                </c:pt>
                <c:pt idx="387">
                  <c:v>19.45</c:v>
                </c:pt>
                <c:pt idx="388">
                  <c:v>19.5</c:v>
                </c:pt>
                <c:pt idx="389">
                  <c:v>19.55</c:v>
                </c:pt>
                <c:pt idx="390">
                  <c:v>19.600000000000001</c:v>
                </c:pt>
                <c:pt idx="391">
                  <c:v>19.649999999999999</c:v>
                </c:pt>
                <c:pt idx="392">
                  <c:v>19.7</c:v>
                </c:pt>
                <c:pt idx="393">
                  <c:v>19.75</c:v>
                </c:pt>
                <c:pt idx="394">
                  <c:v>19.8</c:v>
                </c:pt>
                <c:pt idx="395">
                  <c:v>19.850000000000001</c:v>
                </c:pt>
                <c:pt idx="396">
                  <c:v>19.899999999999999</c:v>
                </c:pt>
                <c:pt idx="397">
                  <c:v>19.95</c:v>
                </c:pt>
                <c:pt idx="398">
                  <c:v>20</c:v>
                </c:pt>
                <c:pt idx="399">
                  <c:v>20.05</c:v>
                </c:pt>
                <c:pt idx="400">
                  <c:v>20.100000000000001</c:v>
                </c:pt>
                <c:pt idx="401">
                  <c:v>20.149999999999999</c:v>
                </c:pt>
                <c:pt idx="402">
                  <c:v>20.2</c:v>
                </c:pt>
                <c:pt idx="403">
                  <c:v>20.25</c:v>
                </c:pt>
                <c:pt idx="404">
                  <c:v>20.3</c:v>
                </c:pt>
                <c:pt idx="405">
                  <c:v>20.350000000000001</c:v>
                </c:pt>
                <c:pt idx="406">
                  <c:v>20.399999999999999</c:v>
                </c:pt>
                <c:pt idx="407">
                  <c:v>20.45</c:v>
                </c:pt>
                <c:pt idx="408">
                  <c:v>20.5</c:v>
                </c:pt>
                <c:pt idx="409">
                  <c:v>20.55</c:v>
                </c:pt>
                <c:pt idx="410">
                  <c:v>20.6</c:v>
                </c:pt>
                <c:pt idx="411">
                  <c:v>20.65</c:v>
                </c:pt>
              </c:numCache>
            </c:numRef>
          </c:cat>
          <c:val>
            <c:numRef>
              <c:f>'Cement Cost Model-Vietnam'!$Q$192:$Q$653</c:f>
              <c:numCache>
                <c:formatCode>General</c:formatCode>
                <c:ptCount val="462"/>
                <c:pt idx="101" formatCode="_(&quot;$&quot;* #,##0_);_(&quot;$&quot;* \(#,##0\);_(&quot;$&quot;* &quot;-&quot;??_);_(@_)">
                  <c:v>0</c:v>
                </c:pt>
                <c:pt idx="102" formatCode="_(&quot;$&quot;* #,##0_);_(&quot;$&quot;* \(#,##0\);_(&quot;$&quot;* &quot;-&quot;??_);_(@_)">
                  <c:v>0</c:v>
                </c:pt>
                <c:pt idx="103" formatCode="_(&quot;$&quot;* #,##0_);_(&quot;$&quot;* \(#,##0\);_(&quot;$&quot;* &quot;-&quot;??_);_(@_)">
                  <c:v>0</c:v>
                </c:pt>
                <c:pt idx="104" formatCode="_(&quot;$&quot;* #,##0_);_(&quot;$&quot;* \(#,##0\);_(&quot;$&quot;* &quot;-&quot;??_);_(@_)">
                  <c:v>0</c:v>
                </c:pt>
                <c:pt idx="105" formatCode="_(&quot;$&quot;* #,##0_);_(&quot;$&quot;* \(#,##0\);_(&quot;$&quot;* &quot;-&quot;??_);_(@_)">
                  <c:v>0</c:v>
                </c:pt>
                <c:pt idx="106" formatCode="_(&quot;$&quot;* #,##0_);_(&quot;$&quot;* \(#,##0\);_(&quot;$&quot;* &quot;-&quot;??_);_(@_)">
                  <c:v>0</c:v>
                </c:pt>
                <c:pt idx="107" formatCode="_(&quot;$&quot;* #,##0_);_(&quot;$&quot;* \(#,##0\);_(&quot;$&quot;* &quot;-&quot;??_);_(@_)">
                  <c:v>0</c:v>
                </c:pt>
                <c:pt idx="108" formatCode="_(&quot;$&quot;* #,##0_);_(&quot;$&quot;* \(#,##0\);_(&quot;$&quot;* &quot;-&quot;??_);_(@_)">
                  <c:v>0</c:v>
                </c:pt>
                <c:pt idx="109" formatCode="_(&quot;$&quot;* #,##0_);_(&quot;$&quot;* \(#,##0\);_(&quot;$&quot;* &quot;-&quot;??_);_(@_)">
                  <c:v>0</c:v>
                </c:pt>
                <c:pt idx="110" formatCode="_(&quot;$&quot;* #,##0_);_(&quot;$&quot;* \(#,##0\);_(&quot;$&quot;* &quot;-&quot;??_);_(@_)">
                  <c:v>0</c:v>
                </c:pt>
                <c:pt idx="111" formatCode="_(&quot;$&quot;* #,##0_);_(&quot;$&quot;* \(#,##0\);_(&quot;$&quot;* &quot;-&quot;??_);_(@_)">
                  <c:v>0</c:v>
                </c:pt>
                <c:pt idx="112" formatCode="_(&quot;$&quot;* #,##0_);_(&quot;$&quot;* \(#,##0\);_(&quot;$&quot;* &quot;-&quot;??_);_(@_)">
                  <c:v>0</c:v>
                </c:pt>
                <c:pt idx="113" formatCode="_(&quot;$&quot;* #,##0_);_(&quot;$&quot;* \(#,##0\);_(&quot;$&quot;* &quot;-&quot;??_);_(@_)">
                  <c:v>0</c:v>
                </c:pt>
                <c:pt idx="114" formatCode="_(&quot;$&quot;* #,##0_);_(&quot;$&quot;* \(#,##0\);_(&quot;$&quot;* &quot;-&quot;??_);_(@_)">
                  <c:v>0</c:v>
                </c:pt>
                <c:pt idx="115" formatCode="_(&quot;$&quot;* #,##0_);_(&quot;$&quot;* \(#,##0\);_(&quot;$&quot;* &quot;-&quot;??_);_(@_)">
                  <c:v>0</c:v>
                </c:pt>
                <c:pt idx="116" formatCode="_(&quot;$&quot;* #,##0_);_(&quot;$&quot;* \(#,##0\);_(&quot;$&quot;* &quot;-&quot;??_);_(@_)">
                  <c:v>0</c:v>
                </c:pt>
                <c:pt idx="117" formatCode="_(&quot;$&quot;* #,##0_);_(&quot;$&quot;* \(#,##0\);_(&quot;$&quot;* &quot;-&quot;??_);_(@_)">
                  <c:v>0</c:v>
                </c:pt>
                <c:pt idx="118" formatCode="_(&quot;$&quot;* #,##0_);_(&quot;$&quot;* \(#,##0\);_(&quot;$&quot;* &quot;-&quot;??_);_(@_)">
                  <c:v>0</c:v>
                </c:pt>
                <c:pt idx="119" formatCode="_(&quot;$&quot;* #,##0_);_(&quot;$&quot;* \(#,##0\);_(&quot;$&quot;* &quot;-&quot;??_);_(@_)">
                  <c:v>0</c:v>
                </c:pt>
                <c:pt idx="120" formatCode="_(&quot;$&quot;* #,##0_);_(&quot;$&quot;* \(#,##0\);_(&quot;$&quot;* &quot;-&quot;??_);_(@_)">
                  <c:v>0</c:v>
                </c:pt>
                <c:pt idx="121" formatCode="_(&quot;$&quot;* #,##0_);_(&quot;$&quot;* \(#,##0\);_(&quot;$&quot;* &quot;-&quot;??_);_(@_)">
                  <c:v>0</c:v>
                </c:pt>
                <c:pt idx="122" formatCode="_(&quot;$&quot;* #,##0_);_(&quot;$&quot;* \(#,##0\);_(&quot;$&quot;* &quot;-&quot;??_);_(@_)">
                  <c:v>0</c:v>
                </c:pt>
                <c:pt idx="123" formatCode="_(&quot;$&quot;* #,##0_);_(&quot;$&quot;* \(#,##0\);_(&quot;$&quot;* &quot;-&quot;??_);_(@_)">
                  <c:v>0</c:v>
                </c:pt>
                <c:pt idx="124" formatCode="_(&quot;$&quot;* #,##0_);_(&quot;$&quot;* \(#,##0\);_(&quot;$&quot;* &quot;-&quot;??_);_(@_)">
                  <c:v>0</c:v>
                </c:pt>
                <c:pt idx="125" formatCode="_(&quot;$&quot;* #,##0_);_(&quot;$&quot;* \(#,##0\);_(&quot;$&quot;* &quot;-&quot;??_);_(@_)">
                  <c:v>0</c:v>
                </c:pt>
                <c:pt idx="126" formatCode="_(&quot;$&quot;* #,##0_);_(&quot;$&quot;* \(#,##0\);_(&quot;$&quot;* &quot;-&quot;??_);_(@_)">
                  <c:v>0</c:v>
                </c:pt>
                <c:pt idx="127" formatCode="_(&quot;$&quot;* #,##0_);_(&quot;$&quot;* \(#,##0\);_(&quot;$&quot;* &quot;-&quot;??_);_(@_)">
                  <c:v>0</c:v>
                </c:pt>
                <c:pt idx="128" formatCode="_(&quot;$&quot;* #,##0_);_(&quot;$&quot;* \(#,##0\);_(&quot;$&quot;* &quot;-&quot;??_);_(@_)">
                  <c:v>0</c:v>
                </c:pt>
                <c:pt idx="129" formatCode="_(&quot;$&quot;* #,##0_);_(&quot;$&quot;* \(#,##0\);_(&quot;$&quot;* &quot;-&quot;??_);_(@_)">
                  <c:v>0</c:v>
                </c:pt>
                <c:pt idx="130" formatCode="_(&quot;$&quot;* #,##0_);_(&quot;$&quot;* \(#,##0\);_(&quot;$&quot;* &quot;-&quot;??_);_(@_)">
                  <c:v>0</c:v>
                </c:pt>
                <c:pt idx="131" formatCode="_(&quot;$&quot;* #,##0_);_(&quot;$&quot;* \(#,##0\);_(&quot;$&quot;* &quot;-&quot;??_);_(@_)">
                  <c:v>0</c:v>
                </c:pt>
                <c:pt idx="132" formatCode="_(&quot;$&quot;* #,##0_);_(&quot;$&quot;* \(#,##0\);_(&quot;$&quot;* &quot;-&quot;??_);_(@_)">
                  <c:v>0</c:v>
                </c:pt>
                <c:pt idx="133" formatCode="_(&quot;$&quot;* #,##0_);_(&quot;$&quot;* \(#,##0\);_(&quot;$&quot;* &quot;-&quot;??_);_(@_)">
                  <c:v>0</c:v>
                </c:pt>
                <c:pt idx="134" formatCode="_(&quot;$&quot;* #,##0_);_(&quot;$&quot;* \(#,##0\);_(&quot;$&quot;* &quot;-&quot;??_);_(@_)">
                  <c:v>0</c:v>
                </c:pt>
                <c:pt idx="135" formatCode="_(&quot;$&quot;* #,##0_);_(&quot;$&quot;* \(#,##0\);_(&quot;$&quot;* &quot;-&quot;??_);_(@_)">
                  <c:v>0</c:v>
                </c:pt>
                <c:pt idx="136" formatCode="_(&quot;$&quot;* #,##0_);_(&quot;$&quot;* \(#,##0\);_(&quot;$&quot;* &quot;-&quot;??_);_(@_)">
                  <c:v>0</c:v>
                </c:pt>
                <c:pt idx="137" formatCode="_(&quot;$&quot;* #,##0_);_(&quot;$&quot;* \(#,##0\);_(&quot;$&quot;* &quot;-&quot;??_);_(@_)">
                  <c:v>0</c:v>
                </c:pt>
                <c:pt idx="138" formatCode="_(&quot;$&quot;* #,##0_);_(&quot;$&quot;* \(#,##0\);_(&quot;$&quot;* &quot;-&quot;??_);_(@_)">
                  <c:v>0</c:v>
                </c:pt>
                <c:pt idx="139" formatCode="_(&quot;$&quot;* #,##0_);_(&quot;$&quot;* \(#,##0\);_(&quot;$&quot;* &quot;-&quot;??_);_(@_)">
                  <c:v>0</c:v>
                </c:pt>
                <c:pt idx="140" formatCode="_(&quot;$&quot;* #,##0_);_(&quot;$&quot;* \(#,##0\);_(&quot;$&quot;* &quot;-&quot;??_);_(@_)">
                  <c:v>0</c:v>
                </c:pt>
                <c:pt idx="141" formatCode="_(&quot;$&quot;* #,##0_);_(&quot;$&quot;* \(#,##0\);_(&quot;$&quot;* &quot;-&quot;??_);_(@_)">
                  <c:v>0</c:v>
                </c:pt>
                <c:pt idx="142" formatCode="_(&quot;$&quot;* #,##0_);_(&quot;$&quot;* \(#,##0\);_(&quot;$&quot;* &quot;-&quot;??_);_(@_)">
                  <c:v>0</c:v>
                </c:pt>
                <c:pt idx="143" formatCode="_(&quot;$&quot;* #,##0_);_(&quot;$&quot;* \(#,##0\);_(&quot;$&quot;* &quot;-&quot;??_);_(@_)">
                  <c:v>0</c:v>
                </c:pt>
                <c:pt idx="144" formatCode="_(&quot;$&quot;* #,##0_);_(&quot;$&quot;* \(#,##0\);_(&quot;$&quot;* &quot;-&quot;??_);_(@_)">
                  <c:v>0</c:v>
                </c:pt>
                <c:pt idx="145" formatCode="_(&quot;$&quot;* #,##0_);_(&quot;$&quot;* \(#,##0\);_(&quot;$&quot;* &quot;-&quot;??_);_(@_)">
                  <c:v>0</c:v>
                </c:pt>
                <c:pt idx="146" formatCode="_(&quot;$&quot;* #,##0_);_(&quot;$&quot;* \(#,##0\);_(&quot;$&quot;* &quot;-&quot;??_);_(@_)">
                  <c:v>0</c:v>
                </c:pt>
                <c:pt idx="147" formatCode="_(&quot;$&quot;* #,##0_);_(&quot;$&quot;* \(#,##0\);_(&quot;$&quot;* &quot;-&quot;??_);_(@_)">
                  <c:v>0</c:v>
                </c:pt>
              </c:numCache>
            </c:numRef>
          </c:val>
          <c:extLst>
            <c:ext xmlns:c16="http://schemas.microsoft.com/office/drawing/2014/chart" uri="{C3380CC4-5D6E-409C-BE32-E72D297353CC}">
              <c16:uniqueId val="{00000002-8C9A-46DD-B9D1-826A2BCE4EC8}"/>
            </c:ext>
          </c:extLst>
        </c:ser>
        <c:ser>
          <c:idx val="4"/>
          <c:order val="4"/>
          <c:tx>
            <c:strRef>
              <c:f>'Cement Cost Model-Vietnam'!$R$191</c:f>
              <c:strCache>
                <c:ptCount val="1"/>
                <c:pt idx="0">
                  <c:v>Alternative Fuels: Industrial Wastes</c:v>
                </c:pt>
              </c:strCache>
            </c:strRef>
          </c:tx>
          <c:spPr>
            <a:solidFill>
              <a:schemeClr val="accent5"/>
            </a:solidFill>
            <a:ln>
              <a:noFill/>
            </a:ln>
            <a:effectLst/>
          </c:spPr>
          <c:invertIfNegative val="0"/>
          <c:cat>
            <c:numRef>
              <c:f>'Cement Cost Model-Vietnam'!$N$192:$N$603</c:f>
              <c:numCache>
                <c:formatCode>General</c:formatCode>
                <c:ptCount val="412"/>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pt idx="97">
                  <c:v>4.95</c:v>
                </c:pt>
                <c:pt idx="98">
                  <c:v>5</c:v>
                </c:pt>
                <c:pt idx="99">
                  <c:v>5.05</c:v>
                </c:pt>
                <c:pt idx="100">
                  <c:v>5.0999999999999996</c:v>
                </c:pt>
                <c:pt idx="101">
                  <c:v>5.15</c:v>
                </c:pt>
                <c:pt idx="102">
                  <c:v>5.2</c:v>
                </c:pt>
                <c:pt idx="103">
                  <c:v>5.25</c:v>
                </c:pt>
                <c:pt idx="104">
                  <c:v>5.3</c:v>
                </c:pt>
                <c:pt idx="105">
                  <c:v>5.35</c:v>
                </c:pt>
                <c:pt idx="106">
                  <c:v>5.4</c:v>
                </c:pt>
                <c:pt idx="107">
                  <c:v>5.45</c:v>
                </c:pt>
                <c:pt idx="108">
                  <c:v>5.5</c:v>
                </c:pt>
                <c:pt idx="109">
                  <c:v>5.55</c:v>
                </c:pt>
                <c:pt idx="110">
                  <c:v>5.6</c:v>
                </c:pt>
                <c:pt idx="111">
                  <c:v>5.65</c:v>
                </c:pt>
                <c:pt idx="112">
                  <c:v>5.7</c:v>
                </c:pt>
                <c:pt idx="113">
                  <c:v>5.75</c:v>
                </c:pt>
                <c:pt idx="114">
                  <c:v>5.8</c:v>
                </c:pt>
                <c:pt idx="115">
                  <c:v>5.85</c:v>
                </c:pt>
                <c:pt idx="116">
                  <c:v>5.9</c:v>
                </c:pt>
                <c:pt idx="117">
                  <c:v>5.95</c:v>
                </c:pt>
                <c:pt idx="118">
                  <c:v>6</c:v>
                </c:pt>
                <c:pt idx="119">
                  <c:v>6.05</c:v>
                </c:pt>
                <c:pt idx="120">
                  <c:v>6.1</c:v>
                </c:pt>
                <c:pt idx="121">
                  <c:v>6.15</c:v>
                </c:pt>
                <c:pt idx="122">
                  <c:v>6.2</c:v>
                </c:pt>
                <c:pt idx="123">
                  <c:v>6.25</c:v>
                </c:pt>
                <c:pt idx="124">
                  <c:v>6.3</c:v>
                </c:pt>
                <c:pt idx="125">
                  <c:v>6.35</c:v>
                </c:pt>
                <c:pt idx="126">
                  <c:v>6.4</c:v>
                </c:pt>
                <c:pt idx="127">
                  <c:v>6.45</c:v>
                </c:pt>
                <c:pt idx="128">
                  <c:v>6.5</c:v>
                </c:pt>
                <c:pt idx="129">
                  <c:v>6.55</c:v>
                </c:pt>
                <c:pt idx="130">
                  <c:v>6.6</c:v>
                </c:pt>
                <c:pt idx="131">
                  <c:v>6.65</c:v>
                </c:pt>
                <c:pt idx="132">
                  <c:v>6.7</c:v>
                </c:pt>
                <c:pt idx="133">
                  <c:v>6.75</c:v>
                </c:pt>
                <c:pt idx="134">
                  <c:v>6.8</c:v>
                </c:pt>
                <c:pt idx="135">
                  <c:v>6.85</c:v>
                </c:pt>
                <c:pt idx="136">
                  <c:v>6.9</c:v>
                </c:pt>
                <c:pt idx="137">
                  <c:v>6.95</c:v>
                </c:pt>
                <c:pt idx="138">
                  <c:v>7</c:v>
                </c:pt>
                <c:pt idx="139">
                  <c:v>7.05</c:v>
                </c:pt>
                <c:pt idx="140">
                  <c:v>7.1</c:v>
                </c:pt>
                <c:pt idx="141">
                  <c:v>7.15</c:v>
                </c:pt>
                <c:pt idx="142">
                  <c:v>7.2</c:v>
                </c:pt>
                <c:pt idx="143">
                  <c:v>7.25</c:v>
                </c:pt>
                <c:pt idx="144">
                  <c:v>7.3</c:v>
                </c:pt>
                <c:pt idx="145">
                  <c:v>7.35</c:v>
                </c:pt>
                <c:pt idx="146">
                  <c:v>7.4</c:v>
                </c:pt>
                <c:pt idx="147">
                  <c:v>7.45</c:v>
                </c:pt>
                <c:pt idx="148">
                  <c:v>7.5</c:v>
                </c:pt>
                <c:pt idx="149">
                  <c:v>7.55</c:v>
                </c:pt>
                <c:pt idx="150">
                  <c:v>7.6</c:v>
                </c:pt>
                <c:pt idx="151">
                  <c:v>7.65</c:v>
                </c:pt>
                <c:pt idx="152">
                  <c:v>7.7</c:v>
                </c:pt>
                <c:pt idx="153">
                  <c:v>7.75</c:v>
                </c:pt>
                <c:pt idx="154">
                  <c:v>7.8</c:v>
                </c:pt>
                <c:pt idx="155">
                  <c:v>7.85</c:v>
                </c:pt>
                <c:pt idx="156">
                  <c:v>7.9</c:v>
                </c:pt>
                <c:pt idx="157">
                  <c:v>7.95</c:v>
                </c:pt>
                <c:pt idx="158">
                  <c:v>8</c:v>
                </c:pt>
                <c:pt idx="159">
                  <c:v>8.0500000000000007</c:v>
                </c:pt>
                <c:pt idx="160">
                  <c:v>8.1</c:v>
                </c:pt>
                <c:pt idx="161">
                  <c:v>8.15</c:v>
                </c:pt>
                <c:pt idx="162">
                  <c:v>8.1999999999999993</c:v>
                </c:pt>
                <c:pt idx="163">
                  <c:v>8.25</c:v>
                </c:pt>
                <c:pt idx="164">
                  <c:v>8.3000000000000007</c:v>
                </c:pt>
                <c:pt idx="165">
                  <c:v>8.35</c:v>
                </c:pt>
                <c:pt idx="166">
                  <c:v>8.4</c:v>
                </c:pt>
                <c:pt idx="167">
                  <c:v>8.4499999999999993</c:v>
                </c:pt>
                <c:pt idx="168">
                  <c:v>8.5</c:v>
                </c:pt>
                <c:pt idx="169">
                  <c:v>8.5500000000000007</c:v>
                </c:pt>
                <c:pt idx="170">
                  <c:v>8.6</c:v>
                </c:pt>
                <c:pt idx="171">
                  <c:v>8.65</c:v>
                </c:pt>
                <c:pt idx="172">
                  <c:v>8.6999999999999993</c:v>
                </c:pt>
                <c:pt idx="173">
                  <c:v>8.75</c:v>
                </c:pt>
                <c:pt idx="174">
                  <c:v>8.8000000000000007</c:v>
                </c:pt>
                <c:pt idx="175">
                  <c:v>8.85</c:v>
                </c:pt>
                <c:pt idx="176">
                  <c:v>8.9</c:v>
                </c:pt>
                <c:pt idx="177">
                  <c:v>8.9499999999999993</c:v>
                </c:pt>
                <c:pt idx="178">
                  <c:v>9</c:v>
                </c:pt>
                <c:pt idx="179">
                  <c:v>9.0500000000000007</c:v>
                </c:pt>
                <c:pt idx="180">
                  <c:v>9.1</c:v>
                </c:pt>
                <c:pt idx="181">
                  <c:v>9.15</c:v>
                </c:pt>
                <c:pt idx="182">
                  <c:v>9.1999999999999993</c:v>
                </c:pt>
                <c:pt idx="183">
                  <c:v>9.25</c:v>
                </c:pt>
                <c:pt idx="184">
                  <c:v>9.3000000000000007</c:v>
                </c:pt>
                <c:pt idx="185">
                  <c:v>9.35</c:v>
                </c:pt>
                <c:pt idx="186">
                  <c:v>9.4</c:v>
                </c:pt>
                <c:pt idx="187">
                  <c:v>9.4499999999999993</c:v>
                </c:pt>
                <c:pt idx="188">
                  <c:v>9.5</c:v>
                </c:pt>
                <c:pt idx="189">
                  <c:v>9.5500000000000007</c:v>
                </c:pt>
                <c:pt idx="190">
                  <c:v>9.6</c:v>
                </c:pt>
                <c:pt idx="191">
                  <c:v>9.65</c:v>
                </c:pt>
                <c:pt idx="192">
                  <c:v>9.6999999999999993</c:v>
                </c:pt>
                <c:pt idx="193">
                  <c:v>9.75</c:v>
                </c:pt>
                <c:pt idx="194">
                  <c:v>9.8000000000000007</c:v>
                </c:pt>
                <c:pt idx="195">
                  <c:v>9.85</c:v>
                </c:pt>
                <c:pt idx="196">
                  <c:v>9.9</c:v>
                </c:pt>
                <c:pt idx="197">
                  <c:v>9.9499999999999993</c:v>
                </c:pt>
                <c:pt idx="198">
                  <c:v>10</c:v>
                </c:pt>
                <c:pt idx="199">
                  <c:v>10.050000000000001</c:v>
                </c:pt>
                <c:pt idx="200">
                  <c:v>10.1</c:v>
                </c:pt>
                <c:pt idx="201">
                  <c:v>10.15</c:v>
                </c:pt>
                <c:pt idx="202">
                  <c:v>10.199999999999999</c:v>
                </c:pt>
                <c:pt idx="203">
                  <c:v>10.25</c:v>
                </c:pt>
                <c:pt idx="204">
                  <c:v>10.3</c:v>
                </c:pt>
                <c:pt idx="205">
                  <c:v>10.35</c:v>
                </c:pt>
                <c:pt idx="206">
                  <c:v>10.4</c:v>
                </c:pt>
                <c:pt idx="207">
                  <c:v>10.45</c:v>
                </c:pt>
                <c:pt idx="208">
                  <c:v>10.5</c:v>
                </c:pt>
                <c:pt idx="209">
                  <c:v>10.55</c:v>
                </c:pt>
                <c:pt idx="210">
                  <c:v>10.6</c:v>
                </c:pt>
                <c:pt idx="211">
                  <c:v>10.65</c:v>
                </c:pt>
                <c:pt idx="212">
                  <c:v>10.7</c:v>
                </c:pt>
                <c:pt idx="213">
                  <c:v>10.75</c:v>
                </c:pt>
                <c:pt idx="214">
                  <c:v>10.8</c:v>
                </c:pt>
                <c:pt idx="215">
                  <c:v>10.85</c:v>
                </c:pt>
                <c:pt idx="216">
                  <c:v>10.9</c:v>
                </c:pt>
                <c:pt idx="217">
                  <c:v>10.95</c:v>
                </c:pt>
                <c:pt idx="218">
                  <c:v>11</c:v>
                </c:pt>
                <c:pt idx="219">
                  <c:v>11.05</c:v>
                </c:pt>
                <c:pt idx="220">
                  <c:v>11.1</c:v>
                </c:pt>
                <c:pt idx="221">
                  <c:v>11.15</c:v>
                </c:pt>
                <c:pt idx="222">
                  <c:v>11.2</c:v>
                </c:pt>
                <c:pt idx="223">
                  <c:v>11.25</c:v>
                </c:pt>
                <c:pt idx="224">
                  <c:v>11.3</c:v>
                </c:pt>
                <c:pt idx="225">
                  <c:v>11.35</c:v>
                </c:pt>
                <c:pt idx="226">
                  <c:v>11.4</c:v>
                </c:pt>
                <c:pt idx="227">
                  <c:v>11.45</c:v>
                </c:pt>
                <c:pt idx="228">
                  <c:v>11.5</c:v>
                </c:pt>
                <c:pt idx="229">
                  <c:v>11.55</c:v>
                </c:pt>
                <c:pt idx="230">
                  <c:v>11.6</c:v>
                </c:pt>
                <c:pt idx="231">
                  <c:v>11.65</c:v>
                </c:pt>
                <c:pt idx="232">
                  <c:v>11.7</c:v>
                </c:pt>
                <c:pt idx="233">
                  <c:v>11.75</c:v>
                </c:pt>
                <c:pt idx="234">
                  <c:v>11.8</c:v>
                </c:pt>
                <c:pt idx="235">
                  <c:v>11.85</c:v>
                </c:pt>
                <c:pt idx="236">
                  <c:v>11.9</c:v>
                </c:pt>
                <c:pt idx="237">
                  <c:v>11.95</c:v>
                </c:pt>
                <c:pt idx="238">
                  <c:v>12</c:v>
                </c:pt>
                <c:pt idx="239">
                  <c:v>12.05</c:v>
                </c:pt>
                <c:pt idx="240">
                  <c:v>12.1</c:v>
                </c:pt>
                <c:pt idx="241">
                  <c:v>12.15</c:v>
                </c:pt>
                <c:pt idx="242">
                  <c:v>12.2</c:v>
                </c:pt>
                <c:pt idx="243">
                  <c:v>12.25</c:v>
                </c:pt>
                <c:pt idx="244">
                  <c:v>12.3</c:v>
                </c:pt>
                <c:pt idx="245">
                  <c:v>12.35</c:v>
                </c:pt>
                <c:pt idx="246">
                  <c:v>12.4</c:v>
                </c:pt>
                <c:pt idx="247">
                  <c:v>12.45</c:v>
                </c:pt>
                <c:pt idx="248">
                  <c:v>12.5</c:v>
                </c:pt>
                <c:pt idx="249">
                  <c:v>12.55</c:v>
                </c:pt>
                <c:pt idx="250">
                  <c:v>12.6</c:v>
                </c:pt>
                <c:pt idx="251">
                  <c:v>12.65</c:v>
                </c:pt>
                <c:pt idx="252">
                  <c:v>12.7</c:v>
                </c:pt>
                <c:pt idx="253">
                  <c:v>12.75</c:v>
                </c:pt>
                <c:pt idx="254">
                  <c:v>12.8</c:v>
                </c:pt>
                <c:pt idx="255">
                  <c:v>12.85</c:v>
                </c:pt>
                <c:pt idx="256">
                  <c:v>12.9</c:v>
                </c:pt>
                <c:pt idx="257">
                  <c:v>12.95</c:v>
                </c:pt>
                <c:pt idx="258">
                  <c:v>13</c:v>
                </c:pt>
                <c:pt idx="259">
                  <c:v>13.05</c:v>
                </c:pt>
                <c:pt idx="260">
                  <c:v>13.1</c:v>
                </c:pt>
                <c:pt idx="261">
                  <c:v>13.15</c:v>
                </c:pt>
                <c:pt idx="262">
                  <c:v>13.2</c:v>
                </c:pt>
                <c:pt idx="263">
                  <c:v>13.25</c:v>
                </c:pt>
                <c:pt idx="264">
                  <c:v>13.3</c:v>
                </c:pt>
                <c:pt idx="265">
                  <c:v>13.35</c:v>
                </c:pt>
                <c:pt idx="266">
                  <c:v>13.4</c:v>
                </c:pt>
                <c:pt idx="267">
                  <c:v>13.45</c:v>
                </c:pt>
                <c:pt idx="268">
                  <c:v>13.5</c:v>
                </c:pt>
                <c:pt idx="269">
                  <c:v>13.55</c:v>
                </c:pt>
                <c:pt idx="270">
                  <c:v>13.6</c:v>
                </c:pt>
                <c:pt idx="271">
                  <c:v>13.65</c:v>
                </c:pt>
                <c:pt idx="272">
                  <c:v>13.7</c:v>
                </c:pt>
                <c:pt idx="273">
                  <c:v>13.75</c:v>
                </c:pt>
                <c:pt idx="274">
                  <c:v>13.8</c:v>
                </c:pt>
                <c:pt idx="275">
                  <c:v>13.85</c:v>
                </c:pt>
                <c:pt idx="276">
                  <c:v>13.9</c:v>
                </c:pt>
                <c:pt idx="277">
                  <c:v>13.95</c:v>
                </c:pt>
                <c:pt idx="278">
                  <c:v>14</c:v>
                </c:pt>
                <c:pt idx="279">
                  <c:v>14.05</c:v>
                </c:pt>
                <c:pt idx="280">
                  <c:v>14.1</c:v>
                </c:pt>
                <c:pt idx="281">
                  <c:v>14.15</c:v>
                </c:pt>
                <c:pt idx="282">
                  <c:v>14.2</c:v>
                </c:pt>
                <c:pt idx="283">
                  <c:v>14.25</c:v>
                </c:pt>
                <c:pt idx="284">
                  <c:v>14.3</c:v>
                </c:pt>
                <c:pt idx="285">
                  <c:v>14.35</c:v>
                </c:pt>
                <c:pt idx="286">
                  <c:v>14.4</c:v>
                </c:pt>
                <c:pt idx="287">
                  <c:v>14.45</c:v>
                </c:pt>
                <c:pt idx="288">
                  <c:v>14.5</c:v>
                </c:pt>
                <c:pt idx="289">
                  <c:v>14.55</c:v>
                </c:pt>
                <c:pt idx="290">
                  <c:v>14.6</c:v>
                </c:pt>
                <c:pt idx="291">
                  <c:v>14.65</c:v>
                </c:pt>
                <c:pt idx="292">
                  <c:v>14.7</c:v>
                </c:pt>
                <c:pt idx="293">
                  <c:v>14.75</c:v>
                </c:pt>
                <c:pt idx="294">
                  <c:v>14.8</c:v>
                </c:pt>
                <c:pt idx="295">
                  <c:v>14.85</c:v>
                </c:pt>
                <c:pt idx="296">
                  <c:v>14.9</c:v>
                </c:pt>
                <c:pt idx="297">
                  <c:v>14.95</c:v>
                </c:pt>
                <c:pt idx="298">
                  <c:v>15</c:v>
                </c:pt>
                <c:pt idx="299">
                  <c:v>15.05</c:v>
                </c:pt>
                <c:pt idx="300">
                  <c:v>15.1</c:v>
                </c:pt>
                <c:pt idx="301">
                  <c:v>15.15</c:v>
                </c:pt>
                <c:pt idx="302">
                  <c:v>15.2</c:v>
                </c:pt>
                <c:pt idx="303">
                  <c:v>15.25</c:v>
                </c:pt>
                <c:pt idx="304">
                  <c:v>15.3</c:v>
                </c:pt>
                <c:pt idx="305">
                  <c:v>15.35</c:v>
                </c:pt>
                <c:pt idx="306">
                  <c:v>15.4</c:v>
                </c:pt>
                <c:pt idx="307">
                  <c:v>15.45</c:v>
                </c:pt>
                <c:pt idx="308">
                  <c:v>15.5</c:v>
                </c:pt>
                <c:pt idx="309">
                  <c:v>15.55</c:v>
                </c:pt>
                <c:pt idx="310">
                  <c:v>15.6</c:v>
                </c:pt>
                <c:pt idx="311">
                  <c:v>15.65</c:v>
                </c:pt>
                <c:pt idx="312">
                  <c:v>15.7</c:v>
                </c:pt>
                <c:pt idx="313">
                  <c:v>15.75</c:v>
                </c:pt>
                <c:pt idx="314">
                  <c:v>15.8</c:v>
                </c:pt>
                <c:pt idx="315">
                  <c:v>15.85</c:v>
                </c:pt>
                <c:pt idx="316">
                  <c:v>15.9</c:v>
                </c:pt>
                <c:pt idx="317">
                  <c:v>15.95</c:v>
                </c:pt>
                <c:pt idx="318">
                  <c:v>16</c:v>
                </c:pt>
                <c:pt idx="319">
                  <c:v>16.05</c:v>
                </c:pt>
                <c:pt idx="320">
                  <c:v>16.100000000000001</c:v>
                </c:pt>
                <c:pt idx="321">
                  <c:v>16.149999999999999</c:v>
                </c:pt>
                <c:pt idx="322">
                  <c:v>16.2</c:v>
                </c:pt>
                <c:pt idx="323">
                  <c:v>16.25</c:v>
                </c:pt>
                <c:pt idx="324">
                  <c:v>16.3</c:v>
                </c:pt>
                <c:pt idx="325">
                  <c:v>16.350000000000001</c:v>
                </c:pt>
                <c:pt idx="326">
                  <c:v>16.399999999999999</c:v>
                </c:pt>
                <c:pt idx="327">
                  <c:v>16.45</c:v>
                </c:pt>
                <c:pt idx="328">
                  <c:v>16.5</c:v>
                </c:pt>
                <c:pt idx="329">
                  <c:v>16.55</c:v>
                </c:pt>
                <c:pt idx="330">
                  <c:v>16.600000000000001</c:v>
                </c:pt>
                <c:pt idx="331">
                  <c:v>16.649999999999999</c:v>
                </c:pt>
                <c:pt idx="332">
                  <c:v>16.7</c:v>
                </c:pt>
                <c:pt idx="333">
                  <c:v>16.75</c:v>
                </c:pt>
                <c:pt idx="334">
                  <c:v>16.8</c:v>
                </c:pt>
                <c:pt idx="335">
                  <c:v>16.850000000000001</c:v>
                </c:pt>
                <c:pt idx="336">
                  <c:v>16.899999999999999</c:v>
                </c:pt>
                <c:pt idx="337">
                  <c:v>16.95</c:v>
                </c:pt>
                <c:pt idx="338">
                  <c:v>17</c:v>
                </c:pt>
                <c:pt idx="339">
                  <c:v>17.05</c:v>
                </c:pt>
                <c:pt idx="340">
                  <c:v>17.100000000000001</c:v>
                </c:pt>
                <c:pt idx="341">
                  <c:v>17.149999999999999</c:v>
                </c:pt>
                <c:pt idx="342">
                  <c:v>17.2</c:v>
                </c:pt>
                <c:pt idx="343">
                  <c:v>17.25</c:v>
                </c:pt>
                <c:pt idx="344">
                  <c:v>17.3</c:v>
                </c:pt>
                <c:pt idx="345">
                  <c:v>17.350000000000001</c:v>
                </c:pt>
                <c:pt idx="346">
                  <c:v>17.399999999999999</c:v>
                </c:pt>
                <c:pt idx="347">
                  <c:v>17.45</c:v>
                </c:pt>
                <c:pt idx="348">
                  <c:v>17.5</c:v>
                </c:pt>
                <c:pt idx="349">
                  <c:v>17.55</c:v>
                </c:pt>
                <c:pt idx="350">
                  <c:v>17.600000000000001</c:v>
                </c:pt>
                <c:pt idx="351">
                  <c:v>17.649999999999999</c:v>
                </c:pt>
                <c:pt idx="352">
                  <c:v>17.7</c:v>
                </c:pt>
                <c:pt idx="353">
                  <c:v>17.75</c:v>
                </c:pt>
                <c:pt idx="354">
                  <c:v>17.8</c:v>
                </c:pt>
                <c:pt idx="355">
                  <c:v>17.850000000000001</c:v>
                </c:pt>
                <c:pt idx="356">
                  <c:v>17.899999999999999</c:v>
                </c:pt>
                <c:pt idx="357">
                  <c:v>17.95</c:v>
                </c:pt>
                <c:pt idx="358">
                  <c:v>18</c:v>
                </c:pt>
                <c:pt idx="359">
                  <c:v>18.05</c:v>
                </c:pt>
                <c:pt idx="360">
                  <c:v>18.100000000000001</c:v>
                </c:pt>
                <c:pt idx="361">
                  <c:v>18.149999999999999</c:v>
                </c:pt>
                <c:pt idx="362">
                  <c:v>18.2</c:v>
                </c:pt>
                <c:pt idx="363">
                  <c:v>18.25</c:v>
                </c:pt>
                <c:pt idx="364">
                  <c:v>18.3</c:v>
                </c:pt>
                <c:pt idx="365">
                  <c:v>18.350000000000001</c:v>
                </c:pt>
                <c:pt idx="366">
                  <c:v>18.399999999999999</c:v>
                </c:pt>
                <c:pt idx="367">
                  <c:v>18.45</c:v>
                </c:pt>
                <c:pt idx="368">
                  <c:v>18.5</c:v>
                </c:pt>
                <c:pt idx="369">
                  <c:v>18.55</c:v>
                </c:pt>
                <c:pt idx="370">
                  <c:v>18.600000000000001</c:v>
                </c:pt>
                <c:pt idx="371">
                  <c:v>18.649999999999999</c:v>
                </c:pt>
                <c:pt idx="372">
                  <c:v>18.7</c:v>
                </c:pt>
                <c:pt idx="373">
                  <c:v>18.75</c:v>
                </c:pt>
                <c:pt idx="374">
                  <c:v>18.8</c:v>
                </c:pt>
                <c:pt idx="375">
                  <c:v>18.850000000000001</c:v>
                </c:pt>
                <c:pt idx="376">
                  <c:v>18.899999999999999</c:v>
                </c:pt>
                <c:pt idx="377">
                  <c:v>18.95</c:v>
                </c:pt>
                <c:pt idx="378">
                  <c:v>19</c:v>
                </c:pt>
                <c:pt idx="379">
                  <c:v>19.05</c:v>
                </c:pt>
                <c:pt idx="380">
                  <c:v>19.100000000000001</c:v>
                </c:pt>
                <c:pt idx="381">
                  <c:v>19.149999999999999</c:v>
                </c:pt>
                <c:pt idx="382">
                  <c:v>19.2</c:v>
                </c:pt>
                <c:pt idx="383">
                  <c:v>19.25</c:v>
                </c:pt>
                <c:pt idx="384">
                  <c:v>19.3</c:v>
                </c:pt>
                <c:pt idx="385">
                  <c:v>19.350000000000001</c:v>
                </c:pt>
                <c:pt idx="386">
                  <c:v>19.399999999999999</c:v>
                </c:pt>
                <c:pt idx="387">
                  <c:v>19.45</c:v>
                </c:pt>
                <c:pt idx="388">
                  <c:v>19.5</c:v>
                </c:pt>
                <c:pt idx="389">
                  <c:v>19.55</c:v>
                </c:pt>
                <c:pt idx="390">
                  <c:v>19.600000000000001</c:v>
                </c:pt>
                <c:pt idx="391">
                  <c:v>19.649999999999999</c:v>
                </c:pt>
                <c:pt idx="392">
                  <c:v>19.7</c:v>
                </c:pt>
                <c:pt idx="393">
                  <c:v>19.75</c:v>
                </c:pt>
                <c:pt idx="394">
                  <c:v>19.8</c:v>
                </c:pt>
                <c:pt idx="395">
                  <c:v>19.850000000000001</c:v>
                </c:pt>
                <c:pt idx="396">
                  <c:v>19.899999999999999</c:v>
                </c:pt>
                <c:pt idx="397">
                  <c:v>19.95</c:v>
                </c:pt>
                <c:pt idx="398">
                  <c:v>20</c:v>
                </c:pt>
                <c:pt idx="399">
                  <c:v>20.05</c:v>
                </c:pt>
                <c:pt idx="400">
                  <c:v>20.100000000000001</c:v>
                </c:pt>
                <c:pt idx="401">
                  <c:v>20.149999999999999</c:v>
                </c:pt>
                <c:pt idx="402">
                  <c:v>20.2</c:v>
                </c:pt>
                <c:pt idx="403">
                  <c:v>20.25</c:v>
                </c:pt>
                <c:pt idx="404">
                  <c:v>20.3</c:v>
                </c:pt>
                <c:pt idx="405">
                  <c:v>20.350000000000001</c:v>
                </c:pt>
                <c:pt idx="406">
                  <c:v>20.399999999999999</c:v>
                </c:pt>
                <c:pt idx="407">
                  <c:v>20.45</c:v>
                </c:pt>
                <c:pt idx="408">
                  <c:v>20.5</c:v>
                </c:pt>
                <c:pt idx="409">
                  <c:v>20.55</c:v>
                </c:pt>
                <c:pt idx="410">
                  <c:v>20.6</c:v>
                </c:pt>
                <c:pt idx="411">
                  <c:v>20.65</c:v>
                </c:pt>
              </c:numCache>
            </c:numRef>
          </c:cat>
          <c:val>
            <c:numRef>
              <c:f>'Cement Cost Model-Vietnam'!$R$192:$R$653</c:f>
              <c:numCache>
                <c:formatCode>General</c:formatCode>
                <c:ptCount val="462"/>
                <c:pt idx="148" formatCode="_(&quot;$&quot;* #,##0_);_(&quot;$&quot;* \(#,##0\);_(&quot;$&quot;* &quot;-&quot;??_);_(@_)">
                  <c:v>91.920265371763676</c:v>
                </c:pt>
                <c:pt idx="149" formatCode="_(&quot;$&quot;* #,##0_);_(&quot;$&quot;* \(#,##0\);_(&quot;$&quot;* &quot;-&quot;??_);_(@_)">
                  <c:v>91.920265371763676</c:v>
                </c:pt>
                <c:pt idx="150" formatCode="_(&quot;$&quot;* #,##0_);_(&quot;$&quot;* \(#,##0\);_(&quot;$&quot;* &quot;-&quot;??_);_(@_)">
                  <c:v>91.920265371763676</c:v>
                </c:pt>
                <c:pt idx="151" formatCode="_(&quot;$&quot;* #,##0_);_(&quot;$&quot;* \(#,##0\);_(&quot;$&quot;* &quot;-&quot;??_);_(@_)">
                  <c:v>91.920265371763676</c:v>
                </c:pt>
                <c:pt idx="152" formatCode="_(&quot;$&quot;* #,##0_);_(&quot;$&quot;* \(#,##0\);_(&quot;$&quot;* &quot;-&quot;??_);_(@_)">
                  <c:v>91.920265371763676</c:v>
                </c:pt>
                <c:pt idx="153" formatCode="_(&quot;$&quot;* #,##0_);_(&quot;$&quot;* \(#,##0\);_(&quot;$&quot;* &quot;-&quot;??_);_(@_)">
                  <c:v>91.920265371763676</c:v>
                </c:pt>
                <c:pt idx="154" formatCode="_(&quot;$&quot;* #,##0_);_(&quot;$&quot;* \(#,##0\);_(&quot;$&quot;* &quot;-&quot;??_);_(@_)">
                  <c:v>91.920265371763676</c:v>
                </c:pt>
                <c:pt idx="155" formatCode="_(&quot;$&quot;* #,##0_);_(&quot;$&quot;* \(#,##0\);_(&quot;$&quot;* &quot;-&quot;??_);_(@_)">
                  <c:v>91.920265371763676</c:v>
                </c:pt>
                <c:pt idx="156" formatCode="_(&quot;$&quot;* #,##0_);_(&quot;$&quot;* \(#,##0\);_(&quot;$&quot;* &quot;-&quot;??_);_(@_)">
                  <c:v>91.920265371763676</c:v>
                </c:pt>
                <c:pt idx="157" formatCode="_(&quot;$&quot;* #,##0_);_(&quot;$&quot;* \(#,##0\);_(&quot;$&quot;* &quot;-&quot;??_);_(@_)">
                  <c:v>91.920265371763676</c:v>
                </c:pt>
                <c:pt idx="158" formatCode="_(&quot;$&quot;* #,##0_);_(&quot;$&quot;* \(#,##0\);_(&quot;$&quot;* &quot;-&quot;??_);_(@_)">
                  <c:v>91.920265371763676</c:v>
                </c:pt>
                <c:pt idx="159" formatCode="_(&quot;$&quot;* #,##0_);_(&quot;$&quot;* \(#,##0\);_(&quot;$&quot;* &quot;-&quot;??_);_(@_)">
                  <c:v>91.920265371763676</c:v>
                </c:pt>
                <c:pt idx="160" formatCode="_(&quot;$&quot;* #,##0_);_(&quot;$&quot;* \(#,##0\);_(&quot;$&quot;* &quot;-&quot;??_);_(@_)">
                  <c:v>91.920265371763676</c:v>
                </c:pt>
                <c:pt idx="161" formatCode="_(&quot;$&quot;* #,##0_);_(&quot;$&quot;* \(#,##0\);_(&quot;$&quot;* &quot;-&quot;??_);_(@_)">
                  <c:v>91.920265371763676</c:v>
                </c:pt>
                <c:pt idx="162" formatCode="_(&quot;$&quot;* #,##0_);_(&quot;$&quot;* \(#,##0\);_(&quot;$&quot;* &quot;-&quot;??_);_(@_)">
                  <c:v>91.920265371763676</c:v>
                </c:pt>
                <c:pt idx="163" formatCode="_(&quot;$&quot;* #,##0_);_(&quot;$&quot;* \(#,##0\);_(&quot;$&quot;* &quot;-&quot;??_);_(@_)">
                  <c:v>91.920265371763676</c:v>
                </c:pt>
                <c:pt idx="164" formatCode="_(&quot;$&quot;* #,##0_);_(&quot;$&quot;* \(#,##0\);_(&quot;$&quot;* &quot;-&quot;??_);_(@_)">
                  <c:v>91.920265371763676</c:v>
                </c:pt>
              </c:numCache>
            </c:numRef>
          </c:val>
          <c:extLst>
            <c:ext xmlns:c16="http://schemas.microsoft.com/office/drawing/2014/chart" uri="{C3380CC4-5D6E-409C-BE32-E72D297353CC}">
              <c16:uniqueId val="{00000003-8C9A-46DD-B9D1-826A2BCE4EC8}"/>
            </c:ext>
          </c:extLst>
        </c:ser>
        <c:ser>
          <c:idx val="5"/>
          <c:order val="5"/>
          <c:tx>
            <c:strRef>
              <c:f>'Cement Cost Model-Vietnam'!$S$191</c:f>
              <c:strCache>
                <c:ptCount val="1"/>
                <c:pt idx="0">
                  <c:v>Alternative Fuels: H2 Injection (including RE and Electrolyzer CAPEX)</c:v>
                </c:pt>
              </c:strCache>
            </c:strRef>
          </c:tx>
          <c:spPr>
            <a:solidFill>
              <a:schemeClr val="accent6"/>
            </a:solidFill>
            <a:ln>
              <a:noFill/>
            </a:ln>
            <a:effectLst/>
          </c:spPr>
          <c:invertIfNegative val="0"/>
          <c:cat>
            <c:numRef>
              <c:f>'Cement Cost Model-Vietnam'!$N$192:$N$603</c:f>
              <c:numCache>
                <c:formatCode>General</c:formatCode>
                <c:ptCount val="412"/>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pt idx="97">
                  <c:v>4.95</c:v>
                </c:pt>
                <c:pt idx="98">
                  <c:v>5</c:v>
                </c:pt>
                <c:pt idx="99">
                  <c:v>5.05</c:v>
                </c:pt>
                <c:pt idx="100">
                  <c:v>5.0999999999999996</c:v>
                </c:pt>
                <c:pt idx="101">
                  <c:v>5.15</c:v>
                </c:pt>
                <c:pt idx="102">
                  <c:v>5.2</c:v>
                </c:pt>
                <c:pt idx="103">
                  <c:v>5.25</c:v>
                </c:pt>
                <c:pt idx="104">
                  <c:v>5.3</c:v>
                </c:pt>
                <c:pt idx="105">
                  <c:v>5.35</c:v>
                </c:pt>
                <c:pt idx="106">
                  <c:v>5.4</c:v>
                </c:pt>
                <c:pt idx="107">
                  <c:v>5.45</c:v>
                </c:pt>
                <c:pt idx="108">
                  <c:v>5.5</c:v>
                </c:pt>
                <c:pt idx="109">
                  <c:v>5.55</c:v>
                </c:pt>
                <c:pt idx="110">
                  <c:v>5.6</c:v>
                </c:pt>
                <c:pt idx="111">
                  <c:v>5.65</c:v>
                </c:pt>
                <c:pt idx="112">
                  <c:v>5.7</c:v>
                </c:pt>
                <c:pt idx="113">
                  <c:v>5.75</c:v>
                </c:pt>
                <c:pt idx="114">
                  <c:v>5.8</c:v>
                </c:pt>
                <c:pt idx="115">
                  <c:v>5.85</c:v>
                </c:pt>
                <c:pt idx="116">
                  <c:v>5.9</c:v>
                </c:pt>
                <c:pt idx="117">
                  <c:v>5.95</c:v>
                </c:pt>
                <c:pt idx="118">
                  <c:v>6</c:v>
                </c:pt>
                <c:pt idx="119">
                  <c:v>6.05</c:v>
                </c:pt>
                <c:pt idx="120">
                  <c:v>6.1</c:v>
                </c:pt>
                <c:pt idx="121">
                  <c:v>6.15</c:v>
                </c:pt>
                <c:pt idx="122">
                  <c:v>6.2</c:v>
                </c:pt>
                <c:pt idx="123">
                  <c:v>6.25</c:v>
                </c:pt>
                <c:pt idx="124">
                  <c:v>6.3</c:v>
                </c:pt>
                <c:pt idx="125">
                  <c:v>6.35</c:v>
                </c:pt>
                <c:pt idx="126">
                  <c:v>6.4</c:v>
                </c:pt>
                <c:pt idx="127">
                  <c:v>6.45</c:v>
                </c:pt>
                <c:pt idx="128">
                  <c:v>6.5</c:v>
                </c:pt>
                <c:pt idx="129">
                  <c:v>6.55</c:v>
                </c:pt>
                <c:pt idx="130">
                  <c:v>6.6</c:v>
                </c:pt>
                <c:pt idx="131">
                  <c:v>6.65</c:v>
                </c:pt>
                <c:pt idx="132">
                  <c:v>6.7</c:v>
                </c:pt>
                <c:pt idx="133">
                  <c:v>6.75</c:v>
                </c:pt>
                <c:pt idx="134">
                  <c:v>6.8</c:v>
                </c:pt>
                <c:pt idx="135">
                  <c:v>6.85</c:v>
                </c:pt>
                <c:pt idx="136">
                  <c:v>6.9</c:v>
                </c:pt>
                <c:pt idx="137">
                  <c:v>6.95</c:v>
                </c:pt>
                <c:pt idx="138">
                  <c:v>7</c:v>
                </c:pt>
                <c:pt idx="139">
                  <c:v>7.05</c:v>
                </c:pt>
                <c:pt idx="140">
                  <c:v>7.1</c:v>
                </c:pt>
                <c:pt idx="141">
                  <c:v>7.15</c:v>
                </c:pt>
                <c:pt idx="142">
                  <c:v>7.2</c:v>
                </c:pt>
                <c:pt idx="143">
                  <c:v>7.25</c:v>
                </c:pt>
                <c:pt idx="144">
                  <c:v>7.3</c:v>
                </c:pt>
                <c:pt idx="145">
                  <c:v>7.35</c:v>
                </c:pt>
                <c:pt idx="146">
                  <c:v>7.4</c:v>
                </c:pt>
                <c:pt idx="147">
                  <c:v>7.45</c:v>
                </c:pt>
                <c:pt idx="148">
                  <c:v>7.5</c:v>
                </c:pt>
                <c:pt idx="149">
                  <c:v>7.55</c:v>
                </c:pt>
                <c:pt idx="150">
                  <c:v>7.6</c:v>
                </c:pt>
                <c:pt idx="151">
                  <c:v>7.65</c:v>
                </c:pt>
                <c:pt idx="152">
                  <c:v>7.7</c:v>
                </c:pt>
                <c:pt idx="153">
                  <c:v>7.75</c:v>
                </c:pt>
                <c:pt idx="154">
                  <c:v>7.8</c:v>
                </c:pt>
                <c:pt idx="155">
                  <c:v>7.85</c:v>
                </c:pt>
                <c:pt idx="156">
                  <c:v>7.9</c:v>
                </c:pt>
                <c:pt idx="157">
                  <c:v>7.95</c:v>
                </c:pt>
                <c:pt idx="158">
                  <c:v>8</c:v>
                </c:pt>
                <c:pt idx="159">
                  <c:v>8.0500000000000007</c:v>
                </c:pt>
                <c:pt idx="160">
                  <c:v>8.1</c:v>
                </c:pt>
                <c:pt idx="161">
                  <c:v>8.15</c:v>
                </c:pt>
                <c:pt idx="162">
                  <c:v>8.1999999999999993</c:v>
                </c:pt>
                <c:pt idx="163">
                  <c:v>8.25</c:v>
                </c:pt>
                <c:pt idx="164">
                  <c:v>8.3000000000000007</c:v>
                </c:pt>
                <c:pt idx="165">
                  <c:v>8.35</c:v>
                </c:pt>
                <c:pt idx="166">
                  <c:v>8.4</c:v>
                </c:pt>
                <c:pt idx="167">
                  <c:v>8.4499999999999993</c:v>
                </c:pt>
                <c:pt idx="168">
                  <c:v>8.5</c:v>
                </c:pt>
                <c:pt idx="169">
                  <c:v>8.5500000000000007</c:v>
                </c:pt>
                <c:pt idx="170">
                  <c:v>8.6</c:v>
                </c:pt>
                <c:pt idx="171">
                  <c:v>8.65</c:v>
                </c:pt>
                <c:pt idx="172">
                  <c:v>8.6999999999999993</c:v>
                </c:pt>
                <c:pt idx="173">
                  <c:v>8.75</c:v>
                </c:pt>
                <c:pt idx="174">
                  <c:v>8.8000000000000007</c:v>
                </c:pt>
                <c:pt idx="175">
                  <c:v>8.85</c:v>
                </c:pt>
                <c:pt idx="176">
                  <c:v>8.9</c:v>
                </c:pt>
                <c:pt idx="177">
                  <c:v>8.9499999999999993</c:v>
                </c:pt>
                <c:pt idx="178">
                  <c:v>9</c:v>
                </c:pt>
                <c:pt idx="179">
                  <c:v>9.0500000000000007</c:v>
                </c:pt>
                <c:pt idx="180">
                  <c:v>9.1</c:v>
                </c:pt>
                <c:pt idx="181">
                  <c:v>9.15</c:v>
                </c:pt>
                <c:pt idx="182">
                  <c:v>9.1999999999999993</c:v>
                </c:pt>
                <c:pt idx="183">
                  <c:v>9.25</c:v>
                </c:pt>
                <c:pt idx="184">
                  <c:v>9.3000000000000007</c:v>
                </c:pt>
                <c:pt idx="185">
                  <c:v>9.35</c:v>
                </c:pt>
                <c:pt idx="186">
                  <c:v>9.4</c:v>
                </c:pt>
                <c:pt idx="187">
                  <c:v>9.4499999999999993</c:v>
                </c:pt>
                <c:pt idx="188">
                  <c:v>9.5</c:v>
                </c:pt>
                <c:pt idx="189">
                  <c:v>9.5500000000000007</c:v>
                </c:pt>
                <c:pt idx="190">
                  <c:v>9.6</c:v>
                </c:pt>
                <c:pt idx="191">
                  <c:v>9.65</c:v>
                </c:pt>
                <c:pt idx="192">
                  <c:v>9.6999999999999993</c:v>
                </c:pt>
                <c:pt idx="193">
                  <c:v>9.75</c:v>
                </c:pt>
                <c:pt idx="194">
                  <c:v>9.8000000000000007</c:v>
                </c:pt>
                <c:pt idx="195">
                  <c:v>9.85</c:v>
                </c:pt>
                <c:pt idx="196">
                  <c:v>9.9</c:v>
                </c:pt>
                <c:pt idx="197">
                  <c:v>9.9499999999999993</c:v>
                </c:pt>
                <c:pt idx="198">
                  <c:v>10</c:v>
                </c:pt>
                <c:pt idx="199">
                  <c:v>10.050000000000001</c:v>
                </c:pt>
                <c:pt idx="200">
                  <c:v>10.1</c:v>
                </c:pt>
                <c:pt idx="201">
                  <c:v>10.15</c:v>
                </c:pt>
                <c:pt idx="202">
                  <c:v>10.199999999999999</c:v>
                </c:pt>
                <c:pt idx="203">
                  <c:v>10.25</c:v>
                </c:pt>
                <c:pt idx="204">
                  <c:v>10.3</c:v>
                </c:pt>
                <c:pt idx="205">
                  <c:v>10.35</c:v>
                </c:pt>
                <c:pt idx="206">
                  <c:v>10.4</c:v>
                </c:pt>
                <c:pt idx="207">
                  <c:v>10.45</c:v>
                </c:pt>
                <c:pt idx="208">
                  <c:v>10.5</c:v>
                </c:pt>
                <c:pt idx="209">
                  <c:v>10.55</c:v>
                </c:pt>
                <c:pt idx="210">
                  <c:v>10.6</c:v>
                </c:pt>
                <c:pt idx="211">
                  <c:v>10.65</c:v>
                </c:pt>
                <c:pt idx="212">
                  <c:v>10.7</c:v>
                </c:pt>
                <c:pt idx="213">
                  <c:v>10.75</c:v>
                </c:pt>
                <c:pt idx="214">
                  <c:v>10.8</c:v>
                </c:pt>
                <c:pt idx="215">
                  <c:v>10.85</c:v>
                </c:pt>
                <c:pt idx="216">
                  <c:v>10.9</c:v>
                </c:pt>
                <c:pt idx="217">
                  <c:v>10.95</c:v>
                </c:pt>
                <c:pt idx="218">
                  <c:v>11</c:v>
                </c:pt>
                <c:pt idx="219">
                  <c:v>11.05</c:v>
                </c:pt>
                <c:pt idx="220">
                  <c:v>11.1</c:v>
                </c:pt>
                <c:pt idx="221">
                  <c:v>11.15</c:v>
                </c:pt>
                <c:pt idx="222">
                  <c:v>11.2</c:v>
                </c:pt>
                <c:pt idx="223">
                  <c:v>11.25</c:v>
                </c:pt>
                <c:pt idx="224">
                  <c:v>11.3</c:v>
                </c:pt>
                <c:pt idx="225">
                  <c:v>11.35</c:v>
                </c:pt>
                <c:pt idx="226">
                  <c:v>11.4</c:v>
                </c:pt>
                <c:pt idx="227">
                  <c:v>11.45</c:v>
                </c:pt>
                <c:pt idx="228">
                  <c:v>11.5</c:v>
                </c:pt>
                <c:pt idx="229">
                  <c:v>11.55</c:v>
                </c:pt>
                <c:pt idx="230">
                  <c:v>11.6</c:v>
                </c:pt>
                <c:pt idx="231">
                  <c:v>11.65</c:v>
                </c:pt>
                <c:pt idx="232">
                  <c:v>11.7</c:v>
                </c:pt>
                <c:pt idx="233">
                  <c:v>11.75</c:v>
                </c:pt>
                <c:pt idx="234">
                  <c:v>11.8</c:v>
                </c:pt>
                <c:pt idx="235">
                  <c:v>11.85</c:v>
                </c:pt>
                <c:pt idx="236">
                  <c:v>11.9</c:v>
                </c:pt>
                <c:pt idx="237">
                  <c:v>11.95</c:v>
                </c:pt>
                <c:pt idx="238">
                  <c:v>12</c:v>
                </c:pt>
                <c:pt idx="239">
                  <c:v>12.05</c:v>
                </c:pt>
                <c:pt idx="240">
                  <c:v>12.1</c:v>
                </c:pt>
                <c:pt idx="241">
                  <c:v>12.15</c:v>
                </c:pt>
                <c:pt idx="242">
                  <c:v>12.2</c:v>
                </c:pt>
                <c:pt idx="243">
                  <c:v>12.25</c:v>
                </c:pt>
                <c:pt idx="244">
                  <c:v>12.3</c:v>
                </c:pt>
                <c:pt idx="245">
                  <c:v>12.35</c:v>
                </c:pt>
                <c:pt idx="246">
                  <c:v>12.4</c:v>
                </c:pt>
                <c:pt idx="247">
                  <c:v>12.45</c:v>
                </c:pt>
                <c:pt idx="248">
                  <c:v>12.5</c:v>
                </c:pt>
                <c:pt idx="249">
                  <c:v>12.55</c:v>
                </c:pt>
                <c:pt idx="250">
                  <c:v>12.6</c:v>
                </c:pt>
                <c:pt idx="251">
                  <c:v>12.65</c:v>
                </c:pt>
                <c:pt idx="252">
                  <c:v>12.7</c:v>
                </c:pt>
                <c:pt idx="253">
                  <c:v>12.75</c:v>
                </c:pt>
                <c:pt idx="254">
                  <c:v>12.8</c:v>
                </c:pt>
                <c:pt idx="255">
                  <c:v>12.85</c:v>
                </c:pt>
                <c:pt idx="256">
                  <c:v>12.9</c:v>
                </c:pt>
                <c:pt idx="257">
                  <c:v>12.95</c:v>
                </c:pt>
                <c:pt idx="258">
                  <c:v>13</c:v>
                </c:pt>
                <c:pt idx="259">
                  <c:v>13.05</c:v>
                </c:pt>
                <c:pt idx="260">
                  <c:v>13.1</c:v>
                </c:pt>
                <c:pt idx="261">
                  <c:v>13.15</c:v>
                </c:pt>
                <c:pt idx="262">
                  <c:v>13.2</c:v>
                </c:pt>
                <c:pt idx="263">
                  <c:v>13.25</c:v>
                </c:pt>
                <c:pt idx="264">
                  <c:v>13.3</c:v>
                </c:pt>
                <c:pt idx="265">
                  <c:v>13.35</c:v>
                </c:pt>
                <c:pt idx="266">
                  <c:v>13.4</c:v>
                </c:pt>
                <c:pt idx="267">
                  <c:v>13.45</c:v>
                </c:pt>
                <c:pt idx="268">
                  <c:v>13.5</c:v>
                </c:pt>
                <c:pt idx="269">
                  <c:v>13.55</c:v>
                </c:pt>
                <c:pt idx="270">
                  <c:v>13.6</c:v>
                </c:pt>
                <c:pt idx="271">
                  <c:v>13.65</c:v>
                </c:pt>
                <c:pt idx="272">
                  <c:v>13.7</c:v>
                </c:pt>
                <c:pt idx="273">
                  <c:v>13.75</c:v>
                </c:pt>
                <c:pt idx="274">
                  <c:v>13.8</c:v>
                </c:pt>
                <c:pt idx="275">
                  <c:v>13.85</c:v>
                </c:pt>
                <c:pt idx="276">
                  <c:v>13.9</c:v>
                </c:pt>
                <c:pt idx="277">
                  <c:v>13.95</c:v>
                </c:pt>
                <c:pt idx="278">
                  <c:v>14</c:v>
                </c:pt>
                <c:pt idx="279">
                  <c:v>14.05</c:v>
                </c:pt>
                <c:pt idx="280">
                  <c:v>14.1</c:v>
                </c:pt>
                <c:pt idx="281">
                  <c:v>14.15</c:v>
                </c:pt>
                <c:pt idx="282">
                  <c:v>14.2</c:v>
                </c:pt>
                <c:pt idx="283">
                  <c:v>14.25</c:v>
                </c:pt>
                <c:pt idx="284">
                  <c:v>14.3</c:v>
                </c:pt>
                <c:pt idx="285">
                  <c:v>14.35</c:v>
                </c:pt>
                <c:pt idx="286">
                  <c:v>14.4</c:v>
                </c:pt>
                <c:pt idx="287">
                  <c:v>14.45</c:v>
                </c:pt>
                <c:pt idx="288">
                  <c:v>14.5</c:v>
                </c:pt>
                <c:pt idx="289">
                  <c:v>14.55</c:v>
                </c:pt>
                <c:pt idx="290">
                  <c:v>14.6</c:v>
                </c:pt>
                <c:pt idx="291">
                  <c:v>14.65</c:v>
                </c:pt>
                <c:pt idx="292">
                  <c:v>14.7</c:v>
                </c:pt>
                <c:pt idx="293">
                  <c:v>14.75</c:v>
                </c:pt>
                <c:pt idx="294">
                  <c:v>14.8</c:v>
                </c:pt>
                <c:pt idx="295">
                  <c:v>14.85</c:v>
                </c:pt>
                <c:pt idx="296">
                  <c:v>14.9</c:v>
                </c:pt>
                <c:pt idx="297">
                  <c:v>14.95</c:v>
                </c:pt>
                <c:pt idx="298">
                  <c:v>15</c:v>
                </c:pt>
                <c:pt idx="299">
                  <c:v>15.05</c:v>
                </c:pt>
                <c:pt idx="300">
                  <c:v>15.1</c:v>
                </c:pt>
                <c:pt idx="301">
                  <c:v>15.15</c:v>
                </c:pt>
                <c:pt idx="302">
                  <c:v>15.2</c:v>
                </c:pt>
                <c:pt idx="303">
                  <c:v>15.25</c:v>
                </c:pt>
                <c:pt idx="304">
                  <c:v>15.3</c:v>
                </c:pt>
                <c:pt idx="305">
                  <c:v>15.35</c:v>
                </c:pt>
                <c:pt idx="306">
                  <c:v>15.4</c:v>
                </c:pt>
                <c:pt idx="307">
                  <c:v>15.45</c:v>
                </c:pt>
                <c:pt idx="308">
                  <c:v>15.5</c:v>
                </c:pt>
                <c:pt idx="309">
                  <c:v>15.55</c:v>
                </c:pt>
                <c:pt idx="310">
                  <c:v>15.6</c:v>
                </c:pt>
                <c:pt idx="311">
                  <c:v>15.65</c:v>
                </c:pt>
                <c:pt idx="312">
                  <c:v>15.7</c:v>
                </c:pt>
                <c:pt idx="313">
                  <c:v>15.75</c:v>
                </c:pt>
                <c:pt idx="314">
                  <c:v>15.8</c:v>
                </c:pt>
                <c:pt idx="315">
                  <c:v>15.85</c:v>
                </c:pt>
                <c:pt idx="316">
                  <c:v>15.9</c:v>
                </c:pt>
                <c:pt idx="317">
                  <c:v>15.95</c:v>
                </c:pt>
                <c:pt idx="318">
                  <c:v>16</c:v>
                </c:pt>
                <c:pt idx="319">
                  <c:v>16.05</c:v>
                </c:pt>
                <c:pt idx="320">
                  <c:v>16.100000000000001</c:v>
                </c:pt>
                <c:pt idx="321">
                  <c:v>16.149999999999999</c:v>
                </c:pt>
                <c:pt idx="322">
                  <c:v>16.2</c:v>
                </c:pt>
                <c:pt idx="323">
                  <c:v>16.25</c:v>
                </c:pt>
                <c:pt idx="324">
                  <c:v>16.3</c:v>
                </c:pt>
                <c:pt idx="325">
                  <c:v>16.350000000000001</c:v>
                </c:pt>
                <c:pt idx="326">
                  <c:v>16.399999999999999</c:v>
                </c:pt>
                <c:pt idx="327">
                  <c:v>16.45</c:v>
                </c:pt>
                <c:pt idx="328">
                  <c:v>16.5</c:v>
                </c:pt>
                <c:pt idx="329">
                  <c:v>16.55</c:v>
                </c:pt>
                <c:pt idx="330">
                  <c:v>16.600000000000001</c:v>
                </c:pt>
                <c:pt idx="331">
                  <c:v>16.649999999999999</c:v>
                </c:pt>
                <c:pt idx="332">
                  <c:v>16.7</c:v>
                </c:pt>
                <c:pt idx="333">
                  <c:v>16.75</c:v>
                </c:pt>
                <c:pt idx="334">
                  <c:v>16.8</c:v>
                </c:pt>
                <c:pt idx="335">
                  <c:v>16.850000000000001</c:v>
                </c:pt>
                <c:pt idx="336">
                  <c:v>16.899999999999999</c:v>
                </c:pt>
                <c:pt idx="337">
                  <c:v>16.95</c:v>
                </c:pt>
                <c:pt idx="338">
                  <c:v>17</c:v>
                </c:pt>
                <c:pt idx="339">
                  <c:v>17.05</c:v>
                </c:pt>
                <c:pt idx="340">
                  <c:v>17.100000000000001</c:v>
                </c:pt>
                <c:pt idx="341">
                  <c:v>17.149999999999999</c:v>
                </c:pt>
                <c:pt idx="342">
                  <c:v>17.2</c:v>
                </c:pt>
                <c:pt idx="343">
                  <c:v>17.25</c:v>
                </c:pt>
                <c:pt idx="344">
                  <c:v>17.3</c:v>
                </c:pt>
                <c:pt idx="345">
                  <c:v>17.350000000000001</c:v>
                </c:pt>
                <c:pt idx="346">
                  <c:v>17.399999999999999</c:v>
                </c:pt>
                <c:pt idx="347">
                  <c:v>17.45</c:v>
                </c:pt>
                <c:pt idx="348">
                  <c:v>17.5</c:v>
                </c:pt>
                <c:pt idx="349">
                  <c:v>17.55</c:v>
                </c:pt>
                <c:pt idx="350">
                  <c:v>17.600000000000001</c:v>
                </c:pt>
                <c:pt idx="351">
                  <c:v>17.649999999999999</c:v>
                </c:pt>
                <c:pt idx="352">
                  <c:v>17.7</c:v>
                </c:pt>
                <c:pt idx="353">
                  <c:v>17.75</c:v>
                </c:pt>
                <c:pt idx="354">
                  <c:v>17.8</c:v>
                </c:pt>
                <c:pt idx="355">
                  <c:v>17.850000000000001</c:v>
                </c:pt>
                <c:pt idx="356">
                  <c:v>17.899999999999999</c:v>
                </c:pt>
                <c:pt idx="357">
                  <c:v>17.95</c:v>
                </c:pt>
                <c:pt idx="358">
                  <c:v>18</c:v>
                </c:pt>
                <c:pt idx="359">
                  <c:v>18.05</c:v>
                </c:pt>
                <c:pt idx="360">
                  <c:v>18.100000000000001</c:v>
                </c:pt>
                <c:pt idx="361">
                  <c:v>18.149999999999999</c:v>
                </c:pt>
                <c:pt idx="362">
                  <c:v>18.2</c:v>
                </c:pt>
                <c:pt idx="363">
                  <c:v>18.25</c:v>
                </c:pt>
                <c:pt idx="364">
                  <c:v>18.3</c:v>
                </c:pt>
                <c:pt idx="365">
                  <c:v>18.350000000000001</c:v>
                </c:pt>
                <c:pt idx="366">
                  <c:v>18.399999999999999</c:v>
                </c:pt>
                <c:pt idx="367">
                  <c:v>18.45</c:v>
                </c:pt>
                <c:pt idx="368">
                  <c:v>18.5</c:v>
                </c:pt>
                <c:pt idx="369">
                  <c:v>18.55</c:v>
                </c:pt>
                <c:pt idx="370">
                  <c:v>18.600000000000001</c:v>
                </c:pt>
                <c:pt idx="371">
                  <c:v>18.649999999999999</c:v>
                </c:pt>
                <c:pt idx="372">
                  <c:v>18.7</c:v>
                </c:pt>
                <c:pt idx="373">
                  <c:v>18.75</c:v>
                </c:pt>
                <c:pt idx="374">
                  <c:v>18.8</c:v>
                </c:pt>
                <c:pt idx="375">
                  <c:v>18.850000000000001</c:v>
                </c:pt>
                <c:pt idx="376">
                  <c:v>18.899999999999999</c:v>
                </c:pt>
                <c:pt idx="377">
                  <c:v>18.95</c:v>
                </c:pt>
                <c:pt idx="378">
                  <c:v>19</c:v>
                </c:pt>
                <c:pt idx="379">
                  <c:v>19.05</c:v>
                </c:pt>
                <c:pt idx="380">
                  <c:v>19.100000000000001</c:v>
                </c:pt>
                <c:pt idx="381">
                  <c:v>19.149999999999999</c:v>
                </c:pt>
                <c:pt idx="382">
                  <c:v>19.2</c:v>
                </c:pt>
                <c:pt idx="383">
                  <c:v>19.25</c:v>
                </c:pt>
                <c:pt idx="384">
                  <c:v>19.3</c:v>
                </c:pt>
                <c:pt idx="385">
                  <c:v>19.350000000000001</c:v>
                </c:pt>
                <c:pt idx="386">
                  <c:v>19.399999999999999</c:v>
                </c:pt>
                <c:pt idx="387">
                  <c:v>19.45</c:v>
                </c:pt>
                <c:pt idx="388">
                  <c:v>19.5</c:v>
                </c:pt>
                <c:pt idx="389">
                  <c:v>19.55</c:v>
                </c:pt>
                <c:pt idx="390">
                  <c:v>19.600000000000001</c:v>
                </c:pt>
                <c:pt idx="391">
                  <c:v>19.649999999999999</c:v>
                </c:pt>
                <c:pt idx="392">
                  <c:v>19.7</c:v>
                </c:pt>
                <c:pt idx="393">
                  <c:v>19.75</c:v>
                </c:pt>
                <c:pt idx="394">
                  <c:v>19.8</c:v>
                </c:pt>
                <c:pt idx="395">
                  <c:v>19.850000000000001</c:v>
                </c:pt>
                <c:pt idx="396">
                  <c:v>19.899999999999999</c:v>
                </c:pt>
                <c:pt idx="397">
                  <c:v>19.95</c:v>
                </c:pt>
                <c:pt idx="398">
                  <c:v>20</c:v>
                </c:pt>
                <c:pt idx="399">
                  <c:v>20.05</c:v>
                </c:pt>
                <c:pt idx="400">
                  <c:v>20.100000000000001</c:v>
                </c:pt>
                <c:pt idx="401">
                  <c:v>20.149999999999999</c:v>
                </c:pt>
                <c:pt idx="402">
                  <c:v>20.2</c:v>
                </c:pt>
                <c:pt idx="403">
                  <c:v>20.25</c:v>
                </c:pt>
                <c:pt idx="404">
                  <c:v>20.3</c:v>
                </c:pt>
                <c:pt idx="405">
                  <c:v>20.350000000000001</c:v>
                </c:pt>
                <c:pt idx="406">
                  <c:v>20.399999999999999</c:v>
                </c:pt>
                <c:pt idx="407">
                  <c:v>20.45</c:v>
                </c:pt>
                <c:pt idx="408">
                  <c:v>20.5</c:v>
                </c:pt>
                <c:pt idx="409">
                  <c:v>20.55</c:v>
                </c:pt>
                <c:pt idx="410">
                  <c:v>20.6</c:v>
                </c:pt>
                <c:pt idx="411">
                  <c:v>20.65</c:v>
                </c:pt>
              </c:numCache>
            </c:numRef>
          </c:cat>
          <c:val>
            <c:numRef>
              <c:f>'Cement Cost Model-Vietnam'!$S$192:$S$653</c:f>
              <c:numCache>
                <c:formatCode>General</c:formatCode>
                <c:ptCount val="462"/>
                <c:pt idx="165" formatCode="_(&quot;$&quot;* #,##0_);_(&quot;$&quot;* \(#,##0\);_(&quot;$&quot;* &quot;-&quot;??_);_(@_)">
                  <c:v>0</c:v>
                </c:pt>
                <c:pt idx="166" formatCode="_(&quot;$&quot;* #,##0_);_(&quot;$&quot;* \(#,##0\);_(&quot;$&quot;* &quot;-&quot;??_);_(@_)">
                  <c:v>0</c:v>
                </c:pt>
                <c:pt idx="167" formatCode="_(&quot;$&quot;* #,##0_);_(&quot;$&quot;* \(#,##0\);_(&quot;$&quot;* &quot;-&quot;??_);_(@_)">
                  <c:v>0</c:v>
                </c:pt>
                <c:pt idx="168" formatCode="_(&quot;$&quot;* #,##0_);_(&quot;$&quot;* \(#,##0\);_(&quot;$&quot;* &quot;-&quot;??_);_(@_)">
                  <c:v>0</c:v>
                </c:pt>
                <c:pt idx="169" formatCode="_(&quot;$&quot;* #,##0_);_(&quot;$&quot;* \(#,##0\);_(&quot;$&quot;* &quot;-&quot;??_);_(@_)">
                  <c:v>0</c:v>
                </c:pt>
                <c:pt idx="170" formatCode="_(&quot;$&quot;* #,##0_);_(&quot;$&quot;* \(#,##0\);_(&quot;$&quot;* &quot;-&quot;??_);_(@_)">
                  <c:v>0</c:v>
                </c:pt>
                <c:pt idx="171" formatCode="_(&quot;$&quot;* #,##0_);_(&quot;$&quot;* \(#,##0\);_(&quot;$&quot;* &quot;-&quot;??_);_(@_)">
                  <c:v>0</c:v>
                </c:pt>
                <c:pt idx="172" formatCode="_(&quot;$&quot;* #,##0_);_(&quot;$&quot;* \(#,##0\);_(&quot;$&quot;* &quot;-&quot;??_);_(@_)">
                  <c:v>0</c:v>
                </c:pt>
                <c:pt idx="173" formatCode="_(&quot;$&quot;* #,##0_);_(&quot;$&quot;* \(#,##0\);_(&quot;$&quot;* &quot;-&quot;??_);_(@_)">
                  <c:v>0</c:v>
                </c:pt>
                <c:pt idx="174" formatCode="_(&quot;$&quot;* #,##0_);_(&quot;$&quot;* \(#,##0\);_(&quot;$&quot;* &quot;-&quot;??_);_(@_)">
                  <c:v>0</c:v>
                </c:pt>
                <c:pt idx="175" formatCode="_(&quot;$&quot;* #,##0_);_(&quot;$&quot;* \(#,##0\);_(&quot;$&quot;* &quot;-&quot;??_);_(@_)">
                  <c:v>0</c:v>
                </c:pt>
                <c:pt idx="176" formatCode="_(&quot;$&quot;* #,##0_);_(&quot;$&quot;* \(#,##0\);_(&quot;$&quot;* &quot;-&quot;??_);_(@_)">
                  <c:v>0</c:v>
                </c:pt>
                <c:pt idx="177" formatCode="_(&quot;$&quot;* #,##0_);_(&quot;$&quot;* \(#,##0\);_(&quot;$&quot;* &quot;-&quot;??_);_(@_)">
                  <c:v>0</c:v>
                </c:pt>
                <c:pt idx="178" formatCode="_(&quot;$&quot;* #,##0_);_(&quot;$&quot;* \(#,##0\);_(&quot;$&quot;* &quot;-&quot;??_);_(@_)">
                  <c:v>0</c:v>
                </c:pt>
                <c:pt idx="179" formatCode="_(&quot;$&quot;* #,##0_);_(&quot;$&quot;* \(#,##0\);_(&quot;$&quot;* &quot;-&quot;??_);_(@_)">
                  <c:v>0</c:v>
                </c:pt>
                <c:pt idx="180" formatCode="_(&quot;$&quot;* #,##0_);_(&quot;$&quot;* \(#,##0\);_(&quot;$&quot;* &quot;-&quot;??_);_(@_)">
                  <c:v>0</c:v>
                </c:pt>
                <c:pt idx="181" formatCode="_(&quot;$&quot;* #,##0_);_(&quot;$&quot;* \(#,##0\);_(&quot;$&quot;* &quot;-&quot;??_);_(@_)">
                  <c:v>0</c:v>
                </c:pt>
                <c:pt idx="182" formatCode="_(&quot;$&quot;* #,##0_);_(&quot;$&quot;* \(#,##0\);_(&quot;$&quot;* &quot;-&quot;??_);_(@_)">
                  <c:v>0</c:v>
                </c:pt>
                <c:pt idx="183" formatCode="_(&quot;$&quot;* #,##0_);_(&quot;$&quot;* \(#,##0\);_(&quot;$&quot;* &quot;-&quot;??_);_(@_)">
                  <c:v>0</c:v>
                </c:pt>
                <c:pt idx="184" formatCode="_(&quot;$&quot;* #,##0_);_(&quot;$&quot;* \(#,##0\);_(&quot;$&quot;* &quot;-&quot;??_);_(@_)">
                  <c:v>0</c:v>
                </c:pt>
                <c:pt idx="185" formatCode="_(&quot;$&quot;* #,##0_);_(&quot;$&quot;* \(#,##0\);_(&quot;$&quot;* &quot;-&quot;??_);_(@_)">
                  <c:v>0</c:v>
                </c:pt>
                <c:pt idx="186" formatCode="_(&quot;$&quot;* #,##0_);_(&quot;$&quot;* \(#,##0\);_(&quot;$&quot;* &quot;-&quot;??_);_(@_)">
                  <c:v>0</c:v>
                </c:pt>
                <c:pt idx="187" formatCode="_(&quot;$&quot;* #,##0_);_(&quot;$&quot;* \(#,##0\);_(&quot;$&quot;* &quot;-&quot;??_);_(@_)">
                  <c:v>0</c:v>
                </c:pt>
                <c:pt idx="188" formatCode="_(&quot;$&quot;* #,##0_);_(&quot;$&quot;* \(#,##0\);_(&quot;$&quot;* &quot;-&quot;??_);_(@_)">
                  <c:v>0</c:v>
                </c:pt>
                <c:pt idx="189" formatCode="_(&quot;$&quot;* #,##0_);_(&quot;$&quot;* \(#,##0\);_(&quot;$&quot;* &quot;-&quot;??_);_(@_)">
                  <c:v>0</c:v>
                </c:pt>
                <c:pt idx="190" formatCode="_(&quot;$&quot;* #,##0_);_(&quot;$&quot;* \(#,##0\);_(&quot;$&quot;* &quot;-&quot;??_);_(@_)">
                  <c:v>0</c:v>
                </c:pt>
                <c:pt idx="191" formatCode="_(&quot;$&quot;* #,##0_);_(&quot;$&quot;* \(#,##0\);_(&quot;$&quot;* &quot;-&quot;??_);_(@_)">
                  <c:v>0</c:v>
                </c:pt>
                <c:pt idx="192" formatCode="_(&quot;$&quot;* #,##0_);_(&quot;$&quot;* \(#,##0\);_(&quot;$&quot;* &quot;-&quot;??_);_(@_)">
                  <c:v>0</c:v>
                </c:pt>
                <c:pt idx="193" formatCode="_(&quot;$&quot;* #,##0_);_(&quot;$&quot;* \(#,##0\);_(&quot;$&quot;* &quot;-&quot;??_);_(@_)">
                  <c:v>0</c:v>
                </c:pt>
                <c:pt idx="194" formatCode="_(&quot;$&quot;* #,##0_);_(&quot;$&quot;* \(#,##0\);_(&quot;$&quot;* &quot;-&quot;??_);_(@_)">
                  <c:v>0</c:v>
                </c:pt>
                <c:pt idx="195" formatCode="_(&quot;$&quot;* #,##0_);_(&quot;$&quot;* \(#,##0\);_(&quot;$&quot;* &quot;-&quot;??_);_(@_)">
                  <c:v>0</c:v>
                </c:pt>
                <c:pt idx="196" formatCode="_(&quot;$&quot;* #,##0_);_(&quot;$&quot;* \(#,##0\);_(&quot;$&quot;* &quot;-&quot;??_);_(@_)">
                  <c:v>0</c:v>
                </c:pt>
                <c:pt idx="197" formatCode="_(&quot;$&quot;* #,##0_);_(&quot;$&quot;* \(#,##0\);_(&quot;$&quot;* &quot;-&quot;??_);_(@_)">
                  <c:v>0</c:v>
                </c:pt>
                <c:pt idx="198" formatCode="_(&quot;$&quot;* #,##0_);_(&quot;$&quot;* \(#,##0\);_(&quot;$&quot;* &quot;-&quot;??_);_(@_)">
                  <c:v>0</c:v>
                </c:pt>
                <c:pt idx="199" formatCode="_(&quot;$&quot;* #,##0_);_(&quot;$&quot;* \(#,##0\);_(&quot;$&quot;* &quot;-&quot;??_);_(@_)">
                  <c:v>0</c:v>
                </c:pt>
                <c:pt idx="200" formatCode="_(&quot;$&quot;* #,##0_);_(&quot;$&quot;* \(#,##0\);_(&quot;$&quot;* &quot;-&quot;??_);_(@_)">
                  <c:v>0</c:v>
                </c:pt>
                <c:pt idx="201" formatCode="_(&quot;$&quot;* #,##0_);_(&quot;$&quot;* \(#,##0\);_(&quot;$&quot;* &quot;-&quot;??_);_(@_)">
                  <c:v>0</c:v>
                </c:pt>
                <c:pt idx="202" formatCode="_(&quot;$&quot;* #,##0_);_(&quot;$&quot;* \(#,##0\);_(&quot;$&quot;* &quot;-&quot;??_);_(@_)">
                  <c:v>0</c:v>
                </c:pt>
                <c:pt idx="203" formatCode="_(&quot;$&quot;* #,##0_);_(&quot;$&quot;* \(#,##0\);_(&quot;$&quot;* &quot;-&quot;??_);_(@_)">
                  <c:v>0</c:v>
                </c:pt>
                <c:pt idx="204" formatCode="_(&quot;$&quot;* #,##0_);_(&quot;$&quot;* \(#,##0\);_(&quot;$&quot;* &quot;-&quot;??_);_(@_)">
                  <c:v>0</c:v>
                </c:pt>
                <c:pt idx="205" formatCode="_(&quot;$&quot;* #,##0_);_(&quot;$&quot;* \(#,##0\);_(&quot;$&quot;* &quot;-&quot;??_);_(@_)">
                  <c:v>0</c:v>
                </c:pt>
                <c:pt idx="206" formatCode="_(&quot;$&quot;* #,##0_);_(&quot;$&quot;* \(#,##0\);_(&quot;$&quot;* &quot;-&quot;??_);_(@_)">
                  <c:v>0</c:v>
                </c:pt>
                <c:pt idx="207" formatCode="_(&quot;$&quot;* #,##0_);_(&quot;$&quot;* \(#,##0\);_(&quot;$&quot;* &quot;-&quot;??_);_(@_)">
                  <c:v>0</c:v>
                </c:pt>
                <c:pt idx="208" formatCode="_(&quot;$&quot;* #,##0_);_(&quot;$&quot;* \(#,##0\);_(&quot;$&quot;* &quot;-&quot;??_);_(@_)">
                  <c:v>0</c:v>
                </c:pt>
                <c:pt idx="209" formatCode="_(&quot;$&quot;* #,##0_);_(&quot;$&quot;* \(#,##0\);_(&quot;$&quot;* &quot;-&quot;??_);_(@_)">
                  <c:v>0</c:v>
                </c:pt>
                <c:pt idx="210" formatCode="_(&quot;$&quot;* #,##0_);_(&quot;$&quot;* \(#,##0\);_(&quot;$&quot;* &quot;-&quot;??_);_(@_)">
                  <c:v>0</c:v>
                </c:pt>
                <c:pt idx="211" formatCode="_(&quot;$&quot;* #,##0_);_(&quot;$&quot;* \(#,##0\);_(&quot;$&quot;* &quot;-&quot;??_);_(@_)">
                  <c:v>0</c:v>
                </c:pt>
                <c:pt idx="212" formatCode="_(&quot;$&quot;* #,##0_);_(&quot;$&quot;* \(#,##0\);_(&quot;$&quot;* &quot;-&quot;??_);_(@_)">
                  <c:v>0</c:v>
                </c:pt>
                <c:pt idx="213" formatCode="_(&quot;$&quot;* #,##0_);_(&quot;$&quot;* \(#,##0\);_(&quot;$&quot;* &quot;-&quot;??_);_(@_)">
                  <c:v>0</c:v>
                </c:pt>
                <c:pt idx="214" formatCode="_(&quot;$&quot;* #,##0_);_(&quot;$&quot;* \(#,##0\);_(&quot;$&quot;* &quot;-&quot;??_);_(@_)">
                  <c:v>0</c:v>
                </c:pt>
                <c:pt idx="215" formatCode="_(&quot;$&quot;* #,##0_);_(&quot;$&quot;* \(#,##0\);_(&quot;$&quot;* &quot;-&quot;??_);_(@_)">
                  <c:v>0</c:v>
                </c:pt>
                <c:pt idx="216" formatCode="_(&quot;$&quot;* #,##0_);_(&quot;$&quot;* \(#,##0\);_(&quot;$&quot;* &quot;-&quot;??_);_(@_)">
                  <c:v>0</c:v>
                </c:pt>
                <c:pt idx="217" formatCode="_(&quot;$&quot;* #,##0_);_(&quot;$&quot;* \(#,##0\);_(&quot;$&quot;* &quot;-&quot;??_);_(@_)">
                  <c:v>0</c:v>
                </c:pt>
                <c:pt idx="218" formatCode="_(&quot;$&quot;* #,##0_);_(&quot;$&quot;* \(#,##0\);_(&quot;$&quot;* &quot;-&quot;??_);_(@_)">
                  <c:v>0</c:v>
                </c:pt>
                <c:pt idx="219" formatCode="_(&quot;$&quot;* #,##0_);_(&quot;$&quot;* \(#,##0\);_(&quot;$&quot;* &quot;-&quot;??_);_(@_)">
                  <c:v>0</c:v>
                </c:pt>
                <c:pt idx="220" formatCode="_(&quot;$&quot;* #,##0_);_(&quot;$&quot;* \(#,##0\);_(&quot;$&quot;* &quot;-&quot;??_);_(@_)">
                  <c:v>0</c:v>
                </c:pt>
                <c:pt idx="221" formatCode="_(&quot;$&quot;* #,##0_);_(&quot;$&quot;* \(#,##0\);_(&quot;$&quot;* &quot;-&quot;??_);_(@_)">
                  <c:v>0</c:v>
                </c:pt>
                <c:pt idx="222" formatCode="_(&quot;$&quot;* #,##0_);_(&quot;$&quot;* \(#,##0\);_(&quot;$&quot;* &quot;-&quot;??_);_(@_)">
                  <c:v>0</c:v>
                </c:pt>
                <c:pt idx="223" formatCode="_(&quot;$&quot;* #,##0_);_(&quot;$&quot;* \(#,##0\);_(&quot;$&quot;* &quot;-&quot;??_);_(@_)">
                  <c:v>0</c:v>
                </c:pt>
                <c:pt idx="224" formatCode="_(&quot;$&quot;* #,##0_);_(&quot;$&quot;* \(#,##0\);_(&quot;$&quot;* &quot;-&quot;??_);_(@_)">
                  <c:v>0</c:v>
                </c:pt>
                <c:pt idx="225" formatCode="_(&quot;$&quot;* #,##0_);_(&quot;$&quot;* \(#,##0\);_(&quot;$&quot;* &quot;-&quot;??_);_(@_)">
                  <c:v>0</c:v>
                </c:pt>
              </c:numCache>
            </c:numRef>
          </c:val>
          <c:extLst>
            <c:ext xmlns:c16="http://schemas.microsoft.com/office/drawing/2014/chart" uri="{C3380CC4-5D6E-409C-BE32-E72D297353CC}">
              <c16:uniqueId val="{00000004-8C9A-46DD-B9D1-826A2BCE4EC8}"/>
            </c:ext>
          </c:extLst>
        </c:ser>
        <c:ser>
          <c:idx val="6"/>
          <c:order val="6"/>
          <c:tx>
            <c:strRef>
              <c:f>'Cement Cost Model-Vietnam'!$T$191</c:f>
              <c:strCache>
                <c:ptCount val="1"/>
                <c:pt idx="0">
                  <c:v>CCS</c:v>
                </c:pt>
              </c:strCache>
            </c:strRef>
          </c:tx>
          <c:spPr>
            <a:solidFill>
              <a:srgbClr val="0D3A4E"/>
            </a:solidFill>
            <a:ln>
              <a:noFill/>
            </a:ln>
            <a:effectLst/>
          </c:spPr>
          <c:invertIfNegative val="0"/>
          <c:cat>
            <c:numRef>
              <c:f>'Cement Cost Model-Vietnam'!$N$192:$N$603</c:f>
              <c:numCache>
                <c:formatCode>General</c:formatCode>
                <c:ptCount val="412"/>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pt idx="95">
                  <c:v>4.8499999999999996</c:v>
                </c:pt>
                <c:pt idx="96">
                  <c:v>4.9000000000000004</c:v>
                </c:pt>
                <c:pt idx="97">
                  <c:v>4.95</c:v>
                </c:pt>
                <c:pt idx="98">
                  <c:v>5</c:v>
                </c:pt>
                <c:pt idx="99">
                  <c:v>5.05</c:v>
                </c:pt>
                <c:pt idx="100">
                  <c:v>5.0999999999999996</c:v>
                </c:pt>
                <c:pt idx="101">
                  <c:v>5.15</c:v>
                </c:pt>
                <c:pt idx="102">
                  <c:v>5.2</c:v>
                </c:pt>
                <c:pt idx="103">
                  <c:v>5.25</c:v>
                </c:pt>
                <c:pt idx="104">
                  <c:v>5.3</c:v>
                </c:pt>
                <c:pt idx="105">
                  <c:v>5.35</c:v>
                </c:pt>
                <c:pt idx="106">
                  <c:v>5.4</c:v>
                </c:pt>
                <c:pt idx="107">
                  <c:v>5.45</c:v>
                </c:pt>
                <c:pt idx="108">
                  <c:v>5.5</c:v>
                </c:pt>
                <c:pt idx="109">
                  <c:v>5.55</c:v>
                </c:pt>
                <c:pt idx="110">
                  <c:v>5.6</c:v>
                </c:pt>
                <c:pt idx="111">
                  <c:v>5.65</c:v>
                </c:pt>
                <c:pt idx="112">
                  <c:v>5.7</c:v>
                </c:pt>
                <c:pt idx="113">
                  <c:v>5.75</c:v>
                </c:pt>
                <c:pt idx="114">
                  <c:v>5.8</c:v>
                </c:pt>
                <c:pt idx="115">
                  <c:v>5.85</c:v>
                </c:pt>
                <c:pt idx="116">
                  <c:v>5.9</c:v>
                </c:pt>
                <c:pt idx="117">
                  <c:v>5.95</c:v>
                </c:pt>
                <c:pt idx="118">
                  <c:v>6</c:v>
                </c:pt>
                <c:pt idx="119">
                  <c:v>6.05</c:v>
                </c:pt>
                <c:pt idx="120">
                  <c:v>6.1</c:v>
                </c:pt>
                <c:pt idx="121">
                  <c:v>6.15</c:v>
                </c:pt>
                <c:pt idx="122">
                  <c:v>6.2</c:v>
                </c:pt>
                <c:pt idx="123">
                  <c:v>6.25</c:v>
                </c:pt>
                <c:pt idx="124">
                  <c:v>6.3</c:v>
                </c:pt>
                <c:pt idx="125">
                  <c:v>6.35</c:v>
                </c:pt>
                <c:pt idx="126">
                  <c:v>6.4</c:v>
                </c:pt>
                <c:pt idx="127">
                  <c:v>6.45</c:v>
                </c:pt>
                <c:pt idx="128">
                  <c:v>6.5</c:v>
                </c:pt>
                <c:pt idx="129">
                  <c:v>6.55</c:v>
                </c:pt>
                <c:pt idx="130">
                  <c:v>6.6</c:v>
                </c:pt>
                <c:pt idx="131">
                  <c:v>6.65</c:v>
                </c:pt>
                <c:pt idx="132">
                  <c:v>6.7</c:v>
                </c:pt>
                <c:pt idx="133">
                  <c:v>6.75</c:v>
                </c:pt>
                <c:pt idx="134">
                  <c:v>6.8</c:v>
                </c:pt>
                <c:pt idx="135">
                  <c:v>6.85</c:v>
                </c:pt>
                <c:pt idx="136">
                  <c:v>6.9</c:v>
                </c:pt>
                <c:pt idx="137">
                  <c:v>6.95</c:v>
                </c:pt>
                <c:pt idx="138">
                  <c:v>7</c:v>
                </c:pt>
                <c:pt idx="139">
                  <c:v>7.05</c:v>
                </c:pt>
                <c:pt idx="140">
                  <c:v>7.1</c:v>
                </c:pt>
                <c:pt idx="141">
                  <c:v>7.15</c:v>
                </c:pt>
                <c:pt idx="142">
                  <c:v>7.2</c:v>
                </c:pt>
                <c:pt idx="143">
                  <c:v>7.25</c:v>
                </c:pt>
                <c:pt idx="144">
                  <c:v>7.3</c:v>
                </c:pt>
                <c:pt idx="145">
                  <c:v>7.35</c:v>
                </c:pt>
                <c:pt idx="146">
                  <c:v>7.4</c:v>
                </c:pt>
                <c:pt idx="147">
                  <c:v>7.45</c:v>
                </c:pt>
                <c:pt idx="148">
                  <c:v>7.5</c:v>
                </c:pt>
                <c:pt idx="149">
                  <c:v>7.55</c:v>
                </c:pt>
                <c:pt idx="150">
                  <c:v>7.6</c:v>
                </c:pt>
                <c:pt idx="151">
                  <c:v>7.65</c:v>
                </c:pt>
                <c:pt idx="152">
                  <c:v>7.7</c:v>
                </c:pt>
                <c:pt idx="153">
                  <c:v>7.75</c:v>
                </c:pt>
                <c:pt idx="154">
                  <c:v>7.8</c:v>
                </c:pt>
                <c:pt idx="155">
                  <c:v>7.85</c:v>
                </c:pt>
                <c:pt idx="156">
                  <c:v>7.9</c:v>
                </c:pt>
                <c:pt idx="157">
                  <c:v>7.95</c:v>
                </c:pt>
                <c:pt idx="158">
                  <c:v>8</c:v>
                </c:pt>
                <c:pt idx="159">
                  <c:v>8.0500000000000007</c:v>
                </c:pt>
                <c:pt idx="160">
                  <c:v>8.1</c:v>
                </c:pt>
                <c:pt idx="161">
                  <c:v>8.15</c:v>
                </c:pt>
                <c:pt idx="162">
                  <c:v>8.1999999999999993</c:v>
                </c:pt>
                <c:pt idx="163">
                  <c:v>8.25</c:v>
                </c:pt>
                <c:pt idx="164">
                  <c:v>8.3000000000000007</c:v>
                </c:pt>
                <c:pt idx="165">
                  <c:v>8.35</c:v>
                </c:pt>
                <c:pt idx="166">
                  <c:v>8.4</c:v>
                </c:pt>
                <c:pt idx="167">
                  <c:v>8.4499999999999993</c:v>
                </c:pt>
                <c:pt idx="168">
                  <c:v>8.5</c:v>
                </c:pt>
                <c:pt idx="169">
                  <c:v>8.5500000000000007</c:v>
                </c:pt>
                <c:pt idx="170">
                  <c:v>8.6</c:v>
                </c:pt>
                <c:pt idx="171">
                  <c:v>8.65</c:v>
                </c:pt>
                <c:pt idx="172">
                  <c:v>8.6999999999999993</c:v>
                </c:pt>
                <c:pt idx="173">
                  <c:v>8.75</c:v>
                </c:pt>
                <c:pt idx="174">
                  <c:v>8.8000000000000007</c:v>
                </c:pt>
                <c:pt idx="175">
                  <c:v>8.85</c:v>
                </c:pt>
                <c:pt idx="176">
                  <c:v>8.9</c:v>
                </c:pt>
                <c:pt idx="177">
                  <c:v>8.9499999999999993</c:v>
                </c:pt>
                <c:pt idx="178">
                  <c:v>9</c:v>
                </c:pt>
                <c:pt idx="179">
                  <c:v>9.0500000000000007</c:v>
                </c:pt>
                <c:pt idx="180">
                  <c:v>9.1</c:v>
                </c:pt>
                <c:pt idx="181">
                  <c:v>9.15</c:v>
                </c:pt>
                <c:pt idx="182">
                  <c:v>9.1999999999999993</c:v>
                </c:pt>
                <c:pt idx="183">
                  <c:v>9.25</c:v>
                </c:pt>
                <c:pt idx="184">
                  <c:v>9.3000000000000007</c:v>
                </c:pt>
                <c:pt idx="185">
                  <c:v>9.35</c:v>
                </c:pt>
                <c:pt idx="186">
                  <c:v>9.4</c:v>
                </c:pt>
                <c:pt idx="187">
                  <c:v>9.4499999999999993</c:v>
                </c:pt>
                <c:pt idx="188">
                  <c:v>9.5</c:v>
                </c:pt>
                <c:pt idx="189">
                  <c:v>9.5500000000000007</c:v>
                </c:pt>
                <c:pt idx="190">
                  <c:v>9.6</c:v>
                </c:pt>
                <c:pt idx="191">
                  <c:v>9.65</c:v>
                </c:pt>
                <c:pt idx="192">
                  <c:v>9.6999999999999993</c:v>
                </c:pt>
                <c:pt idx="193">
                  <c:v>9.75</c:v>
                </c:pt>
                <c:pt idx="194">
                  <c:v>9.8000000000000007</c:v>
                </c:pt>
                <c:pt idx="195">
                  <c:v>9.85</c:v>
                </c:pt>
                <c:pt idx="196">
                  <c:v>9.9</c:v>
                </c:pt>
                <c:pt idx="197">
                  <c:v>9.9499999999999993</c:v>
                </c:pt>
                <c:pt idx="198">
                  <c:v>10</c:v>
                </c:pt>
                <c:pt idx="199">
                  <c:v>10.050000000000001</c:v>
                </c:pt>
                <c:pt idx="200">
                  <c:v>10.1</c:v>
                </c:pt>
                <c:pt idx="201">
                  <c:v>10.15</c:v>
                </c:pt>
                <c:pt idx="202">
                  <c:v>10.199999999999999</c:v>
                </c:pt>
                <c:pt idx="203">
                  <c:v>10.25</c:v>
                </c:pt>
                <c:pt idx="204">
                  <c:v>10.3</c:v>
                </c:pt>
                <c:pt idx="205">
                  <c:v>10.35</c:v>
                </c:pt>
                <c:pt idx="206">
                  <c:v>10.4</c:v>
                </c:pt>
                <c:pt idx="207">
                  <c:v>10.45</c:v>
                </c:pt>
                <c:pt idx="208">
                  <c:v>10.5</c:v>
                </c:pt>
                <c:pt idx="209">
                  <c:v>10.55</c:v>
                </c:pt>
                <c:pt idx="210">
                  <c:v>10.6</c:v>
                </c:pt>
                <c:pt idx="211">
                  <c:v>10.65</c:v>
                </c:pt>
                <c:pt idx="212">
                  <c:v>10.7</c:v>
                </c:pt>
                <c:pt idx="213">
                  <c:v>10.75</c:v>
                </c:pt>
                <c:pt idx="214">
                  <c:v>10.8</c:v>
                </c:pt>
                <c:pt idx="215">
                  <c:v>10.85</c:v>
                </c:pt>
                <c:pt idx="216">
                  <c:v>10.9</c:v>
                </c:pt>
                <c:pt idx="217">
                  <c:v>10.95</c:v>
                </c:pt>
                <c:pt idx="218">
                  <c:v>11</c:v>
                </c:pt>
                <c:pt idx="219">
                  <c:v>11.05</c:v>
                </c:pt>
                <c:pt idx="220">
                  <c:v>11.1</c:v>
                </c:pt>
                <c:pt idx="221">
                  <c:v>11.15</c:v>
                </c:pt>
                <c:pt idx="222">
                  <c:v>11.2</c:v>
                </c:pt>
                <c:pt idx="223">
                  <c:v>11.25</c:v>
                </c:pt>
                <c:pt idx="224">
                  <c:v>11.3</c:v>
                </c:pt>
                <c:pt idx="225">
                  <c:v>11.35</c:v>
                </c:pt>
                <c:pt idx="226">
                  <c:v>11.4</c:v>
                </c:pt>
                <c:pt idx="227">
                  <c:v>11.45</c:v>
                </c:pt>
                <c:pt idx="228">
                  <c:v>11.5</c:v>
                </c:pt>
                <c:pt idx="229">
                  <c:v>11.55</c:v>
                </c:pt>
                <c:pt idx="230">
                  <c:v>11.6</c:v>
                </c:pt>
                <c:pt idx="231">
                  <c:v>11.65</c:v>
                </c:pt>
                <c:pt idx="232">
                  <c:v>11.7</c:v>
                </c:pt>
                <c:pt idx="233">
                  <c:v>11.75</c:v>
                </c:pt>
                <c:pt idx="234">
                  <c:v>11.8</c:v>
                </c:pt>
                <c:pt idx="235">
                  <c:v>11.85</c:v>
                </c:pt>
                <c:pt idx="236">
                  <c:v>11.9</c:v>
                </c:pt>
                <c:pt idx="237">
                  <c:v>11.95</c:v>
                </c:pt>
                <c:pt idx="238">
                  <c:v>12</c:v>
                </c:pt>
                <c:pt idx="239">
                  <c:v>12.05</c:v>
                </c:pt>
                <c:pt idx="240">
                  <c:v>12.1</c:v>
                </c:pt>
                <c:pt idx="241">
                  <c:v>12.15</c:v>
                </c:pt>
                <c:pt idx="242">
                  <c:v>12.2</c:v>
                </c:pt>
                <c:pt idx="243">
                  <c:v>12.25</c:v>
                </c:pt>
                <c:pt idx="244">
                  <c:v>12.3</c:v>
                </c:pt>
                <c:pt idx="245">
                  <c:v>12.35</c:v>
                </c:pt>
                <c:pt idx="246">
                  <c:v>12.4</c:v>
                </c:pt>
                <c:pt idx="247">
                  <c:v>12.45</c:v>
                </c:pt>
                <c:pt idx="248">
                  <c:v>12.5</c:v>
                </c:pt>
                <c:pt idx="249">
                  <c:v>12.55</c:v>
                </c:pt>
                <c:pt idx="250">
                  <c:v>12.6</c:v>
                </c:pt>
                <c:pt idx="251">
                  <c:v>12.65</c:v>
                </c:pt>
                <c:pt idx="252">
                  <c:v>12.7</c:v>
                </c:pt>
                <c:pt idx="253">
                  <c:v>12.75</c:v>
                </c:pt>
                <c:pt idx="254">
                  <c:v>12.8</c:v>
                </c:pt>
                <c:pt idx="255">
                  <c:v>12.85</c:v>
                </c:pt>
                <c:pt idx="256">
                  <c:v>12.9</c:v>
                </c:pt>
                <c:pt idx="257">
                  <c:v>12.95</c:v>
                </c:pt>
                <c:pt idx="258">
                  <c:v>13</c:v>
                </c:pt>
                <c:pt idx="259">
                  <c:v>13.05</c:v>
                </c:pt>
                <c:pt idx="260">
                  <c:v>13.1</c:v>
                </c:pt>
                <c:pt idx="261">
                  <c:v>13.15</c:v>
                </c:pt>
                <c:pt idx="262">
                  <c:v>13.2</c:v>
                </c:pt>
                <c:pt idx="263">
                  <c:v>13.25</c:v>
                </c:pt>
                <c:pt idx="264">
                  <c:v>13.3</c:v>
                </c:pt>
                <c:pt idx="265">
                  <c:v>13.35</c:v>
                </c:pt>
                <c:pt idx="266">
                  <c:v>13.4</c:v>
                </c:pt>
                <c:pt idx="267">
                  <c:v>13.45</c:v>
                </c:pt>
                <c:pt idx="268">
                  <c:v>13.5</c:v>
                </c:pt>
                <c:pt idx="269">
                  <c:v>13.55</c:v>
                </c:pt>
                <c:pt idx="270">
                  <c:v>13.6</c:v>
                </c:pt>
                <c:pt idx="271">
                  <c:v>13.65</c:v>
                </c:pt>
                <c:pt idx="272">
                  <c:v>13.7</c:v>
                </c:pt>
                <c:pt idx="273">
                  <c:v>13.75</c:v>
                </c:pt>
                <c:pt idx="274">
                  <c:v>13.8</c:v>
                </c:pt>
                <c:pt idx="275">
                  <c:v>13.85</c:v>
                </c:pt>
                <c:pt idx="276">
                  <c:v>13.9</c:v>
                </c:pt>
                <c:pt idx="277">
                  <c:v>13.95</c:v>
                </c:pt>
                <c:pt idx="278">
                  <c:v>14</c:v>
                </c:pt>
                <c:pt idx="279">
                  <c:v>14.05</c:v>
                </c:pt>
                <c:pt idx="280">
                  <c:v>14.1</c:v>
                </c:pt>
                <c:pt idx="281">
                  <c:v>14.15</c:v>
                </c:pt>
                <c:pt idx="282">
                  <c:v>14.2</c:v>
                </c:pt>
                <c:pt idx="283">
                  <c:v>14.25</c:v>
                </c:pt>
                <c:pt idx="284">
                  <c:v>14.3</c:v>
                </c:pt>
                <c:pt idx="285">
                  <c:v>14.35</c:v>
                </c:pt>
                <c:pt idx="286">
                  <c:v>14.4</c:v>
                </c:pt>
                <c:pt idx="287">
                  <c:v>14.45</c:v>
                </c:pt>
                <c:pt idx="288">
                  <c:v>14.5</c:v>
                </c:pt>
                <c:pt idx="289">
                  <c:v>14.55</c:v>
                </c:pt>
                <c:pt idx="290">
                  <c:v>14.6</c:v>
                </c:pt>
                <c:pt idx="291">
                  <c:v>14.65</c:v>
                </c:pt>
                <c:pt idx="292">
                  <c:v>14.7</c:v>
                </c:pt>
                <c:pt idx="293">
                  <c:v>14.75</c:v>
                </c:pt>
                <c:pt idx="294">
                  <c:v>14.8</c:v>
                </c:pt>
                <c:pt idx="295">
                  <c:v>14.85</c:v>
                </c:pt>
                <c:pt idx="296">
                  <c:v>14.9</c:v>
                </c:pt>
                <c:pt idx="297">
                  <c:v>14.95</c:v>
                </c:pt>
                <c:pt idx="298">
                  <c:v>15</c:v>
                </c:pt>
                <c:pt idx="299">
                  <c:v>15.05</c:v>
                </c:pt>
                <c:pt idx="300">
                  <c:v>15.1</c:v>
                </c:pt>
                <c:pt idx="301">
                  <c:v>15.15</c:v>
                </c:pt>
                <c:pt idx="302">
                  <c:v>15.2</c:v>
                </c:pt>
                <c:pt idx="303">
                  <c:v>15.25</c:v>
                </c:pt>
                <c:pt idx="304">
                  <c:v>15.3</c:v>
                </c:pt>
                <c:pt idx="305">
                  <c:v>15.35</c:v>
                </c:pt>
                <c:pt idx="306">
                  <c:v>15.4</c:v>
                </c:pt>
                <c:pt idx="307">
                  <c:v>15.45</c:v>
                </c:pt>
                <c:pt idx="308">
                  <c:v>15.5</c:v>
                </c:pt>
                <c:pt idx="309">
                  <c:v>15.55</c:v>
                </c:pt>
                <c:pt idx="310">
                  <c:v>15.6</c:v>
                </c:pt>
                <c:pt idx="311">
                  <c:v>15.65</c:v>
                </c:pt>
                <c:pt idx="312">
                  <c:v>15.7</c:v>
                </c:pt>
                <c:pt idx="313">
                  <c:v>15.75</c:v>
                </c:pt>
                <c:pt idx="314">
                  <c:v>15.8</c:v>
                </c:pt>
                <c:pt idx="315">
                  <c:v>15.85</c:v>
                </c:pt>
                <c:pt idx="316">
                  <c:v>15.9</c:v>
                </c:pt>
                <c:pt idx="317">
                  <c:v>15.95</c:v>
                </c:pt>
                <c:pt idx="318">
                  <c:v>16</c:v>
                </c:pt>
                <c:pt idx="319">
                  <c:v>16.05</c:v>
                </c:pt>
                <c:pt idx="320">
                  <c:v>16.100000000000001</c:v>
                </c:pt>
                <c:pt idx="321">
                  <c:v>16.149999999999999</c:v>
                </c:pt>
                <c:pt idx="322">
                  <c:v>16.2</c:v>
                </c:pt>
                <c:pt idx="323">
                  <c:v>16.25</c:v>
                </c:pt>
                <c:pt idx="324">
                  <c:v>16.3</c:v>
                </c:pt>
                <c:pt idx="325">
                  <c:v>16.350000000000001</c:v>
                </c:pt>
                <c:pt idx="326">
                  <c:v>16.399999999999999</c:v>
                </c:pt>
                <c:pt idx="327">
                  <c:v>16.45</c:v>
                </c:pt>
                <c:pt idx="328">
                  <c:v>16.5</c:v>
                </c:pt>
                <c:pt idx="329">
                  <c:v>16.55</c:v>
                </c:pt>
                <c:pt idx="330">
                  <c:v>16.600000000000001</c:v>
                </c:pt>
                <c:pt idx="331">
                  <c:v>16.649999999999999</c:v>
                </c:pt>
                <c:pt idx="332">
                  <c:v>16.7</c:v>
                </c:pt>
                <c:pt idx="333">
                  <c:v>16.75</c:v>
                </c:pt>
                <c:pt idx="334">
                  <c:v>16.8</c:v>
                </c:pt>
                <c:pt idx="335">
                  <c:v>16.850000000000001</c:v>
                </c:pt>
                <c:pt idx="336">
                  <c:v>16.899999999999999</c:v>
                </c:pt>
                <c:pt idx="337">
                  <c:v>16.95</c:v>
                </c:pt>
                <c:pt idx="338">
                  <c:v>17</c:v>
                </c:pt>
                <c:pt idx="339">
                  <c:v>17.05</c:v>
                </c:pt>
                <c:pt idx="340">
                  <c:v>17.100000000000001</c:v>
                </c:pt>
                <c:pt idx="341">
                  <c:v>17.149999999999999</c:v>
                </c:pt>
                <c:pt idx="342">
                  <c:v>17.2</c:v>
                </c:pt>
                <c:pt idx="343">
                  <c:v>17.25</c:v>
                </c:pt>
                <c:pt idx="344">
                  <c:v>17.3</c:v>
                </c:pt>
                <c:pt idx="345">
                  <c:v>17.350000000000001</c:v>
                </c:pt>
                <c:pt idx="346">
                  <c:v>17.399999999999999</c:v>
                </c:pt>
                <c:pt idx="347">
                  <c:v>17.45</c:v>
                </c:pt>
                <c:pt idx="348">
                  <c:v>17.5</c:v>
                </c:pt>
                <c:pt idx="349">
                  <c:v>17.55</c:v>
                </c:pt>
                <c:pt idx="350">
                  <c:v>17.600000000000001</c:v>
                </c:pt>
                <c:pt idx="351">
                  <c:v>17.649999999999999</c:v>
                </c:pt>
                <c:pt idx="352">
                  <c:v>17.7</c:v>
                </c:pt>
                <c:pt idx="353">
                  <c:v>17.75</c:v>
                </c:pt>
                <c:pt idx="354">
                  <c:v>17.8</c:v>
                </c:pt>
                <c:pt idx="355">
                  <c:v>17.850000000000001</c:v>
                </c:pt>
                <c:pt idx="356">
                  <c:v>17.899999999999999</c:v>
                </c:pt>
                <c:pt idx="357">
                  <c:v>17.95</c:v>
                </c:pt>
                <c:pt idx="358">
                  <c:v>18</c:v>
                </c:pt>
                <c:pt idx="359">
                  <c:v>18.05</c:v>
                </c:pt>
                <c:pt idx="360">
                  <c:v>18.100000000000001</c:v>
                </c:pt>
                <c:pt idx="361">
                  <c:v>18.149999999999999</c:v>
                </c:pt>
                <c:pt idx="362">
                  <c:v>18.2</c:v>
                </c:pt>
                <c:pt idx="363">
                  <c:v>18.25</c:v>
                </c:pt>
                <c:pt idx="364">
                  <c:v>18.3</c:v>
                </c:pt>
                <c:pt idx="365">
                  <c:v>18.350000000000001</c:v>
                </c:pt>
                <c:pt idx="366">
                  <c:v>18.399999999999999</c:v>
                </c:pt>
                <c:pt idx="367">
                  <c:v>18.45</c:v>
                </c:pt>
                <c:pt idx="368">
                  <c:v>18.5</c:v>
                </c:pt>
                <c:pt idx="369">
                  <c:v>18.55</c:v>
                </c:pt>
                <c:pt idx="370">
                  <c:v>18.600000000000001</c:v>
                </c:pt>
                <c:pt idx="371">
                  <c:v>18.649999999999999</c:v>
                </c:pt>
                <c:pt idx="372">
                  <c:v>18.7</c:v>
                </c:pt>
                <c:pt idx="373">
                  <c:v>18.75</c:v>
                </c:pt>
                <c:pt idx="374">
                  <c:v>18.8</c:v>
                </c:pt>
                <c:pt idx="375">
                  <c:v>18.850000000000001</c:v>
                </c:pt>
                <c:pt idx="376">
                  <c:v>18.899999999999999</c:v>
                </c:pt>
                <c:pt idx="377">
                  <c:v>18.95</c:v>
                </c:pt>
                <c:pt idx="378">
                  <c:v>19</c:v>
                </c:pt>
                <c:pt idx="379">
                  <c:v>19.05</c:v>
                </c:pt>
                <c:pt idx="380">
                  <c:v>19.100000000000001</c:v>
                </c:pt>
                <c:pt idx="381">
                  <c:v>19.149999999999999</c:v>
                </c:pt>
                <c:pt idx="382">
                  <c:v>19.2</c:v>
                </c:pt>
                <c:pt idx="383">
                  <c:v>19.25</c:v>
                </c:pt>
                <c:pt idx="384">
                  <c:v>19.3</c:v>
                </c:pt>
                <c:pt idx="385">
                  <c:v>19.350000000000001</c:v>
                </c:pt>
                <c:pt idx="386">
                  <c:v>19.399999999999999</c:v>
                </c:pt>
                <c:pt idx="387">
                  <c:v>19.45</c:v>
                </c:pt>
                <c:pt idx="388">
                  <c:v>19.5</c:v>
                </c:pt>
                <c:pt idx="389">
                  <c:v>19.55</c:v>
                </c:pt>
                <c:pt idx="390">
                  <c:v>19.600000000000001</c:v>
                </c:pt>
                <c:pt idx="391">
                  <c:v>19.649999999999999</c:v>
                </c:pt>
                <c:pt idx="392">
                  <c:v>19.7</c:v>
                </c:pt>
                <c:pt idx="393">
                  <c:v>19.75</c:v>
                </c:pt>
                <c:pt idx="394">
                  <c:v>19.8</c:v>
                </c:pt>
                <c:pt idx="395">
                  <c:v>19.850000000000001</c:v>
                </c:pt>
                <c:pt idx="396">
                  <c:v>19.899999999999999</c:v>
                </c:pt>
                <c:pt idx="397">
                  <c:v>19.95</c:v>
                </c:pt>
                <c:pt idx="398">
                  <c:v>20</c:v>
                </c:pt>
                <c:pt idx="399">
                  <c:v>20.05</c:v>
                </c:pt>
                <c:pt idx="400">
                  <c:v>20.100000000000001</c:v>
                </c:pt>
                <c:pt idx="401">
                  <c:v>20.149999999999999</c:v>
                </c:pt>
                <c:pt idx="402">
                  <c:v>20.2</c:v>
                </c:pt>
                <c:pt idx="403">
                  <c:v>20.25</c:v>
                </c:pt>
                <c:pt idx="404">
                  <c:v>20.3</c:v>
                </c:pt>
                <c:pt idx="405">
                  <c:v>20.350000000000001</c:v>
                </c:pt>
                <c:pt idx="406">
                  <c:v>20.399999999999999</c:v>
                </c:pt>
                <c:pt idx="407">
                  <c:v>20.45</c:v>
                </c:pt>
                <c:pt idx="408">
                  <c:v>20.5</c:v>
                </c:pt>
                <c:pt idx="409">
                  <c:v>20.55</c:v>
                </c:pt>
                <c:pt idx="410">
                  <c:v>20.6</c:v>
                </c:pt>
                <c:pt idx="411">
                  <c:v>20.65</c:v>
                </c:pt>
              </c:numCache>
            </c:numRef>
          </c:cat>
          <c:val>
            <c:numRef>
              <c:f>'Cement Cost Model-Vietnam'!$T$192:$T$653</c:f>
              <c:numCache>
                <c:formatCode>General</c:formatCode>
                <c:ptCount val="462"/>
                <c:pt idx="226" formatCode="_(&quot;$&quot;* #,##0_);_(&quot;$&quot;* \(#,##0\);_(&quot;$&quot;* &quot;-&quot;??_);_(@_)">
                  <c:v>0</c:v>
                </c:pt>
                <c:pt idx="227" formatCode="_(&quot;$&quot;* #,##0_);_(&quot;$&quot;* \(#,##0\);_(&quot;$&quot;* &quot;-&quot;??_);_(@_)">
                  <c:v>0</c:v>
                </c:pt>
                <c:pt idx="228" formatCode="_(&quot;$&quot;* #,##0_);_(&quot;$&quot;* \(#,##0\);_(&quot;$&quot;* &quot;-&quot;??_);_(@_)">
                  <c:v>0</c:v>
                </c:pt>
                <c:pt idx="229" formatCode="_(&quot;$&quot;* #,##0_);_(&quot;$&quot;* \(#,##0\);_(&quot;$&quot;* &quot;-&quot;??_);_(@_)">
                  <c:v>0</c:v>
                </c:pt>
                <c:pt idx="230" formatCode="_(&quot;$&quot;* #,##0_);_(&quot;$&quot;* \(#,##0\);_(&quot;$&quot;* &quot;-&quot;??_);_(@_)">
                  <c:v>0</c:v>
                </c:pt>
                <c:pt idx="231" formatCode="_(&quot;$&quot;* #,##0_);_(&quot;$&quot;* \(#,##0\);_(&quot;$&quot;* &quot;-&quot;??_);_(@_)">
                  <c:v>0</c:v>
                </c:pt>
                <c:pt idx="232" formatCode="_(&quot;$&quot;* #,##0_);_(&quot;$&quot;* \(#,##0\);_(&quot;$&quot;* &quot;-&quot;??_);_(@_)">
                  <c:v>0</c:v>
                </c:pt>
                <c:pt idx="233" formatCode="_(&quot;$&quot;* #,##0_);_(&quot;$&quot;* \(#,##0\);_(&quot;$&quot;* &quot;-&quot;??_);_(@_)">
                  <c:v>0</c:v>
                </c:pt>
                <c:pt idx="234" formatCode="_(&quot;$&quot;* #,##0_);_(&quot;$&quot;* \(#,##0\);_(&quot;$&quot;* &quot;-&quot;??_);_(@_)">
                  <c:v>0</c:v>
                </c:pt>
                <c:pt idx="235" formatCode="_(&quot;$&quot;* #,##0_);_(&quot;$&quot;* \(#,##0\);_(&quot;$&quot;* &quot;-&quot;??_);_(@_)">
                  <c:v>0</c:v>
                </c:pt>
                <c:pt idx="236" formatCode="_(&quot;$&quot;* #,##0_);_(&quot;$&quot;* \(#,##0\);_(&quot;$&quot;* &quot;-&quot;??_);_(@_)">
                  <c:v>0</c:v>
                </c:pt>
                <c:pt idx="237" formatCode="_(&quot;$&quot;* #,##0_);_(&quot;$&quot;* \(#,##0\);_(&quot;$&quot;* &quot;-&quot;??_);_(@_)">
                  <c:v>0</c:v>
                </c:pt>
                <c:pt idx="238" formatCode="_(&quot;$&quot;* #,##0_);_(&quot;$&quot;* \(#,##0\);_(&quot;$&quot;* &quot;-&quot;??_);_(@_)">
                  <c:v>0</c:v>
                </c:pt>
                <c:pt idx="239" formatCode="_(&quot;$&quot;* #,##0_);_(&quot;$&quot;* \(#,##0\);_(&quot;$&quot;* &quot;-&quot;??_);_(@_)">
                  <c:v>0</c:v>
                </c:pt>
                <c:pt idx="240" formatCode="_(&quot;$&quot;* #,##0_);_(&quot;$&quot;* \(#,##0\);_(&quot;$&quot;* &quot;-&quot;??_);_(@_)">
                  <c:v>0</c:v>
                </c:pt>
                <c:pt idx="241" formatCode="_(&quot;$&quot;* #,##0_);_(&quot;$&quot;* \(#,##0\);_(&quot;$&quot;* &quot;-&quot;??_);_(@_)">
                  <c:v>0</c:v>
                </c:pt>
                <c:pt idx="242" formatCode="_(&quot;$&quot;* #,##0_);_(&quot;$&quot;* \(#,##0\);_(&quot;$&quot;* &quot;-&quot;??_);_(@_)">
                  <c:v>0</c:v>
                </c:pt>
                <c:pt idx="243" formatCode="_(&quot;$&quot;* #,##0_);_(&quot;$&quot;* \(#,##0\);_(&quot;$&quot;* &quot;-&quot;??_);_(@_)">
                  <c:v>0</c:v>
                </c:pt>
                <c:pt idx="244" formatCode="_(&quot;$&quot;* #,##0_);_(&quot;$&quot;* \(#,##0\);_(&quot;$&quot;* &quot;-&quot;??_);_(@_)">
                  <c:v>0</c:v>
                </c:pt>
                <c:pt idx="245" formatCode="_(&quot;$&quot;* #,##0_);_(&quot;$&quot;* \(#,##0\);_(&quot;$&quot;* &quot;-&quot;??_);_(@_)">
                  <c:v>0</c:v>
                </c:pt>
                <c:pt idx="246" formatCode="_(&quot;$&quot;* #,##0_);_(&quot;$&quot;* \(#,##0\);_(&quot;$&quot;* &quot;-&quot;??_);_(@_)">
                  <c:v>0</c:v>
                </c:pt>
                <c:pt idx="247" formatCode="_(&quot;$&quot;* #,##0_);_(&quot;$&quot;* \(#,##0\);_(&quot;$&quot;* &quot;-&quot;??_);_(@_)">
                  <c:v>0</c:v>
                </c:pt>
                <c:pt idx="248" formatCode="_(&quot;$&quot;* #,##0_);_(&quot;$&quot;* \(#,##0\);_(&quot;$&quot;* &quot;-&quot;??_);_(@_)">
                  <c:v>0</c:v>
                </c:pt>
                <c:pt idx="249" formatCode="_(&quot;$&quot;* #,##0_);_(&quot;$&quot;* \(#,##0\);_(&quot;$&quot;* &quot;-&quot;??_);_(@_)">
                  <c:v>0</c:v>
                </c:pt>
                <c:pt idx="250" formatCode="_(&quot;$&quot;* #,##0_);_(&quot;$&quot;* \(#,##0\);_(&quot;$&quot;* &quot;-&quot;??_);_(@_)">
                  <c:v>0</c:v>
                </c:pt>
                <c:pt idx="251" formatCode="_(&quot;$&quot;* #,##0_);_(&quot;$&quot;* \(#,##0\);_(&quot;$&quot;* &quot;-&quot;??_);_(@_)">
                  <c:v>0</c:v>
                </c:pt>
                <c:pt idx="252" formatCode="_(&quot;$&quot;* #,##0_);_(&quot;$&quot;* \(#,##0\);_(&quot;$&quot;* &quot;-&quot;??_);_(@_)">
                  <c:v>0</c:v>
                </c:pt>
                <c:pt idx="253" formatCode="_(&quot;$&quot;* #,##0_);_(&quot;$&quot;* \(#,##0\);_(&quot;$&quot;* &quot;-&quot;??_);_(@_)">
                  <c:v>0</c:v>
                </c:pt>
                <c:pt idx="254" formatCode="_(&quot;$&quot;* #,##0_);_(&quot;$&quot;* \(#,##0\);_(&quot;$&quot;* &quot;-&quot;??_);_(@_)">
                  <c:v>0</c:v>
                </c:pt>
                <c:pt idx="255" formatCode="_(&quot;$&quot;* #,##0_);_(&quot;$&quot;* \(#,##0\);_(&quot;$&quot;* &quot;-&quot;??_);_(@_)">
                  <c:v>0</c:v>
                </c:pt>
                <c:pt idx="256" formatCode="_(&quot;$&quot;* #,##0_);_(&quot;$&quot;* \(#,##0\);_(&quot;$&quot;* &quot;-&quot;??_);_(@_)">
                  <c:v>0</c:v>
                </c:pt>
                <c:pt idx="257" formatCode="_(&quot;$&quot;* #,##0_);_(&quot;$&quot;* \(#,##0\);_(&quot;$&quot;* &quot;-&quot;??_);_(@_)">
                  <c:v>0</c:v>
                </c:pt>
                <c:pt idx="258" formatCode="_(&quot;$&quot;* #,##0_);_(&quot;$&quot;* \(#,##0\);_(&quot;$&quot;* &quot;-&quot;??_);_(@_)">
                  <c:v>0</c:v>
                </c:pt>
                <c:pt idx="259" formatCode="_(&quot;$&quot;* #,##0_);_(&quot;$&quot;* \(#,##0\);_(&quot;$&quot;* &quot;-&quot;??_);_(@_)">
                  <c:v>0</c:v>
                </c:pt>
                <c:pt idx="260" formatCode="_(&quot;$&quot;* #,##0_);_(&quot;$&quot;* \(#,##0\);_(&quot;$&quot;* &quot;-&quot;??_);_(@_)">
                  <c:v>0</c:v>
                </c:pt>
                <c:pt idx="261" formatCode="_(&quot;$&quot;* #,##0_);_(&quot;$&quot;* \(#,##0\);_(&quot;$&quot;* &quot;-&quot;??_);_(@_)">
                  <c:v>0</c:v>
                </c:pt>
                <c:pt idx="262" formatCode="_(&quot;$&quot;* #,##0_);_(&quot;$&quot;* \(#,##0\);_(&quot;$&quot;* &quot;-&quot;??_);_(@_)">
                  <c:v>0</c:v>
                </c:pt>
                <c:pt idx="263" formatCode="_(&quot;$&quot;* #,##0_);_(&quot;$&quot;* \(#,##0\);_(&quot;$&quot;* &quot;-&quot;??_);_(@_)">
                  <c:v>0</c:v>
                </c:pt>
                <c:pt idx="264" formatCode="_(&quot;$&quot;* #,##0_);_(&quot;$&quot;* \(#,##0\);_(&quot;$&quot;* &quot;-&quot;??_);_(@_)">
                  <c:v>0</c:v>
                </c:pt>
                <c:pt idx="265" formatCode="_(&quot;$&quot;* #,##0_);_(&quot;$&quot;* \(#,##0\);_(&quot;$&quot;* &quot;-&quot;??_);_(@_)">
                  <c:v>0</c:v>
                </c:pt>
                <c:pt idx="266" formatCode="_(&quot;$&quot;* #,##0_);_(&quot;$&quot;* \(#,##0\);_(&quot;$&quot;* &quot;-&quot;??_);_(@_)">
                  <c:v>0</c:v>
                </c:pt>
                <c:pt idx="267" formatCode="_(&quot;$&quot;* #,##0_);_(&quot;$&quot;* \(#,##0\);_(&quot;$&quot;* &quot;-&quot;??_);_(@_)">
                  <c:v>0</c:v>
                </c:pt>
                <c:pt idx="268" formatCode="_(&quot;$&quot;* #,##0_);_(&quot;$&quot;* \(#,##0\);_(&quot;$&quot;* &quot;-&quot;??_);_(@_)">
                  <c:v>0</c:v>
                </c:pt>
                <c:pt idx="269" formatCode="_(&quot;$&quot;* #,##0_);_(&quot;$&quot;* \(#,##0\);_(&quot;$&quot;* &quot;-&quot;??_);_(@_)">
                  <c:v>0</c:v>
                </c:pt>
                <c:pt idx="270" formatCode="_(&quot;$&quot;* #,##0_);_(&quot;$&quot;* \(#,##0\);_(&quot;$&quot;* &quot;-&quot;??_);_(@_)">
                  <c:v>0</c:v>
                </c:pt>
                <c:pt idx="271" formatCode="_(&quot;$&quot;* #,##0_);_(&quot;$&quot;* \(#,##0\);_(&quot;$&quot;* &quot;-&quot;??_);_(@_)">
                  <c:v>0</c:v>
                </c:pt>
                <c:pt idx="272" formatCode="_(&quot;$&quot;* #,##0_);_(&quot;$&quot;* \(#,##0\);_(&quot;$&quot;* &quot;-&quot;??_);_(@_)">
                  <c:v>0</c:v>
                </c:pt>
                <c:pt idx="273" formatCode="_(&quot;$&quot;* #,##0_);_(&quot;$&quot;* \(#,##0\);_(&quot;$&quot;* &quot;-&quot;??_);_(@_)">
                  <c:v>0</c:v>
                </c:pt>
                <c:pt idx="274" formatCode="_(&quot;$&quot;* #,##0_);_(&quot;$&quot;* \(#,##0\);_(&quot;$&quot;* &quot;-&quot;??_);_(@_)">
                  <c:v>0</c:v>
                </c:pt>
                <c:pt idx="275" formatCode="_(&quot;$&quot;* #,##0_);_(&quot;$&quot;* \(#,##0\);_(&quot;$&quot;* &quot;-&quot;??_);_(@_)">
                  <c:v>0</c:v>
                </c:pt>
                <c:pt idx="276" formatCode="_(&quot;$&quot;* #,##0_);_(&quot;$&quot;* \(#,##0\);_(&quot;$&quot;* &quot;-&quot;??_);_(@_)">
                  <c:v>0</c:v>
                </c:pt>
                <c:pt idx="277" formatCode="_(&quot;$&quot;* #,##0_);_(&quot;$&quot;* \(#,##0\);_(&quot;$&quot;* &quot;-&quot;??_);_(@_)">
                  <c:v>0</c:v>
                </c:pt>
                <c:pt idx="278" formatCode="_(&quot;$&quot;* #,##0_);_(&quot;$&quot;* \(#,##0\);_(&quot;$&quot;* &quot;-&quot;??_);_(@_)">
                  <c:v>0</c:v>
                </c:pt>
                <c:pt idx="279" formatCode="_(&quot;$&quot;* #,##0_);_(&quot;$&quot;* \(#,##0\);_(&quot;$&quot;* &quot;-&quot;??_);_(@_)">
                  <c:v>0</c:v>
                </c:pt>
                <c:pt idx="280" formatCode="_(&quot;$&quot;* #,##0_);_(&quot;$&quot;* \(#,##0\);_(&quot;$&quot;* &quot;-&quot;??_);_(@_)">
                  <c:v>0</c:v>
                </c:pt>
                <c:pt idx="281" formatCode="_(&quot;$&quot;* #,##0_);_(&quot;$&quot;* \(#,##0\);_(&quot;$&quot;* &quot;-&quot;??_);_(@_)">
                  <c:v>0</c:v>
                </c:pt>
                <c:pt idx="282" formatCode="_(&quot;$&quot;* #,##0_);_(&quot;$&quot;* \(#,##0\);_(&quot;$&quot;* &quot;-&quot;??_);_(@_)">
                  <c:v>0</c:v>
                </c:pt>
                <c:pt idx="283" formatCode="_(&quot;$&quot;* #,##0_);_(&quot;$&quot;* \(#,##0\);_(&quot;$&quot;* &quot;-&quot;??_);_(@_)">
                  <c:v>0</c:v>
                </c:pt>
                <c:pt idx="284" formatCode="_(&quot;$&quot;* #,##0_);_(&quot;$&quot;* \(#,##0\);_(&quot;$&quot;* &quot;-&quot;??_);_(@_)">
                  <c:v>0</c:v>
                </c:pt>
                <c:pt idx="285" formatCode="_(&quot;$&quot;* #,##0_);_(&quot;$&quot;* \(#,##0\);_(&quot;$&quot;* &quot;-&quot;??_);_(@_)">
                  <c:v>0</c:v>
                </c:pt>
                <c:pt idx="286" formatCode="_(&quot;$&quot;* #,##0_);_(&quot;$&quot;* \(#,##0\);_(&quot;$&quot;* &quot;-&quot;??_);_(@_)">
                  <c:v>0</c:v>
                </c:pt>
                <c:pt idx="287" formatCode="_(&quot;$&quot;* #,##0_);_(&quot;$&quot;* \(#,##0\);_(&quot;$&quot;* &quot;-&quot;??_);_(@_)">
                  <c:v>0</c:v>
                </c:pt>
                <c:pt idx="288" formatCode="_(&quot;$&quot;* #,##0_);_(&quot;$&quot;* \(#,##0\);_(&quot;$&quot;* &quot;-&quot;??_);_(@_)">
                  <c:v>0</c:v>
                </c:pt>
                <c:pt idx="289" formatCode="_(&quot;$&quot;* #,##0_);_(&quot;$&quot;* \(#,##0\);_(&quot;$&quot;* &quot;-&quot;??_);_(@_)">
                  <c:v>0</c:v>
                </c:pt>
                <c:pt idx="290" formatCode="_(&quot;$&quot;* #,##0_);_(&quot;$&quot;* \(#,##0\);_(&quot;$&quot;* &quot;-&quot;??_);_(@_)">
                  <c:v>0</c:v>
                </c:pt>
                <c:pt idx="291" formatCode="_(&quot;$&quot;* #,##0_);_(&quot;$&quot;* \(#,##0\);_(&quot;$&quot;* &quot;-&quot;??_);_(@_)">
                  <c:v>0</c:v>
                </c:pt>
                <c:pt idx="292" formatCode="_(&quot;$&quot;* #,##0_);_(&quot;$&quot;* \(#,##0\);_(&quot;$&quot;* &quot;-&quot;??_);_(@_)">
                  <c:v>0</c:v>
                </c:pt>
                <c:pt idx="293" formatCode="_(&quot;$&quot;* #,##0_);_(&quot;$&quot;* \(#,##0\);_(&quot;$&quot;* &quot;-&quot;??_);_(@_)">
                  <c:v>0</c:v>
                </c:pt>
                <c:pt idx="294" formatCode="_(&quot;$&quot;* #,##0_);_(&quot;$&quot;* \(#,##0\);_(&quot;$&quot;* &quot;-&quot;??_);_(@_)">
                  <c:v>0</c:v>
                </c:pt>
                <c:pt idx="295" formatCode="_(&quot;$&quot;* #,##0_);_(&quot;$&quot;* \(#,##0\);_(&quot;$&quot;* &quot;-&quot;??_);_(@_)">
                  <c:v>0</c:v>
                </c:pt>
                <c:pt idx="296" formatCode="_(&quot;$&quot;* #,##0_);_(&quot;$&quot;* \(#,##0\);_(&quot;$&quot;* &quot;-&quot;??_);_(@_)">
                  <c:v>0</c:v>
                </c:pt>
                <c:pt idx="297" formatCode="_(&quot;$&quot;* #,##0_);_(&quot;$&quot;* \(#,##0\);_(&quot;$&quot;* &quot;-&quot;??_);_(@_)">
                  <c:v>0</c:v>
                </c:pt>
                <c:pt idx="298" formatCode="_(&quot;$&quot;* #,##0_);_(&quot;$&quot;* \(#,##0\);_(&quot;$&quot;* &quot;-&quot;??_);_(@_)">
                  <c:v>0</c:v>
                </c:pt>
                <c:pt idx="299" formatCode="_(&quot;$&quot;* #,##0_);_(&quot;$&quot;* \(#,##0\);_(&quot;$&quot;* &quot;-&quot;??_);_(@_)">
                  <c:v>0</c:v>
                </c:pt>
                <c:pt idx="300" formatCode="_(&quot;$&quot;* #,##0_);_(&quot;$&quot;* \(#,##0\);_(&quot;$&quot;* &quot;-&quot;??_);_(@_)">
                  <c:v>0</c:v>
                </c:pt>
                <c:pt idx="301" formatCode="_(&quot;$&quot;* #,##0_);_(&quot;$&quot;* \(#,##0\);_(&quot;$&quot;* &quot;-&quot;??_);_(@_)">
                  <c:v>0</c:v>
                </c:pt>
                <c:pt idx="302" formatCode="_(&quot;$&quot;* #,##0_);_(&quot;$&quot;* \(#,##0\);_(&quot;$&quot;* &quot;-&quot;??_);_(@_)">
                  <c:v>0</c:v>
                </c:pt>
                <c:pt idx="303" formatCode="_(&quot;$&quot;* #,##0_);_(&quot;$&quot;* \(#,##0\);_(&quot;$&quot;* &quot;-&quot;??_);_(@_)">
                  <c:v>0</c:v>
                </c:pt>
                <c:pt idx="304" formatCode="_(&quot;$&quot;* #,##0_);_(&quot;$&quot;* \(#,##0\);_(&quot;$&quot;* &quot;-&quot;??_);_(@_)">
                  <c:v>0</c:v>
                </c:pt>
                <c:pt idx="305" formatCode="_(&quot;$&quot;* #,##0_);_(&quot;$&quot;* \(#,##0\);_(&quot;$&quot;* &quot;-&quot;??_);_(@_)">
                  <c:v>0</c:v>
                </c:pt>
                <c:pt idx="306" formatCode="_(&quot;$&quot;* #,##0_);_(&quot;$&quot;* \(#,##0\);_(&quot;$&quot;* &quot;-&quot;??_);_(@_)">
                  <c:v>0</c:v>
                </c:pt>
                <c:pt idx="307" formatCode="_(&quot;$&quot;* #,##0_);_(&quot;$&quot;* \(#,##0\);_(&quot;$&quot;* &quot;-&quot;??_);_(@_)">
                  <c:v>0</c:v>
                </c:pt>
                <c:pt idx="308" formatCode="_(&quot;$&quot;* #,##0_);_(&quot;$&quot;* \(#,##0\);_(&quot;$&quot;* &quot;-&quot;??_);_(@_)">
                  <c:v>0</c:v>
                </c:pt>
                <c:pt idx="309" formatCode="_(&quot;$&quot;* #,##0_);_(&quot;$&quot;* \(#,##0\);_(&quot;$&quot;* &quot;-&quot;??_);_(@_)">
                  <c:v>0</c:v>
                </c:pt>
                <c:pt idx="310" formatCode="_(&quot;$&quot;* #,##0_);_(&quot;$&quot;* \(#,##0\);_(&quot;$&quot;* &quot;-&quot;??_);_(@_)">
                  <c:v>0</c:v>
                </c:pt>
                <c:pt idx="311" formatCode="_(&quot;$&quot;* #,##0_);_(&quot;$&quot;* \(#,##0\);_(&quot;$&quot;* &quot;-&quot;??_);_(@_)">
                  <c:v>0</c:v>
                </c:pt>
                <c:pt idx="312" formatCode="_(&quot;$&quot;* #,##0_);_(&quot;$&quot;* \(#,##0\);_(&quot;$&quot;* &quot;-&quot;??_);_(@_)">
                  <c:v>0</c:v>
                </c:pt>
                <c:pt idx="313" formatCode="_(&quot;$&quot;* #,##0_);_(&quot;$&quot;* \(#,##0\);_(&quot;$&quot;* &quot;-&quot;??_);_(@_)">
                  <c:v>0</c:v>
                </c:pt>
                <c:pt idx="314" formatCode="_(&quot;$&quot;* #,##0_);_(&quot;$&quot;* \(#,##0\);_(&quot;$&quot;* &quot;-&quot;??_);_(@_)">
                  <c:v>0</c:v>
                </c:pt>
                <c:pt idx="315" formatCode="_(&quot;$&quot;* #,##0_);_(&quot;$&quot;* \(#,##0\);_(&quot;$&quot;* &quot;-&quot;??_);_(@_)">
                  <c:v>0</c:v>
                </c:pt>
                <c:pt idx="316" formatCode="_(&quot;$&quot;* #,##0_);_(&quot;$&quot;* \(#,##0\);_(&quot;$&quot;* &quot;-&quot;??_);_(@_)">
                  <c:v>0</c:v>
                </c:pt>
                <c:pt idx="317" formatCode="_(&quot;$&quot;* #,##0_);_(&quot;$&quot;* \(#,##0\);_(&quot;$&quot;* &quot;-&quot;??_);_(@_)">
                  <c:v>0</c:v>
                </c:pt>
                <c:pt idx="318" formatCode="_(&quot;$&quot;* #,##0_);_(&quot;$&quot;* \(#,##0\);_(&quot;$&quot;* &quot;-&quot;??_);_(@_)">
                  <c:v>0</c:v>
                </c:pt>
                <c:pt idx="319" formatCode="_(&quot;$&quot;* #,##0_);_(&quot;$&quot;* \(#,##0\);_(&quot;$&quot;* &quot;-&quot;??_);_(@_)">
                  <c:v>0</c:v>
                </c:pt>
                <c:pt idx="320" formatCode="_(&quot;$&quot;* #,##0_);_(&quot;$&quot;* \(#,##0\);_(&quot;$&quot;* &quot;-&quot;??_);_(@_)">
                  <c:v>0</c:v>
                </c:pt>
                <c:pt idx="321" formatCode="_(&quot;$&quot;* #,##0_);_(&quot;$&quot;* \(#,##0\);_(&quot;$&quot;* &quot;-&quot;??_);_(@_)">
                  <c:v>0</c:v>
                </c:pt>
                <c:pt idx="322" formatCode="_(&quot;$&quot;* #,##0_);_(&quot;$&quot;* \(#,##0\);_(&quot;$&quot;* &quot;-&quot;??_);_(@_)">
                  <c:v>0</c:v>
                </c:pt>
                <c:pt idx="323" formatCode="_(&quot;$&quot;* #,##0_);_(&quot;$&quot;* \(#,##0\);_(&quot;$&quot;* &quot;-&quot;??_);_(@_)">
                  <c:v>0</c:v>
                </c:pt>
                <c:pt idx="324" formatCode="_(&quot;$&quot;* #,##0_);_(&quot;$&quot;* \(#,##0\);_(&quot;$&quot;* &quot;-&quot;??_);_(@_)">
                  <c:v>0</c:v>
                </c:pt>
                <c:pt idx="325" formatCode="_(&quot;$&quot;* #,##0_);_(&quot;$&quot;* \(#,##0\);_(&quot;$&quot;* &quot;-&quot;??_);_(@_)">
                  <c:v>0</c:v>
                </c:pt>
                <c:pt idx="326" formatCode="_(&quot;$&quot;* #,##0_);_(&quot;$&quot;* \(#,##0\);_(&quot;$&quot;* &quot;-&quot;??_);_(@_)">
                  <c:v>0</c:v>
                </c:pt>
                <c:pt idx="327" formatCode="_(&quot;$&quot;* #,##0_);_(&quot;$&quot;* \(#,##0\);_(&quot;$&quot;* &quot;-&quot;??_);_(@_)">
                  <c:v>0</c:v>
                </c:pt>
                <c:pt idx="328" formatCode="_(&quot;$&quot;* #,##0_);_(&quot;$&quot;* \(#,##0\);_(&quot;$&quot;* &quot;-&quot;??_);_(@_)">
                  <c:v>0</c:v>
                </c:pt>
                <c:pt idx="329" formatCode="_(&quot;$&quot;* #,##0_);_(&quot;$&quot;* \(#,##0\);_(&quot;$&quot;* &quot;-&quot;??_);_(@_)">
                  <c:v>0</c:v>
                </c:pt>
                <c:pt idx="330" formatCode="_(&quot;$&quot;* #,##0_);_(&quot;$&quot;* \(#,##0\);_(&quot;$&quot;* &quot;-&quot;??_);_(@_)">
                  <c:v>0</c:v>
                </c:pt>
                <c:pt idx="331" formatCode="_(&quot;$&quot;* #,##0_);_(&quot;$&quot;* \(#,##0\);_(&quot;$&quot;* &quot;-&quot;??_);_(@_)">
                  <c:v>0</c:v>
                </c:pt>
                <c:pt idx="332" formatCode="_(&quot;$&quot;* #,##0_);_(&quot;$&quot;* \(#,##0\);_(&quot;$&quot;* &quot;-&quot;??_);_(@_)">
                  <c:v>0</c:v>
                </c:pt>
                <c:pt idx="333" formatCode="_(&quot;$&quot;* #,##0_);_(&quot;$&quot;* \(#,##0\);_(&quot;$&quot;* &quot;-&quot;??_);_(@_)">
                  <c:v>0</c:v>
                </c:pt>
                <c:pt idx="334" formatCode="_(&quot;$&quot;* #,##0_);_(&quot;$&quot;* \(#,##0\);_(&quot;$&quot;* &quot;-&quot;??_);_(@_)">
                  <c:v>0</c:v>
                </c:pt>
                <c:pt idx="335" formatCode="_(&quot;$&quot;* #,##0_);_(&quot;$&quot;* \(#,##0\);_(&quot;$&quot;* &quot;-&quot;??_);_(@_)">
                  <c:v>0</c:v>
                </c:pt>
                <c:pt idx="336" formatCode="_(&quot;$&quot;* #,##0_);_(&quot;$&quot;* \(#,##0\);_(&quot;$&quot;* &quot;-&quot;??_);_(@_)">
                  <c:v>0</c:v>
                </c:pt>
                <c:pt idx="337" formatCode="_(&quot;$&quot;* #,##0_);_(&quot;$&quot;* \(#,##0\);_(&quot;$&quot;* &quot;-&quot;??_);_(@_)">
                  <c:v>0</c:v>
                </c:pt>
                <c:pt idx="338" formatCode="_(&quot;$&quot;* #,##0_);_(&quot;$&quot;* \(#,##0\);_(&quot;$&quot;* &quot;-&quot;??_);_(@_)">
                  <c:v>0</c:v>
                </c:pt>
                <c:pt idx="339" formatCode="_(&quot;$&quot;* #,##0_);_(&quot;$&quot;* \(#,##0\);_(&quot;$&quot;* &quot;-&quot;??_);_(@_)">
                  <c:v>0</c:v>
                </c:pt>
                <c:pt idx="340" formatCode="_(&quot;$&quot;* #,##0_);_(&quot;$&quot;* \(#,##0\);_(&quot;$&quot;* &quot;-&quot;??_);_(@_)">
                  <c:v>0</c:v>
                </c:pt>
                <c:pt idx="341" formatCode="_(&quot;$&quot;* #,##0_);_(&quot;$&quot;* \(#,##0\);_(&quot;$&quot;* &quot;-&quot;??_);_(@_)">
                  <c:v>0</c:v>
                </c:pt>
                <c:pt idx="342" formatCode="_(&quot;$&quot;* #,##0_);_(&quot;$&quot;* \(#,##0\);_(&quot;$&quot;* &quot;-&quot;??_);_(@_)">
                  <c:v>0</c:v>
                </c:pt>
                <c:pt idx="343" formatCode="_(&quot;$&quot;* #,##0_);_(&quot;$&quot;* \(#,##0\);_(&quot;$&quot;* &quot;-&quot;??_);_(@_)">
                  <c:v>0</c:v>
                </c:pt>
                <c:pt idx="344" formatCode="_(&quot;$&quot;* #,##0_);_(&quot;$&quot;* \(#,##0\);_(&quot;$&quot;* &quot;-&quot;??_);_(@_)">
                  <c:v>0</c:v>
                </c:pt>
                <c:pt idx="345" formatCode="_(&quot;$&quot;* #,##0_);_(&quot;$&quot;* \(#,##0\);_(&quot;$&quot;* &quot;-&quot;??_);_(@_)">
                  <c:v>0</c:v>
                </c:pt>
                <c:pt idx="346" formatCode="_(&quot;$&quot;* #,##0_);_(&quot;$&quot;* \(#,##0\);_(&quot;$&quot;* &quot;-&quot;??_);_(@_)">
                  <c:v>0</c:v>
                </c:pt>
                <c:pt idx="347" formatCode="_(&quot;$&quot;* #,##0_);_(&quot;$&quot;* \(#,##0\);_(&quot;$&quot;* &quot;-&quot;??_);_(@_)">
                  <c:v>0</c:v>
                </c:pt>
                <c:pt idx="348" formatCode="_(&quot;$&quot;* #,##0_);_(&quot;$&quot;* \(#,##0\);_(&quot;$&quot;* &quot;-&quot;??_);_(@_)">
                  <c:v>0</c:v>
                </c:pt>
                <c:pt idx="349" formatCode="_(&quot;$&quot;* #,##0_);_(&quot;$&quot;* \(#,##0\);_(&quot;$&quot;* &quot;-&quot;??_);_(@_)">
                  <c:v>0</c:v>
                </c:pt>
                <c:pt idx="350" formatCode="_(&quot;$&quot;* #,##0_);_(&quot;$&quot;* \(#,##0\);_(&quot;$&quot;* &quot;-&quot;??_);_(@_)">
                  <c:v>0</c:v>
                </c:pt>
                <c:pt idx="351" formatCode="_(&quot;$&quot;* #,##0_);_(&quot;$&quot;* \(#,##0\);_(&quot;$&quot;* &quot;-&quot;??_);_(@_)">
                  <c:v>0</c:v>
                </c:pt>
                <c:pt idx="352" formatCode="_(&quot;$&quot;* #,##0_);_(&quot;$&quot;* \(#,##0\);_(&quot;$&quot;* &quot;-&quot;??_);_(@_)">
                  <c:v>0</c:v>
                </c:pt>
                <c:pt idx="353" formatCode="_(&quot;$&quot;* #,##0_);_(&quot;$&quot;* \(#,##0\);_(&quot;$&quot;* &quot;-&quot;??_);_(@_)">
                  <c:v>0</c:v>
                </c:pt>
                <c:pt idx="354" formatCode="_(&quot;$&quot;* #,##0_);_(&quot;$&quot;* \(#,##0\);_(&quot;$&quot;* &quot;-&quot;??_);_(@_)">
                  <c:v>0</c:v>
                </c:pt>
                <c:pt idx="355" formatCode="_(&quot;$&quot;* #,##0_);_(&quot;$&quot;* \(#,##0\);_(&quot;$&quot;* &quot;-&quot;??_);_(@_)">
                  <c:v>0</c:v>
                </c:pt>
                <c:pt idx="356" formatCode="_(&quot;$&quot;* #,##0_);_(&quot;$&quot;* \(#,##0\);_(&quot;$&quot;* &quot;-&quot;??_);_(@_)">
                  <c:v>0</c:v>
                </c:pt>
                <c:pt idx="357" formatCode="_(&quot;$&quot;* #,##0_);_(&quot;$&quot;* \(#,##0\);_(&quot;$&quot;* &quot;-&quot;??_);_(@_)">
                  <c:v>0</c:v>
                </c:pt>
                <c:pt idx="358" formatCode="_(&quot;$&quot;* #,##0_);_(&quot;$&quot;* \(#,##0\);_(&quot;$&quot;* &quot;-&quot;??_);_(@_)">
                  <c:v>0</c:v>
                </c:pt>
                <c:pt idx="359" formatCode="_(&quot;$&quot;* #,##0_);_(&quot;$&quot;* \(#,##0\);_(&quot;$&quot;* &quot;-&quot;??_);_(@_)">
                  <c:v>0</c:v>
                </c:pt>
                <c:pt idx="360" formatCode="_(&quot;$&quot;* #,##0_);_(&quot;$&quot;* \(#,##0\);_(&quot;$&quot;* &quot;-&quot;??_);_(@_)">
                  <c:v>0</c:v>
                </c:pt>
                <c:pt idx="361" formatCode="_(&quot;$&quot;* #,##0_);_(&quot;$&quot;* \(#,##0\);_(&quot;$&quot;* &quot;-&quot;??_);_(@_)">
                  <c:v>0</c:v>
                </c:pt>
                <c:pt idx="362" formatCode="_(&quot;$&quot;* #,##0_);_(&quot;$&quot;* \(#,##0\);_(&quot;$&quot;* &quot;-&quot;??_);_(@_)">
                  <c:v>0</c:v>
                </c:pt>
                <c:pt idx="363" formatCode="_(&quot;$&quot;* #,##0_);_(&quot;$&quot;* \(#,##0\);_(&quot;$&quot;* &quot;-&quot;??_);_(@_)">
                  <c:v>0</c:v>
                </c:pt>
                <c:pt idx="364" formatCode="_(&quot;$&quot;* #,##0_);_(&quot;$&quot;* \(#,##0\);_(&quot;$&quot;* &quot;-&quot;??_);_(@_)">
                  <c:v>0</c:v>
                </c:pt>
                <c:pt idx="365" formatCode="_(&quot;$&quot;* #,##0_);_(&quot;$&quot;* \(#,##0\);_(&quot;$&quot;* &quot;-&quot;??_);_(@_)">
                  <c:v>0</c:v>
                </c:pt>
                <c:pt idx="366" formatCode="_(&quot;$&quot;* #,##0_);_(&quot;$&quot;* \(#,##0\);_(&quot;$&quot;* &quot;-&quot;??_);_(@_)">
                  <c:v>0</c:v>
                </c:pt>
                <c:pt idx="367" formatCode="_(&quot;$&quot;* #,##0_);_(&quot;$&quot;* \(#,##0\);_(&quot;$&quot;* &quot;-&quot;??_);_(@_)">
                  <c:v>0</c:v>
                </c:pt>
                <c:pt idx="368" formatCode="_(&quot;$&quot;* #,##0_);_(&quot;$&quot;* \(#,##0\);_(&quot;$&quot;* &quot;-&quot;??_);_(@_)">
                  <c:v>0</c:v>
                </c:pt>
                <c:pt idx="369" formatCode="_(&quot;$&quot;* #,##0_);_(&quot;$&quot;* \(#,##0\);_(&quot;$&quot;* &quot;-&quot;??_);_(@_)">
                  <c:v>0</c:v>
                </c:pt>
                <c:pt idx="370" formatCode="_(&quot;$&quot;* #,##0_);_(&quot;$&quot;* \(#,##0\);_(&quot;$&quot;* &quot;-&quot;??_);_(@_)">
                  <c:v>0</c:v>
                </c:pt>
                <c:pt idx="371" formatCode="_(&quot;$&quot;* #,##0_);_(&quot;$&quot;* \(#,##0\);_(&quot;$&quot;* &quot;-&quot;??_);_(@_)">
                  <c:v>0</c:v>
                </c:pt>
                <c:pt idx="372" formatCode="_(&quot;$&quot;* #,##0_);_(&quot;$&quot;* \(#,##0\);_(&quot;$&quot;* &quot;-&quot;??_);_(@_)">
                  <c:v>0</c:v>
                </c:pt>
                <c:pt idx="373" formatCode="_(&quot;$&quot;* #,##0_);_(&quot;$&quot;* \(#,##0\);_(&quot;$&quot;* &quot;-&quot;??_);_(@_)">
                  <c:v>0</c:v>
                </c:pt>
                <c:pt idx="374" formatCode="_(&quot;$&quot;* #,##0_);_(&quot;$&quot;* \(#,##0\);_(&quot;$&quot;* &quot;-&quot;??_);_(@_)">
                  <c:v>0</c:v>
                </c:pt>
                <c:pt idx="375" formatCode="_(&quot;$&quot;* #,##0_);_(&quot;$&quot;* \(#,##0\);_(&quot;$&quot;* &quot;-&quot;??_);_(@_)">
                  <c:v>0</c:v>
                </c:pt>
                <c:pt idx="376" formatCode="_(&quot;$&quot;* #,##0_);_(&quot;$&quot;* \(#,##0\);_(&quot;$&quot;* &quot;-&quot;??_);_(@_)">
                  <c:v>0</c:v>
                </c:pt>
                <c:pt idx="377" formatCode="_(&quot;$&quot;* #,##0_);_(&quot;$&quot;* \(#,##0\);_(&quot;$&quot;* &quot;-&quot;??_);_(@_)">
                  <c:v>0</c:v>
                </c:pt>
                <c:pt idx="378" formatCode="_(&quot;$&quot;* #,##0_);_(&quot;$&quot;* \(#,##0\);_(&quot;$&quot;* &quot;-&quot;??_);_(@_)">
                  <c:v>0</c:v>
                </c:pt>
                <c:pt idx="379" formatCode="_(&quot;$&quot;* #,##0_);_(&quot;$&quot;* \(#,##0\);_(&quot;$&quot;* &quot;-&quot;??_);_(@_)">
                  <c:v>0</c:v>
                </c:pt>
                <c:pt idx="380" formatCode="_(&quot;$&quot;* #,##0_);_(&quot;$&quot;* \(#,##0\);_(&quot;$&quot;* &quot;-&quot;??_);_(@_)">
                  <c:v>0</c:v>
                </c:pt>
                <c:pt idx="381" formatCode="_(&quot;$&quot;* #,##0_);_(&quot;$&quot;* \(#,##0\);_(&quot;$&quot;* &quot;-&quot;??_);_(@_)">
                  <c:v>0</c:v>
                </c:pt>
                <c:pt idx="382" formatCode="_(&quot;$&quot;* #,##0_);_(&quot;$&quot;* \(#,##0\);_(&quot;$&quot;* &quot;-&quot;??_);_(@_)">
                  <c:v>0</c:v>
                </c:pt>
                <c:pt idx="383" formatCode="_(&quot;$&quot;* #,##0_);_(&quot;$&quot;* \(#,##0\);_(&quot;$&quot;* &quot;-&quot;??_);_(@_)">
                  <c:v>0</c:v>
                </c:pt>
                <c:pt idx="384" formatCode="_(&quot;$&quot;* #,##0_);_(&quot;$&quot;* \(#,##0\);_(&quot;$&quot;* &quot;-&quot;??_);_(@_)">
                  <c:v>0</c:v>
                </c:pt>
                <c:pt idx="385" formatCode="_(&quot;$&quot;* #,##0_);_(&quot;$&quot;* \(#,##0\);_(&quot;$&quot;* &quot;-&quot;??_);_(@_)">
                  <c:v>0</c:v>
                </c:pt>
                <c:pt idx="386" formatCode="_(&quot;$&quot;* #,##0_);_(&quot;$&quot;* \(#,##0\);_(&quot;$&quot;* &quot;-&quot;??_);_(@_)">
                  <c:v>0</c:v>
                </c:pt>
                <c:pt idx="387" formatCode="_(&quot;$&quot;* #,##0_);_(&quot;$&quot;* \(#,##0\);_(&quot;$&quot;* &quot;-&quot;??_);_(@_)">
                  <c:v>0</c:v>
                </c:pt>
                <c:pt idx="388" formatCode="_(&quot;$&quot;* #,##0_);_(&quot;$&quot;* \(#,##0\);_(&quot;$&quot;* &quot;-&quot;??_);_(@_)">
                  <c:v>0</c:v>
                </c:pt>
                <c:pt idx="389" formatCode="_(&quot;$&quot;* #,##0_);_(&quot;$&quot;* \(#,##0\);_(&quot;$&quot;* &quot;-&quot;??_);_(@_)">
                  <c:v>0</c:v>
                </c:pt>
                <c:pt idx="390" formatCode="_(&quot;$&quot;* #,##0_);_(&quot;$&quot;* \(#,##0\);_(&quot;$&quot;* &quot;-&quot;??_);_(@_)">
                  <c:v>0</c:v>
                </c:pt>
                <c:pt idx="391" formatCode="_(&quot;$&quot;* #,##0_);_(&quot;$&quot;* \(#,##0\);_(&quot;$&quot;* &quot;-&quot;??_);_(@_)">
                  <c:v>0</c:v>
                </c:pt>
                <c:pt idx="392" formatCode="_(&quot;$&quot;* #,##0_);_(&quot;$&quot;* \(#,##0\);_(&quot;$&quot;* &quot;-&quot;??_);_(@_)">
                  <c:v>0</c:v>
                </c:pt>
                <c:pt idx="393" formatCode="_(&quot;$&quot;* #,##0_);_(&quot;$&quot;* \(#,##0\);_(&quot;$&quot;* &quot;-&quot;??_);_(@_)">
                  <c:v>0</c:v>
                </c:pt>
                <c:pt idx="394" formatCode="_(&quot;$&quot;* #,##0_);_(&quot;$&quot;* \(#,##0\);_(&quot;$&quot;* &quot;-&quot;??_);_(@_)">
                  <c:v>0</c:v>
                </c:pt>
                <c:pt idx="395" formatCode="_(&quot;$&quot;* #,##0_);_(&quot;$&quot;* \(#,##0\);_(&quot;$&quot;* &quot;-&quot;??_);_(@_)">
                  <c:v>0</c:v>
                </c:pt>
                <c:pt idx="396" formatCode="_(&quot;$&quot;* #,##0_);_(&quot;$&quot;* \(#,##0\);_(&quot;$&quot;* &quot;-&quot;??_);_(@_)">
                  <c:v>0</c:v>
                </c:pt>
                <c:pt idx="397" formatCode="_(&quot;$&quot;* #,##0_);_(&quot;$&quot;* \(#,##0\);_(&quot;$&quot;* &quot;-&quot;??_);_(@_)">
                  <c:v>0</c:v>
                </c:pt>
                <c:pt idx="398" formatCode="_(&quot;$&quot;* #,##0_);_(&quot;$&quot;* \(#,##0\);_(&quot;$&quot;* &quot;-&quot;??_);_(@_)">
                  <c:v>0</c:v>
                </c:pt>
                <c:pt idx="399" formatCode="_(&quot;$&quot;* #,##0_);_(&quot;$&quot;* \(#,##0\);_(&quot;$&quot;* &quot;-&quot;??_);_(@_)">
                  <c:v>0</c:v>
                </c:pt>
                <c:pt idx="400" formatCode="_(&quot;$&quot;* #,##0_);_(&quot;$&quot;* \(#,##0\);_(&quot;$&quot;* &quot;-&quot;??_);_(@_)">
                  <c:v>0</c:v>
                </c:pt>
                <c:pt idx="401" formatCode="_(&quot;$&quot;* #,##0_);_(&quot;$&quot;* \(#,##0\);_(&quot;$&quot;* &quot;-&quot;??_);_(@_)">
                  <c:v>0</c:v>
                </c:pt>
                <c:pt idx="402" formatCode="_(&quot;$&quot;* #,##0_);_(&quot;$&quot;* \(#,##0\);_(&quot;$&quot;* &quot;-&quot;??_);_(@_)">
                  <c:v>0</c:v>
                </c:pt>
                <c:pt idx="403" formatCode="_(&quot;$&quot;* #,##0_);_(&quot;$&quot;* \(#,##0\);_(&quot;$&quot;* &quot;-&quot;??_);_(@_)">
                  <c:v>0</c:v>
                </c:pt>
                <c:pt idx="404" formatCode="_(&quot;$&quot;* #,##0_);_(&quot;$&quot;* \(#,##0\);_(&quot;$&quot;* &quot;-&quot;??_);_(@_)">
                  <c:v>0</c:v>
                </c:pt>
                <c:pt idx="405" formatCode="_(&quot;$&quot;* #,##0_);_(&quot;$&quot;* \(#,##0\);_(&quot;$&quot;* &quot;-&quot;??_);_(@_)">
                  <c:v>0</c:v>
                </c:pt>
                <c:pt idx="406" formatCode="_(&quot;$&quot;* #,##0_);_(&quot;$&quot;* \(#,##0\);_(&quot;$&quot;* &quot;-&quot;??_);_(@_)">
                  <c:v>0</c:v>
                </c:pt>
                <c:pt idx="407" formatCode="_(&quot;$&quot;* #,##0_);_(&quot;$&quot;* \(#,##0\);_(&quot;$&quot;* &quot;-&quot;??_);_(@_)">
                  <c:v>0</c:v>
                </c:pt>
                <c:pt idx="408" formatCode="_(&quot;$&quot;* #,##0_);_(&quot;$&quot;* \(#,##0\);_(&quot;$&quot;* &quot;-&quot;??_);_(@_)">
                  <c:v>0</c:v>
                </c:pt>
                <c:pt idx="409" formatCode="_(&quot;$&quot;* #,##0_);_(&quot;$&quot;* \(#,##0\);_(&quot;$&quot;* &quot;-&quot;??_);_(@_)">
                  <c:v>0</c:v>
                </c:pt>
                <c:pt idx="410" formatCode="_(&quot;$&quot;* #,##0_);_(&quot;$&quot;* \(#,##0\);_(&quot;$&quot;* &quot;-&quot;??_);_(@_)">
                  <c:v>0</c:v>
                </c:pt>
                <c:pt idx="411" formatCode="_(&quot;$&quot;* #,##0_);_(&quot;$&quot;* \(#,##0\);_(&quot;$&quot;* &quot;-&quot;??_);_(@_)">
                  <c:v>0</c:v>
                </c:pt>
                <c:pt idx="412" formatCode="_(&quot;$&quot;* #,##0_);_(&quot;$&quot;* \(#,##0\);_(&quot;$&quot;* &quot;-&quot;??_);_(@_)">
                  <c:v>0</c:v>
                </c:pt>
                <c:pt idx="413" formatCode="_(&quot;$&quot;* #,##0_);_(&quot;$&quot;* \(#,##0\);_(&quot;$&quot;* &quot;-&quot;??_);_(@_)">
                  <c:v>0</c:v>
                </c:pt>
                <c:pt idx="414" formatCode="_(&quot;$&quot;* #,##0_);_(&quot;$&quot;* \(#,##0\);_(&quot;$&quot;* &quot;-&quot;??_);_(@_)">
                  <c:v>0</c:v>
                </c:pt>
                <c:pt idx="415" formatCode="_(&quot;$&quot;* #,##0_);_(&quot;$&quot;* \(#,##0\);_(&quot;$&quot;* &quot;-&quot;??_);_(@_)">
                  <c:v>0</c:v>
                </c:pt>
                <c:pt idx="416" formatCode="_(&quot;$&quot;* #,##0_);_(&quot;$&quot;* \(#,##0\);_(&quot;$&quot;* &quot;-&quot;??_);_(@_)">
                  <c:v>0</c:v>
                </c:pt>
                <c:pt idx="417" formatCode="_(&quot;$&quot;* #,##0_);_(&quot;$&quot;* \(#,##0\);_(&quot;$&quot;* &quot;-&quot;??_);_(@_)">
                  <c:v>0</c:v>
                </c:pt>
                <c:pt idx="418" formatCode="_(&quot;$&quot;* #,##0_);_(&quot;$&quot;* \(#,##0\);_(&quot;$&quot;* &quot;-&quot;??_);_(@_)">
                  <c:v>0</c:v>
                </c:pt>
                <c:pt idx="419" formatCode="_(&quot;$&quot;* #,##0_);_(&quot;$&quot;* \(#,##0\);_(&quot;$&quot;* &quot;-&quot;??_);_(@_)">
                  <c:v>0</c:v>
                </c:pt>
                <c:pt idx="420" formatCode="_(&quot;$&quot;* #,##0_);_(&quot;$&quot;* \(#,##0\);_(&quot;$&quot;* &quot;-&quot;??_);_(@_)">
                  <c:v>0</c:v>
                </c:pt>
                <c:pt idx="421" formatCode="_(&quot;$&quot;* #,##0_);_(&quot;$&quot;* \(#,##0\);_(&quot;$&quot;* &quot;-&quot;??_);_(@_)">
                  <c:v>0</c:v>
                </c:pt>
                <c:pt idx="422" formatCode="_(&quot;$&quot;* #,##0_);_(&quot;$&quot;* \(#,##0\);_(&quot;$&quot;* &quot;-&quot;??_);_(@_)">
                  <c:v>0</c:v>
                </c:pt>
                <c:pt idx="423" formatCode="_(&quot;$&quot;* #,##0_);_(&quot;$&quot;* \(#,##0\);_(&quot;$&quot;* &quot;-&quot;??_);_(@_)">
                  <c:v>0</c:v>
                </c:pt>
                <c:pt idx="424" formatCode="_(&quot;$&quot;* #,##0_);_(&quot;$&quot;* \(#,##0\);_(&quot;$&quot;* &quot;-&quot;??_);_(@_)">
                  <c:v>0</c:v>
                </c:pt>
                <c:pt idx="425" formatCode="_(&quot;$&quot;* #,##0_);_(&quot;$&quot;* \(#,##0\);_(&quot;$&quot;* &quot;-&quot;??_);_(@_)">
                  <c:v>0</c:v>
                </c:pt>
                <c:pt idx="426" formatCode="_(&quot;$&quot;* #,##0_);_(&quot;$&quot;* \(#,##0\);_(&quot;$&quot;* &quot;-&quot;??_);_(@_)">
                  <c:v>0</c:v>
                </c:pt>
                <c:pt idx="427" formatCode="_(&quot;$&quot;* #,##0_);_(&quot;$&quot;* \(#,##0\);_(&quot;$&quot;* &quot;-&quot;??_);_(@_)">
                  <c:v>0</c:v>
                </c:pt>
                <c:pt idx="428" formatCode="_(&quot;$&quot;* #,##0_);_(&quot;$&quot;* \(#,##0\);_(&quot;$&quot;* &quot;-&quot;??_);_(@_)">
                  <c:v>0</c:v>
                </c:pt>
                <c:pt idx="429" formatCode="_(&quot;$&quot;* #,##0_);_(&quot;$&quot;* \(#,##0\);_(&quot;$&quot;* &quot;-&quot;??_);_(@_)">
                  <c:v>0</c:v>
                </c:pt>
                <c:pt idx="430" formatCode="_(&quot;$&quot;* #,##0_);_(&quot;$&quot;* \(#,##0\);_(&quot;$&quot;* &quot;-&quot;??_);_(@_)">
                  <c:v>0</c:v>
                </c:pt>
                <c:pt idx="431" formatCode="_(&quot;$&quot;* #,##0_);_(&quot;$&quot;* \(#,##0\);_(&quot;$&quot;* &quot;-&quot;??_);_(@_)">
                  <c:v>0</c:v>
                </c:pt>
                <c:pt idx="432" formatCode="_(&quot;$&quot;* #,##0_);_(&quot;$&quot;* \(#,##0\);_(&quot;$&quot;* &quot;-&quot;??_);_(@_)">
                  <c:v>0</c:v>
                </c:pt>
                <c:pt idx="433" formatCode="_(&quot;$&quot;* #,##0_);_(&quot;$&quot;* \(#,##0\);_(&quot;$&quot;* &quot;-&quot;??_);_(@_)">
                  <c:v>0</c:v>
                </c:pt>
                <c:pt idx="434" formatCode="_(&quot;$&quot;* #,##0_);_(&quot;$&quot;* \(#,##0\);_(&quot;$&quot;* &quot;-&quot;??_);_(@_)">
                  <c:v>0</c:v>
                </c:pt>
                <c:pt idx="435" formatCode="_(&quot;$&quot;* #,##0_);_(&quot;$&quot;* \(#,##0\);_(&quot;$&quot;* &quot;-&quot;??_);_(@_)">
                  <c:v>0</c:v>
                </c:pt>
                <c:pt idx="436" formatCode="_(&quot;$&quot;* #,##0_);_(&quot;$&quot;* \(#,##0\);_(&quot;$&quot;* &quot;-&quot;??_);_(@_)">
                  <c:v>0</c:v>
                </c:pt>
                <c:pt idx="437" formatCode="_(&quot;$&quot;* #,##0_);_(&quot;$&quot;* \(#,##0\);_(&quot;$&quot;* &quot;-&quot;??_);_(@_)">
                  <c:v>0</c:v>
                </c:pt>
                <c:pt idx="438" formatCode="_(&quot;$&quot;* #,##0_);_(&quot;$&quot;* \(#,##0\);_(&quot;$&quot;* &quot;-&quot;??_);_(@_)">
                  <c:v>0</c:v>
                </c:pt>
                <c:pt idx="439" formatCode="_(&quot;$&quot;* #,##0_);_(&quot;$&quot;* \(#,##0\);_(&quot;$&quot;* &quot;-&quot;??_);_(@_)">
                  <c:v>0</c:v>
                </c:pt>
                <c:pt idx="440" formatCode="_(&quot;$&quot;* #,##0_);_(&quot;$&quot;* \(#,##0\);_(&quot;$&quot;* &quot;-&quot;??_);_(@_)">
                  <c:v>0</c:v>
                </c:pt>
                <c:pt idx="441" formatCode="_(&quot;$&quot;* #,##0_);_(&quot;$&quot;* \(#,##0\);_(&quot;$&quot;* &quot;-&quot;??_);_(@_)">
                  <c:v>0</c:v>
                </c:pt>
                <c:pt idx="442" formatCode="_(&quot;$&quot;* #,##0_);_(&quot;$&quot;* \(#,##0\);_(&quot;$&quot;* &quot;-&quot;??_);_(@_)">
                  <c:v>0</c:v>
                </c:pt>
                <c:pt idx="443" formatCode="_(&quot;$&quot;* #,##0_);_(&quot;$&quot;* \(#,##0\);_(&quot;$&quot;* &quot;-&quot;??_);_(@_)">
                  <c:v>0</c:v>
                </c:pt>
                <c:pt idx="444" formatCode="_(&quot;$&quot;* #,##0_);_(&quot;$&quot;* \(#,##0\);_(&quot;$&quot;* &quot;-&quot;??_);_(@_)">
                  <c:v>0</c:v>
                </c:pt>
                <c:pt idx="445" formatCode="_(&quot;$&quot;* #,##0_);_(&quot;$&quot;* \(#,##0\);_(&quot;$&quot;* &quot;-&quot;??_);_(@_)">
                  <c:v>0</c:v>
                </c:pt>
                <c:pt idx="446" formatCode="_(&quot;$&quot;* #,##0_);_(&quot;$&quot;* \(#,##0\);_(&quot;$&quot;* &quot;-&quot;??_);_(@_)">
                  <c:v>0</c:v>
                </c:pt>
                <c:pt idx="447" formatCode="_(&quot;$&quot;* #,##0_);_(&quot;$&quot;* \(#,##0\);_(&quot;$&quot;* &quot;-&quot;??_);_(@_)">
                  <c:v>0</c:v>
                </c:pt>
                <c:pt idx="448" formatCode="_(&quot;$&quot;* #,##0_);_(&quot;$&quot;* \(#,##0\);_(&quot;$&quot;* &quot;-&quot;??_);_(@_)">
                  <c:v>0</c:v>
                </c:pt>
                <c:pt idx="449" formatCode="_(&quot;$&quot;* #,##0_);_(&quot;$&quot;* \(#,##0\);_(&quot;$&quot;* &quot;-&quot;??_);_(@_)">
                  <c:v>0</c:v>
                </c:pt>
                <c:pt idx="450" formatCode="_(&quot;$&quot;* #,##0_);_(&quot;$&quot;* \(#,##0\);_(&quot;$&quot;* &quot;-&quot;??_);_(@_)">
                  <c:v>0</c:v>
                </c:pt>
                <c:pt idx="451" formatCode="_(&quot;$&quot;* #,##0_);_(&quot;$&quot;* \(#,##0\);_(&quot;$&quot;* &quot;-&quot;??_);_(@_)">
                  <c:v>0</c:v>
                </c:pt>
                <c:pt idx="452" formatCode="_(&quot;$&quot;* #,##0_);_(&quot;$&quot;* \(#,##0\);_(&quot;$&quot;* &quot;-&quot;??_);_(@_)">
                  <c:v>0</c:v>
                </c:pt>
                <c:pt idx="453" formatCode="_(&quot;$&quot;* #,##0_);_(&quot;$&quot;* \(#,##0\);_(&quot;$&quot;* &quot;-&quot;??_);_(@_)">
                  <c:v>0</c:v>
                </c:pt>
                <c:pt idx="454" formatCode="_(&quot;$&quot;* #,##0_);_(&quot;$&quot;* \(#,##0\);_(&quot;$&quot;* &quot;-&quot;??_);_(@_)">
                  <c:v>0</c:v>
                </c:pt>
                <c:pt idx="455" formatCode="_(&quot;$&quot;* #,##0_);_(&quot;$&quot;* \(#,##0\);_(&quot;$&quot;* &quot;-&quot;??_);_(@_)">
                  <c:v>0</c:v>
                </c:pt>
                <c:pt idx="456" formatCode="_(&quot;$&quot;* #,##0_);_(&quot;$&quot;* \(#,##0\);_(&quot;$&quot;* &quot;-&quot;??_);_(@_)">
                  <c:v>0</c:v>
                </c:pt>
                <c:pt idx="457" formatCode="_(&quot;$&quot;* #,##0_);_(&quot;$&quot;* \(#,##0\);_(&quot;$&quot;* &quot;-&quot;??_);_(@_)">
                  <c:v>0</c:v>
                </c:pt>
                <c:pt idx="458" formatCode="_(&quot;$&quot;* #,##0_);_(&quot;$&quot;* \(#,##0\);_(&quot;$&quot;* &quot;-&quot;??_);_(@_)">
                  <c:v>0</c:v>
                </c:pt>
                <c:pt idx="459" formatCode="_(&quot;$&quot;* #,##0_);_(&quot;$&quot;* \(#,##0\);_(&quot;$&quot;* &quot;-&quot;??_);_(@_)">
                  <c:v>0</c:v>
                </c:pt>
                <c:pt idx="460" formatCode="_(&quot;$&quot;* #,##0_);_(&quot;$&quot;* \(#,##0\);_(&quot;$&quot;* &quot;-&quot;??_);_(@_)">
                  <c:v>0</c:v>
                </c:pt>
                <c:pt idx="461" formatCode="_(&quot;$&quot;* #,##0_);_(&quot;$&quot;* \(#,##0\);_(&quot;$&quot;* &quot;-&quot;??_);_(@_)">
                  <c:v>0</c:v>
                </c:pt>
              </c:numCache>
            </c:numRef>
          </c:val>
          <c:extLst>
            <c:ext xmlns:c16="http://schemas.microsoft.com/office/drawing/2014/chart" uri="{C3380CC4-5D6E-409C-BE32-E72D297353CC}">
              <c16:uniqueId val="{00000005-8C9A-46DD-B9D1-826A2BCE4EC8}"/>
            </c:ext>
          </c:extLst>
        </c:ser>
        <c:dLbls>
          <c:showLegendKey val="0"/>
          <c:showVal val="0"/>
          <c:showCatName val="0"/>
          <c:showSerName val="0"/>
          <c:showPercent val="0"/>
          <c:showBubbleSize val="0"/>
        </c:dLbls>
        <c:gapWidth val="0"/>
        <c:overlap val="100"/>
        <c:axId val="1055998655"/>
        <c:axId val="278559823"/>
      </c:barChart>
      <c:scatterChart>
        <c:scatterStyle val="lineMarker"/>
        <c:varyColors val="0"/>
        <c:ser>
          <c:idx val="0"/>
          <c:order val="0"/>
          <c:spPr>
            <a:ln w="25400" cap="rnd">
              <a:noFill/>
              <a:round/>
            </a:ln>
            <a:effectLst/>
          </c:spPr>
          <c:marker>
            <c:symbol val="none"/>
          </c:marker>
          <c:errBars>
            <c:errDir val="y"/>
            <c:errBarType val="minus"/>
            <c:errValType val="cust"/>
            <c:noEndCap val="1"/>
            <c:plus>
              <c:numLit>
                <c:formatCode>General</c:formatCode>
                <c:ptCount val="1"/>
                <c:pt idx="0">
                  <c:v>1</c:v>
                </c:pt>
              </c:numLit>
            </c:plus>
            <c:minus>
              <c:numRef>
                <c:f>'Cement Cost Model-Vietnam'!$K$178:$K$184</c:f>
                <c:numCache>
                  <c:formatCode>_(* #,##0.00_);_(* \(#,##0.00\);_(* "-"??_);_(@_)</c:formatCode>
                  <c:ptCount val="7"/>
                  <c:pt idx="1">
                    <c:v>10.956379766783472</c:v>
                  </c:pt>
                  <c:pt idx="2">
                    <c:v>0.46283287500000014</c:v>
                  </c:pt>
                  <c:pt idx="3">
                    <c:v>5.4716020255253444</c:v>
                  </c:pt>
                  <c:pt idx="4">
                    <c:v>1.6661983499999984</c:v>
                  </c:pt>
                  <c:pt idx="5">
                    <c:v>6.0168273750000019</c:v>
                  </c:pt>
                  <c:pt idx="6">
                    <c:v>28.974900000000005</c:v>
                  </c:pt>
                </c:numCache>
              </c:numRef>
            </c:minus>
            <c:spPr>
              <a:noFill/>
              <a:ln w="9525" cap="flat" cmpd="sng" algn="ctr">
                <a:solidFill>
                  <a:schemeClr val="tx1">
                    <a:lumMod val="65000"/>
                    <a:lumOff val="35000"/>
                  </a:schemeClr>
                </a:solidFill>
                <a:round/>
              </a:ln>
              <a:effectLst/>
            </c:spPr>
          </c:errBars>
          <c:xVal>
            <c:numRef>
              <c:f>'Cement Cost Model-Vietnam'!$I$178:$I$184</c:f>
              <c:numCache>
                <c:formatCode>_(* #,##0.00_);_(* \(#,##0.00\);_(* "-"??_);_(@_)</c:formatCode>
                <c:ptCount val="7"/>
                <c:pt idx="0" formatCode="General">
                  <c:v>0</c:v>
                </c:pt>
                <c:pt idx="1">
                  <c:v>10.956379766783472</c:v>
                </c:pt>
                <c:pt idx="2">
                  <c:v>11.419212641783473</c:v>
                </c:pt>
                <c:pt idx="3">
                  <c:v>16.890814667308817</c:v>
                </c:pt>
                <c:pt idx="4">
                  <c:v>18.557013017308815</c:v>
                </c:pt>
                <c:pt idx="5">
                  <c:v>24.573840392308817</c:v>
                </c:pt>
                <c:pt idx="6">
                  <c:v>53.548740392308822</c:v>
                </c:pt>
              </c:numCache>
            </c:numRef>
          </c:xVal>
          <c:yVal>
            <c:numRef>
              <c:f>'Cement Cost Model-Vietnam'!$J$178:$J$184</c:f>
              <c:numCache>
                <c:formatCode>_("$"* #,##0_);_("$"* \(#,##0\);_("$"* "-"??_);_(@_)</c:formatCode>
                <c:ptCount val="7"/>
                <c:pt idx="0">
                  <c:v>0</c:v>
                </c:pt>
                <c:pt idx="1">
                  <c:v>0</c:v>
                </c:pt>
                <c:pt idx="2">
                  <c:v>53.315145989642602</c:v>
                </c:pt>
                <c:pt idx="3">
                  <c:v>0</c:v>
                </c:pt>
                <c:pt idx="4">
                  <c:v>91.920265371763676</c:v>
                </c:pt>
                <c:pt idx="5">
                  <c:v>0</c:v>
                </c:pt>
                <c:pt idx="6">
                  <c:v>0</c:v>
                </c:pt>
              </c:numCache>
            </c:numRef>
          </c:yVal>
          <c:smooth val="0"/>
          <c:extLst>
            <c:ext xmlns:c16="http://schemas.microsoft.com/office/drawing/2014/chart" uri="{C3380CC4-5D6E-409C-BE32-E72D297353CC}">
              <c16:uniqueId val="{00000000-24BB-47AB-905B-F84123A1E57C}"/>
            </c:ext>
          </c:extLst>
        </c:ser>
        <c:dLbls>
          <c:showLegendKey val="0"/>
          <c:showVal val="0"/>
          <c:showCatName val="0"/>
          <c:showSerName val="0"/>
          <c:showPercent val="0"/>
          <c:showBubbleSize val="0"/>
        </c:dLbls>
        <c:axId val="1255449551"/>
        <c:axId val="1085702831"/>
      </c:scatterChart>
      <c:valAx>
        <c:axId val="1255449551"/>
        <c:scaling>
          <c:orientation val="minMax"/>
          <c:max val="23"/>
          <c:min val="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Avoided CO</a:t>
                </a:r>
                <a:r>
                  <a:rPr lang="en-US" baseline="-25000"/>
                  <a:t>2</a:t>
                </a:r>
                <a:r>
                  <a:rPr lang="en-US"/>
                  <a:t> Emissions in 2060 (MtCO</a:t>
                </a:r>
                <a:r>
                  <a:rPr lang="en-US" baseline="-25000"/>
                  <a:t>2</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85702831"/>
        <c:crosses val="autoZero"/>
        <c:crossBetween val="midCat"/>
      </c:valAx>
      <c:valAx>
        <c:axId val="1085702831"/>
        <c:scaling>
          <c:orientation val="minMax"/>
          <c:max val="500"/>
          <c:min val="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Marginal Abatement Cost in 2060 ($/tCO2)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55449551"/>
        <c:crosses val="autoZero"/>
        <c:crossBetween val="midCat"/>
      </c:valAx>
      <c:valAx>
        <c:axId val="278559823"/>
        <c:scaling>
          <c:orientation val="minMax"/>
        </c:scaling>
        <c:delete val="1"/>
        <c:axPos val="r"/>
        <c:numFmt formatCode="_(&quot;$&quot;* #,##0_);_(&quot;$&quot;* \(#,##0\);_(&quot;$&quot;* &quot;-&quot;??_);_(@_)" sourceLinked="1"/>
        <c:majorTickMark val="out"/>
        <c:minorTickMark val="none"/>
        <c:tickLblPos val="nextTo"/>
        <c:crossAx val="1055998655"/>
        <c:crosses val="max"/>
        <c:crossBetween val="between"/>
      </c:valAx>
      <c:catAx>
        <c:axId val="1055998655"/>
        <c:scaling>
          <c:orientation val="minMax"/>
        </c:scaling>
        <c:delete val="1"/>
        <c:axPos val="b"/>
        <c:numFmt formatCode="General" sourceLinked="1"/>
        <c:majorTickMark val="out"/>
        <c:minorTickMark val="none"/>
        <c:tickLblPos val="nextTo"/>
        <c:crossAx val="278559823"/>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b="1"/>
              <a:t>Cumulative Investment (CAPEX) Needs for </a:t>
            </a:r>
          </a:p>
          <a:p>
            <a:pPr>
              <a:defRPr/>
            </a:pPr>
            <a:r>
              <a:rPr lang="en-US" b="1"/>
              <a:t>Vietnam's Cement Industry Energy Transition</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56268345336391"/>
          <c:y val="0.17389093585681473"/>
          <c:w val="0.45999122797708247"/>
          <c:h val="0.76502519110125933"/>
        </c:manualLayout>
      </c:layout>
      <c:barChart>
        <c:barDir val="col"/>
        <c:grouping val="stacked"/>
        <c:varyColors val="0"/>
        <c:ser>
          <c:idx val="4"/>
          <c:order val="0"/>
          <c:tx>
            <c:strRef>
              <c:f>'Cement Cost Model-Vietnam'!$A$91</c:f>
              <c:strCache>
                <c:ptCount val="1"/>
                <c:pt idx="0">
                  <c:v>Energy Efficiency</c:v>
                </c:pt>
              </c:strCache>
            </c:strRef>
          </c:tx>
          <c:spPr>
            <a:solidFill>
              <a:schemeClr val="accent5">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Model-Vietnam'!$B$91:$C$91</c:f>
              <c:numCache>
                <c:formatCode>_(* #,##0.0_);_(* \(#,##0.0\);_(* "-"??_);_(@_)</c:formatCode>
                <c:ptCount val="2"/>
                <c:pt idx="0">
                  <c:v>0.89694111217447903</c:v>
                </c:pt>
                <c:pt idx="1">
                  <c:v>3.31028674623562</c:v>
                </c:pt>
              </c:numCache>
            </c:numRef>
          </c:val>
          <c:extLst>
            <c:ext xmlns:c16="http://schemas.microsoft.com/office/drawing/2014/chart" uri="{C3380CC4-5D6E-409C-BE32-E72D297353CC}">
              <c16:uniqueId val="{00000000-D448-4292-B305-19505051AEB5}"/>
            </c:ext>
          </c:extLst>
        </c:ser>
        <c:ser>
          <c:idx val="2"/>
          <c:order val="1"/>
          <c:tx>
            <c:strRef>
              <c:f>'Cement Cost Model-Vietnam'!$A$93</c:f>
              <c:strCache>
                <c:ptCount val="1"/>
                <c:pt idx="0">
                  <c:v>Calcined Clay (CAEPX for kilns)</c:v>
                </c:pt>
              </c:strCache>
            </c:strRef>
          </c:tx>
          <c:spPr>
            <a:solidFill>
              <a:schemeClr val="accent5">
                <a:lumMod val="60000"/>
                <a:lumOff val="4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Model-Vietnam'!$B$93:$C$93</c:f>
              <c:numCache>
                <c:formatCode>_(* #,##0.0_);_(* \(#,##0.0\);_(* "-"??_);_(@_)</c:formatCode>
                <c:ptCount val="2"/>
                <c:pt idx="0">
                  <c:v>0.25311</c:v>
                </c:pt>
                <c:pt idx="1">
                  <c:v>0.95572034999999977</c:v>
                </c:pt>
              </c:numCache>
            </c:numRef>
          </c:val>
          <c:extLst>
            <c:ext xmlns:c16="http://schemas.microsoft.com/office/drawing/2014/chart" uri="{C3380CC4-5D6E-409C-BE32-E72D297353CC}">
              <c16:uniqueId val="{00000001-D448-4292-B305-19505051AEB5}"/>
            </c:ext>
          </c:extLst>
        </c:ser>
        <c:ser>
          <c:idx val="8"/>
          <c:order val="2"/>
          <c:tx>
            <c:strRef>
              <c:f>'Cement Cost Model-Vietnam'!$A$94</c:f>
              <c:strCache>
                <c:ptCount val="1"/>
                <c:pt idx="0">
                  <c:v>Calcined Clay (CAPEX for storage)</c:v>
                </c:pt>
              </c:strCache>
            </c:strRef>
          </c:tx>
          <c:spPr>
            <a:solidFill>
              <a:schemeClr val="accent5">
                <a:lumMod val="20000"/>
                <a:lumOff val="8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Model-Vietnam'!$B$94:$C$94</c:f>
              <c:numCache>
                <c:formatCode>_(* #,##0.0_);_(* \(#,##0.0\);_(* "-"??_);_(@_)</c:formatCode>
                <c:ptCount val="2"/>
                <c:pt idx="0">
                  <c:v>0.25311</c:v>
                </c:pt>
                <c:pt idx="1">
                  <c:v>0.95572034999999977</c:v>
                </c:pt>
              </c:numCache>
            </c:numRef>
          </c:val>
          <c:extLst>
            <c:ext xmlns:c16="http://schemas.microsoft.com/office/drawing/2014/chart" uri="{C3380CC4-5D6E-409C-BE32-E72D297353CC}">
              <c16:uniqueId val="{00000002-D448-4292-B305-19505051AEB5}"/>
            </c:ext>
          </c:extLst>
        </c:ser>
        <c:ser>
          <c:idx val="11"/>
          <c:order val="3"/>
          <c:tx>
            <c:strRef>
              <c:f>'Cement Cost Model-Vietnam'!$A$96</c:f>
              <c:strCache>
                <c:ptCount val="1"/>
                <c:pt idx="0">
                  <c:v>Industrial and solid wastes </c:v>
                </c:pt>
              </c:strCache>
            </c:strRef>
          </c:tx>
          <c:spPr>
            <a:solidFill>
              <a:schemeClr val="accent2"/>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Model-Vietnam'!$B$96:$C$96</c:f>
              <c:numCache>
                <c:formatCode>_(* #,##0.0_);_(* \(#,##0.0\);_(* "-"??_);_(@_)</c:formatCode>
                <c:ptCount val="2"/>
                <c:pt idx="0">
                  <c:v>0.12404750000000002</c:v>
                </c:pt>
                <c:pt idx="1">
                  <c:v>0.31088869999999996</c:v>
                </c:pt>
              </c:numCache>
            </c:numRef>
          </c:val>
          <c:extLst>
            <c:ext xmlns:c16="http://schemas.microsoft.com/office/drawing/2014/chart" uri="{C3380CC4-5D6E-409C-BE32-E72D297353CC}">
              <c16:uniqueId val="{00000003-D448-4292-B305-19505051AEB5}"/>
            </c:ext>
          </c:extLst>
        </c:ser>
        <c:ser>
          <c:idx val="3"/>
          <c:order val="4"/>
          <c:tx>
            <c:strRef>
              <c:f>'Cement Cost Model-Vietnam'!$A$97</c:f>
              <c:strCache>
                <c:ptCount val="1"/>
                <c:pt idx="0">
                  <c:v>Biomass </c:v>
                </c:pt>
              </c:strCache>
            </c:strRef>
          </c:tx>
          <c:spPr>
            <a:solidFill>
              <a:schemeClr val="accent4"/>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Model-Vietnam'!$B$97:$C$97</c:f>
              <c:numCache>
                <c:formatCode>_(* #,##0.0_);_(* \(#,##0.0\);_(* "-"??_);_(@_)</c:formatCode>
                <c:ptCount val="2"/>
                <c:pt idx="0">
                  <c:v>4.0562500000000008E-2</c:v>
                </c:pt>
                <c:pt idx="1">
                  <c:v>9.4252500000000003E-2</c:v>
                </c:pt>
              </c:numCache>
            </c:numRef>
          </c:val>
          <c:extLst>
            <c:ext xmlns:c16="http://schemas.microsoft.com/office/drawing/2014/chart" uri="{C3380CC4-5D6E-409C-BE32-E72D297353CC}">
              <c16:uniqueId val="{00000004-D448-4292-B305-19505051AEB5}"/>
            </c:ext>
          </c:extLst>
        </c:ser>
        <c:ser>
          <c:idx val="0"/>
          <c:order val="5"/>
          <c:tx>
            <c:strRef>
              <c:f>'Cement Cost Model-Vietnam'!$A$98</c:f>
              <c:strCache>
                <c:ptCount val="1"/>
                <c:pt idx="0">
                  <c:v>H2 Injection</c:v>
                </c:pt>
              </c:strCache>
            </c:strRef>
          </c:tx>
          <c:spPr>
            <a:solidFill>
              <a:schemeClr val="accent6">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Model-Vietnam'!$B$98:$C$98</c:f>
              <c:numCache>
                <c:formatCode>_(* #,##0.0_);_(* \(#,##0.0\);_(* "-"??_);_(@_)</c:formatCode>
                <c:ptCount val="2"/>
                <c:pt idx="0">
                  <c:v>1.1123160296875E-2</c:v>
                </c:pt>
                <c:pt idx="1">
                  <c:v>9.226155868062498E-2</c:v>
                </c:pt>
              </c:numCache>
            </c:numRef>
          </c:val>
          <c:extLst>
            <c:ext xmlns:c16="http://schemas.microsoft.com/office/drawing/2014/chart" uri="{C3380CC4-5D6E-409C-BE32-E72D297353CC}">
              <c16:uniqueId val="{00000005-D448-4292-B305-19505051AEB5}"/>
            </c:ext>
          </c:extLst>
        </c:ser>
        <c:ser>
          <c:idx val="6"/>
          <c:order val="7"/>
          <c:tx>
            <c:strRef>
              <c:f>'Cement Cost Model-Vietnam'!$A$101</c:f>
              <c:strCache>
                <c:ptCount val="1"/>
                <c:pt idx="0">
                  <c:v>Electrolyzers for H2 Production (renewables)</c:v>
                </c:pt>
              </c:strCache>
            </c:strRef>
          </c:tx>
          <c:spPr>
            <a:solidFill>
              <a:schemeClr val="accent6">
                <a:lumMod val="60000"/>
                <a:lumOff val="40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Model-Vietnam'!$B$101:$C$101</c:f>
              <c:numCache>
                <c:formatCode>_(* #,##0.0_);_(* \(#,##0.0\);_(* "-"??_);_(@_)</c:formatCode>
                <c:ptCount val="2"/>
                <c:pt idx="0">
                  <c:v>0.71982020547945191</c:v>
                </c:pt>
                <c:pt idx="1">
                  <c:v>1.7403847369240351</c:v>
                </c:pt>
              </c:numCache>
            </c:numRef>
          </c:val>
          <c:extLst>
            <c:ext xmlns:c16="http://schemas.microsoft.com/office/drawing/2014/chart" uri="{C3380CC4-5D6E-409C-BE32-E72D297353CC}">
              <c16:uniqueId val="{00000006-D448-4292-B305-19505051AEB5}"/>
            </c:ext>
          </c:extLst>
        </c:ser>
        <c:ser>
          <c:idx val="13"/>
          <c:order val="9"/>
          <c:tx>
            <c:strRef>
              <c:f>'Cement Cost Model-Vietnam'!$A$104</c:f>
              <c:strCache>
                <c:ptCount val="1"/>
                <c:pt idx="0">
                  <c:v>CCS</c:v>
                </c:pt>
              </c:strCache>
            </c:strRef>
          </c:tx>
          <c:spPr>
            <a:solidFill>
              <a:schemeClr val="bg2">
                <a:lumMod val="75000"/>
              </a:schemeClr>
            </a:solidFill>
            <a:ln>
              <a:solidFill>
                <a:schemeClr val="tx1"/>
              </a:solidFill>
            </a:ln>
            <a:effectLst/>
          </c:spPr>
          <c:invertIfNegative val="0"/>
          <c:cat>
            <c:numRef>
              <c:f>'Cement Cost Model-Vietnam'!$B$90:$C$90</c:f>
              <c:numCache>
                <c:formatCode>General</c:formatCode>
                <c:ptCount val="2"/>
                <c:pt idx="0">
                  <c:v>2030</c:v>
                </c:pt>
                <c:pt idx="1">
                  <c:v>2050</c:v>
                </c:pt>
              </c:numCache>
            </c:numRef>
          </c:cat>
          <c:val>
            <c:numRef>
              <c:f>'Cement Cost Model-Vietnam'!$B$104:$C$104</c:f>
              <c:numCache>
                <c:formatCode>_(* #,##0.0_);_(* \(#,##0.0\);_(* "-"??_);_(@_)</c:formatCode>
                <c:ptCount val="2"/>
                <c:pt idx="0">
                  <c:v>0.89237500000000003</c:v>
                </c:pt>
                <c:pt idx="1">
                  <c:v>35.135237500000002</c:v>
                </c:pt>
              </c:numCache>
            </c:numRef>
          </c:val>
          <c:extLst>
            <c:ext xmlns:c16="http://schemas.microsoft.com/office/drawing/2014/chart" uri="{C3380CC4-5D6E-409C-BE32-E72D297353CC}">
              <c16:uniqueId val="{00000008-D448-4292-B305-19505051AEB5}"/>
            </c:ext>
          </c:extLst>
        </c:ser>
        <c:dLbls>
          <c:showLegendKey val="0"/>
          <c:showVal val="0"/>
          <c:showCatName val="0"/>
          <c:showSerName val="0"/>
          <c:showPercent val="0"/>
          <c:showBubbleSize val="0"/>
        </c:dLbls>
        <c:gapWidth val="55"/>
        <c:overlap val="100"/>
        <c:axId val="695306704"/>
        <c:axId val="722281296"/>
        <c:extLst>
          <c:ext xmlns:c15="http://schemas.microsoft.com/office/drawing/2012/chart" uri="{02D57815-91ED-43cb-92C2-25804820EDAC}">
            <c15:filteredBarSeries>
              <c15:ser>
                <c:idx val="1"/>
                <c:order val="6"/>
                <c:tx>
                  <c:strRef>
                    <c:extLst>
                      <c:ext uri="{02D57815-91ED-43cb-92C2-25804820EDAC}">
                        <c15:formulaRef>
                          <c15:sqref>'Cement Cost Model-Vietnam'!$A$100</c15:sqref>
                        </c15:formulaRef>
                      </c:ext>
                    </c:extLst>
                    <c:strCache>
                      <c:ptCount val="1"/>
                      <c:pt idx="0">
                        <c:v>Electrolyzers for H2 Production (utility plants)</c:v>
                      </c:pt>
                    </c:strCache>
                  </c:strRef>
                </c:tx>
                <c:spPr>
                  <a:solidFill>
                    <a:schemeClr val="accent2"/>
                  </a:solidFill>
                  <a:ln>
                    <a:noFill/>
                  </a:ln>
                  <a:effectLst/>
                </c:spPr>
                <c:invertIfNegative val="0"/>
                <c:cat>
                  <c:numRef>
                    <c:extLst>
                      <c:ext uri="{02D57815-91ED-43cb-92C2-25804820EDAC}">
                        <c15:formulaRef>
                          <c15:sqref>'Cement Cost Model-Vietnam'!$B$90:$C$90</c15:sqref>
                        </c15:formulaRef>
                      </c:ext>
                    </c:extLst>
                    <c:numCache>
                      <c:formatCode>General</c:formatCode>
                      <c:ptCount val="2"/>
                      <c:pt idx="0">
                        <c:v>2030</c:v>
                      </c:pt>
                      <c:pt idx="1">
                        <c:v>2050</c:v>
                      </c:pt>
                    </c:numCache>
                  </c:numRef>
                </c:cat>
                <c:val>
                  <c:numRef>
                    <c:extLst>
                      <c:ext uri="{02D57815-91ED-43cb-92C2-25804820EDAC}">
                        <c15:formulaRef>
                          <c15:sqref>'Cement Cost Model-Vietnam'!$B$100:$C$100</c15:sqref>
                        </c15:formulaRef>
                      </c:ext>
                    </c:extLst>
                    <c:numCache>
                      <c:formatCode>_(* #,##0.0_);_(* \(#,##0.0\);_(* "-"??_);_(@_)</c:formatCode>
                      <c:ptCount val="2"/>
                      <c:pt idx="0">
                        <c:v>0.21594606164383562</c:v>
                      </c:pt>
                      <c:pt idx="1">
                        <c:v>0.52211542107721043</c:v>
                      </c:pt>
                    </c:numCache>
                  </c:numRef>
                </c:val>
                <c:extLst>
                  <c:ext xmlns:c16="http://schemas.microsoft.com/office/drawing/2014/chart" uri="{C3380CC4-5D6E-409C-BE32-E72D297353CC}">
                    <c16:uniqueId val="{00000009-D448-4292-B305-19505051AEB5}"/>
                  </c:ext>
                </c:extLst>
              </c15:ser>
            </c15:filteredBarSeries>
            <c15:filteredBarSeries>
              <c15:ser>
                <c:idx val="7"/>
                <c:order val="8"/>
                <c:tx>
                  <c:strRef>
                    <c:extLst xmlns:c15="http://schemas.microsoft.com/office/drawing/2012/chart">
                      <c:ext xmlns:c15="http://schemas.microsoft.com/office/drawing/2012/chart" uri="{02D57815-91ED-43cb-92C2-25804820EDAC}">
                        <c15:formulaRef>
                          <c15:sqref>'Cement Cost Model-Vietnam'!$A$102</c15:sqref>
                        </c15:formulaRef>
                      </c:ext>
                    </c:extLst>
                    <c:strCache>
                      <c:ptCount val="1"/>
                      <c:pt idx="0">
                        <c:v>RE Supply CAPEX (utility plants)</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'Cement Cost Model-Vietnam'!$B$90:$C$90</c15:sqref>
                        </c15:formulaRef>
                      </c:ext>
                    </c:extLst>
                    <c:numCache>
                      <c:formatCode>General</c:formatCode>
                      <c:ptCount val="2"/>
                      <c:pt idx="0">
                        <c:v>2030</c:v>
                      </c:pt>
                      <c:pt idx="1">
                        <c:v>2050</c:v>
                      </c:pt>
                    </c:numCache>
                  </c:numRef>
                </c:cat>
                <c:val>
                  <c:numRef>
                    <c:extLst xmlns:c15="http://schemas.microsoft.com/office/drawing/2012/chart">
                      <c:ext xmlns:c15="http://schemas.microsoft.com/office/drawing/2012/chart" uri="{02D57815-91ED-43cb-92C2-25804820EDAC}">
                        <c15:formulaRef>
                          <c15:sqref>'Cement Cost Model-Vietnam'!$B$102:$C$102</c15:sqref>
                        </c15:formulaRef>
                      </c:ext>
                    </c:extLst>
                    <c:numCache>
                      <c:formatCode>_(* #,##0.0_);_(* \(#,##0.0\);_(* "-"??_);_(@_)</c:formatCode>
                      <c:ptCount val="2"/>
                      <c:pt idx="0">
                        <c:v>0.73018291310134209</c:v>
                      </c:pt>
                      <c:pt idx="1">
                        <c:v>2.0000878508000399</c:v>
                      </c:pt>
                    </c:numCache>
                  </c:numRef>
                </c:val>
                <c:extLst xmlns:c15="http://schemas.microsoft.com/office/drawing/2012/chart">
                  <c:ext xmlns:c16="http://schemas.microsoft.com/office/drawing/2014/chart" uri="{C3380CC4-5D6E-409C-BE32-E72D297353CC}">
                    <c16:uniqueId val="{0000000A-D448-4292-B305-19505051AEB5}"/>
                  </c:ext>
                </c:extLst>
              </c15:ser>
            </c15:filteredBarSeries>
          </c:ext>
        </c:extLst>
      </c:barChart>
      <c:catAx>
        <c:axId val="69530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722281296"/>
        <c:crosses val="autoZero"/>
        <c:auto val="1"/>
        <c:lblAlgn val="ctr"/>
        <c:lblOffset val="100"/>
        <c:noMultiLvlLbl val="0"/>
      </c:catAx>
      <c:valAx>
        <c:axId val="72228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b="1"/>
                  <a:t>Billion USD</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5306704"/>
        <c:crosses val="autoZero"/>
        <c:crossBetween val="between"/>
      </c:valAx>
      <c:spPr>
        <a:noFill/>
        <a:ln>
          <a:noFill/>
        </a:ln>
        <a:effectLst/>
      </c:spPr>
    </c:plotArea>
    <c:legend>
      <c:legendPos val="r"/>
      <c:layout>
        <c:manualLayout>
          <c:xMode val="edge"/>
          <c:yMode val="edge"/>
          <c:x val="0.60155042620210541"/>
          <c:y val="0.38604329359283035"/>
          <c:w val="0.35667074274700389"/>
          <c:h val="0.5682843974322011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Chemicals Industry Feedstock</a:t>
            </a:r>
            <a:r>
              <a:rPr lang="en-US" sz="1600" baseline="0"/>
              <a:t> Use by Type</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Graphs!$B$369</c:f>
              <c:strCache>
                <c:ptCount val="1"/>
                <c:pt idx="0">
                  <c:v>Coal</c:v>
                </c:pt>
              </c:strCache>
            </c:strRef>
          </c:tx>
          <c:spPr>
            <a:solidFill>
              <a:schemeClr val="tx1"/>
            </a:solidFill>
            <a:ln>
              <a:noFill/>
            </a:ln>
            <a:effectLst/>
          </c:spPr>
          <c:invertIfNegative val="0"/>
          <c:cat>
            <c:strRef>
              <c:f>Graphs!$A$370:$A$373</c:f>
              <c:strCache>
                <c:ptCount val="4"/>
                <c:pt idx="0">
                  <c:v>2022 Actual</c:v>
                </c:pt>
                <c:pt idx="1">
                  <c:v>Future BAU Projection</c:v>
                </c:pt>
                <c:pt idx="2">
                  <c:v>Tiers 1-4a</c:v>
                </c:pt>
                <c:pt idx="3">
                  <c:v>Tier 4b</c:v>
                </c:pt>
              </c:strCache>
            </c:strRef>
          </c:cat>
          <c:val>
            <c:numRef>
              <c:f>Graphs!$B$370:$B$373</c:f>
              <c:numCache>
                <c:formatCode>0.00</c:formatCode>
                <c:ptCount val="4"/>
                <c:pt idx="0">
                  <c:v>1.09324261505482</c:v>
                </c:pt>
                <c:pt idx="1">
                  <c:v>1.58982244887099</c:v>
                </c:pt>
                <c:pt idx="2">
                  <c:v>1.2114940017527811</c:v>
                </c:pt>
                <c:pt idx="3">
                  <c:v>0</c:v>
                </c:pt>
              </c:numCache>
            </c:numRef>
          </c:val>
          <c:extLst>
            <c:ext xmlns:c16="http://schemas.microsoft.com/office/drawing/2014/chart" uri="{C3380CC4-5D6E-409C-BE32-E72D297353CC}">
              <c16:uniqueId val="{00000000-B187-4ED8-903B-36B6DE7CA912}"/>
            </c:ext>
          </c:extLst>
        </c:ser>
        <c:ser>
          <c:idx val="1"/>
          <c:order val="1"/>
          <c:tx>
            <c:strRef>
              <c:f>Graphs!$C$369</c:f>
              <c:strCache>
                <c:ptCount val="1"/>
                <c:pt idx="0">
                  <c:v>Natural Gas</c:v>
                </c:pt>
              </c:strCache>
            </c:strRef>
          </c:tx>
          <c:spPr>
            <a:solidFill>
              <a:srgbClr val="FF3399"/>
            </a:solidFill>
            <a:ln>
              <a:noFill/>
            </a:ln>
            <a:effectLst/>
          </c:spPr>
          <c:invertIfNegative val="0"/>
          <c:cat>
            <c:strRef>
              <c:f>Graphs!$A$370:$A$373</c:f>
              <c:strCache>
                <c:ptCount val="4"/>
                <c:pt idx="0">
                  <c:v>2022 Actual</c:v>
                </c:pt>
                <c:pt idx="1">
                  <c:v>Future BAU Projection</c:v>
                </c:pt>
                <c:pt idx="2">
                  <c:v>Tiers 1-4a</c:v>
                </c:pt>
                <c:pt idx="3">
                  <c:v>Tier 4b</c:v>
                </c:pt>
              </c:strCache>
            </c:strRef>
          </c:cat>
          <c:val>
            <c:numRef>
              <c:f>Graphs!$C$370:$C$373</c:f>
              <c:numCache>
                <c:formatCode>0.00</c:formatCode>
                <c:ptCount val="4"/>
                <c:pt idx="0">
                  <c:v>2.8512648164712591</c:v>
                </c:pt>
                <c:pt idx="1">
                  <c:v>4.1463850297079077</c:v>
                </c:pt>
                <c:pt idx="2">
                  <c:v>3.1596739598286341</c:v>
                </c:pt>
                <c:pt idx="3">
                  <c:v>0</c:v>
                </c:pt>
              </c:numCache>
            </c:numRef>
          </c:val>
          <c:extLst>
            <c:ext xmlns:c16="http://schemas.microsoft.com/office/drawing/2014/chart" uri="{C3380CC4-5D6E-409C-BE32-E72D297353CC}">
              <c16:uniqueId val="{00000001-B187-4ED8-903B-36B6DE7CA912}"/>
            </c:ext>
          </c:extLst>
        </c:ser>
        <c:ser>
          <c:idx val="2"/>
          <c:order val="2"/>
          <c:tx>
            <c:strRef>
              <c:f>Graphs!$D$369</c:f>
              <c:strCache>
                <c:ptCount val="1"/>
                <c:pt idx="0">
                  <c:v>Petroleum</c:v>
                </c:pt>
              </c:strCache>
            </c:strRef>
          </c:tx>
          <c:spPr>
            <a:solidFill>
              <a:srgbClr val="7030A0"/>
            </a:solidFill>
            <a:ln>
              <a:noFill/>
            </a:ln>
            <a:effectLst/>
          </c:spPr>
          <c:invertIfNegative val="0"/>
          <c:cat>
            <c:strRef>
              <c:f>Graphs!$A$370:$A$373</c:f>
              <c:strCache>
                <c:ptCount val="4"/>
                <c:pt idx="0">
                  <c:v>2022 Actual</c:v>
                </c:pt>
                <c:pt idx="1">
                  <c:v>Future BAU Projection</c:v>
                </c:pt>
                <c:pt idx="2">
                  <c:v>Tiers 1-4a</c:v>
                </c:pt>
                <c:pt idx="3">
                  <c:v>Tier 4b</c:v>
                </c:pt>
              </c:strCache>
            </c:strRef>
          </c:cat>
          <c:val>
            <c:numRef>
              <c:f>Graphs!$D$370:$D$373</c:f>
              <c:numCache>
                <c:formatCode>0.00</c:formatCode>
                <c:ptCount val="4"/>
                <c:pt idx="0">
                  <c:v>0.71410300803934612</c:v>
                </c:pt>
                <c:pt idx="1">
                  <c:v>1.0384675618689863</c:v>
                </c:pt>
                <c:pt idx="2">
                  <c:v>0.79134448196561047</c:v>
                </c:pt>
                <c:pt idx="3">
                  <c:v>0</c:v>
                </c:pt>
              </c:numCache>
            </c:numRef>
          </c:val>
          <c:extLst>
            <c:ext xmlns:c16="http://schemas.microsoft.com/office/drawing/2014/chart" uri="{C3380CC4-5D6E-409C-BE32-E72D297353CC}">
              <c16:uniqueId val="{00000000-77A3-4635-893C-D9BD95BCEDC6}"/>
            </c:ext>
          </c:extLst>
        </c:ser>
        <c:ser>
          <c:idx val="3"/>
          <c:order val="3"/>
          <c:tx>
            <c:strRef>
              <c:f>Graphs!$E$369</c:f>
              <c:strCache>
                <c:ptCount val="1"/>
                <c:pt idx="0">
                  <c:v>Bioenergy</c:v>
                </c:pt>
              </c:strCache>
            </c:strRef>
          </c:tx>
          <c:spPr>
            <a:solidFill>
              <a:schemeClr val="accent6">
                <a:lumMod val="75000"/>
              </a:schemeClr>
            </a:solidFill>
            <a:ln>
              <a:noFill/>
            </a:ln>
            <a:effectLst/>
          </c:spPr>
          <c:invertIfNegative val="0"/>
          <c:cat>
            <c:strRef>
              <c:f>Graphs!$A$370:$A$373</c:f>
              <c:strCache>
                <c:ptCount val="4"/>
                <c:pt idx="0">
                  <c:v>2022 Actual</c:v>
                </c:pt>
                <c:pt idx="1">
                  <c:v>Future BAU Projection</c:v>
                </c:pt>
                <c:pt idx="2">
                  <c:v>Tiers 1-4a</c:v>
                </c:pt>
                <c:pt idx="3">
                  <c:v>Tier 4b</c:v>
                </c:pt>
              </c:strCache>
            </c:strRef>
          </c:cat>
          <c:val>
            <c:numRef>
              <c:f>Graphs!$E$370:$E$373</c:f>
              <c:numCache>
                <c:formatCode>General</c:formatCode>
                <c:ptCount val="4"/>
                <c:pt idx="3" formatCode="0.00">
                  <c:v>1.5487537330641077</c:v>
                </c:pt>
              </c:numCache>
            </c:numRef>
          </c:val>
          <c:extLst>
            <c:ext xmlns:c16="http://schemas.microsoft.com/office/drawing/2014/chart" uri="{C3380CC4-5D6E-409C-BE32-E72D297353CC}">
              <c16:uniqueId val="{00000001-77A3-4635-893C-D9BD95BCEDC6}"/>
            </c:ext>
          </c:extLst>
        </c:ser>
        <c:ser>
          <c:idx val="4"/>
          <c:order val="4"/>
          <c:tx>
            <c:strRef>
              <c:f>Graphs!$F$369</c:f>
              <c:strCache>
                <c:ptCount val="1"/>
                <c:pt idx="0">
                  <c:v>Green Hydrogen</c:v>
                </c:pt>
              </c:strCache>
            </c:strRef>
          </c:tx>
          <c:spPr>
            <a:solidFill>
              <a:srgbClr val="92D050"/>
            </a:solidFill>
            <a:ln>
              <a:noFill/>
            </a:ln>
            <a:effectLst/>
          </c:spPr>
          <c:invertIfNegative val="0"/>
          <c:cat>
            <c:strRef>
              <c:f>Graphs!$A$370:$A$373</c:f>
              <c:strCache>
                <c:ptCount val="4"/>
                <c:pt idx="0">
                  <c:v>2022 Actual</c:v>
                </c:pt>
                <c:pt idx="1">
                  <c:v>Future BAU Projection</c:v>
                </c:pt>
                <c:pt idx="2">
                  <c:v>Tiers 1-4a</c:v>
                </c:pt>
                <c:pt idx="3">
                  <c:v>Tier 4b</c:v>
                </c:pt>
              </c:strCache>
            </c:strRef>
          </c:cat>
          <c:val>
            <c:numRef>
              <c:f>Graphs!$F$370:$F$373</c:f>
              <c:numCache>
                <c:formatCode>General</c:formatCode>
                <c:ptCount val="4"/>
                <c:pt idx="3" formatCode="0.00">
                  <c:v>2.0650049774188104</c:v>
                </c:pt>
              </c:numCache>
            </c:numRef>
          </c:val>
          <c:extLst>
            <c:ext xmlns:c16="http://schemas.microsoft.com/office/drawing/2014/chart" uri="{C3380CC4-5D6E-409C-BE32-E72D297353CC}">
              <c16:uniqueId val="{00000002-77A3-4635-893C-D9BD95BCEDC6}"/>
            </c:ext>
          </c:extLst>
        </c:ser>
        <c:ser>
          <c:idx val="5"/>
          <c:order val="5"/>
          <c:tx>
            <c:strRef>
              <c:f>Graphs!$G$369</c:f>
              <c:strCache>
                <c:ptCount val="1"/>
                <c:pt idx="0">
                  <c:v>Blue Hydrogen</c:v>
                </c:pt>
              </c:strCache>
            </c:strRef>
          </c:tx>
          <c:spPr>
            <a:solidFill>
              <a:srgbClr val="00B0F0"/>
            </a:solidFill>
            <a:ln>
              <a:noFill/>
            </a:ln>
            <a:effectLst/>
          </c:spPr>
          <c:invertIfNegative val="0"/>
          <c:cat>
            <c:strRef>
              <c:f>Graphs!$A$370:$A$373</c:f>
              <c:strCache>
                <c:ptCount val="4"/>
                <c:pt idx="0">
                  <c:v>2022 Actual</c:v>
                </c:pt>
                <c:pt idx="1">
                  <c:v>Future BAU Projection</c:v>
                </c:pt>
                <c:pt idx="2">
                  <c:v>Tiers 1-4a</c:v>
                </c:pt>
                <c:pt idx="3">
                  <c:v>Tier 4b</c:v>
                </c:pt>
              </c:strCache>
            </c:strRef>
          </c:cat>
          <c:val>
            <c:numRef>
              <c:f>Graphs!$G$370:$G$373</c:f>
              <c:numCache>
                <c:formatCode>General</c:formatCode>
                <c:ptCount val="4"/>
                <c:pt idx="3" formatCode="0.00">
                  <c:v>1.5487537330641077</c:v>
                </c:pt>
              </c:numCache>
            </c:numRef>
          </c:val>
          <c:extLst>
            <c:ext xmlns:c16="http://schemas.microsoft.com/office/drawing/2014/chart" uri="{C3380CC4-5D6E-409C-BE32-E72D297353CC}">
              <c16:uniqueId val="{00000003-77A3-4635-893C-D9BD95BCEDC6}"/>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Exajoules (EJ) per year</a:t>
                </a:r>
              </a:p>
            </c:rich>
          </c:tx>
          <c:layout>
            <c:manualLayout>
              <c:xMode val="edge"/>
              <c:yMode val="edge"/>
              <c:x val="0.52384050887108258"/>
              <c:y val="9.849878940961309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CO2 Emissions</a:t>
            </a:r>
            <a:r>
              <a:rPr lang="en-US" sz="1600" baseline="0"/>
              <a:t> by Energy Type</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086976512388562"/>
          <c:y val="0.18637723477427812"/>
          <c:w val="0.81497733199862321"/>
          <c:h val="0.71236018451013161"/>
        </c:manualLayout>
      </c:layout>
      <c:barChart>
        <c:barDir val="bar"/>
        <c:grouping val="stacked"/>
        <c:varyColors val="0"/>
        <c:ser>
          <c:idx val="15"/>
          <c:order val="0"/>
          <c:tx>
            <c:strRef>
              <c:f>Graphs!$B$401</c:f>
              <c:strCache>
                <c:ptCount val="1"/>
                <c:pt idx="0">
                  <c:v>Fossil Feedstocks</c:v>
                </c:pt>
              </c:strCache>
            </c:strRef>
          </c:tx>
          <c:spPr>
            <a:solidFill>
              <a:srgbClr val="156082"/>
            </a:solidFill>
            <a:ln>
              <a:noFill/>
            </a:ln>
            <a:effectLst/>
          </c:spPr>
          <c:invertIfNegative val="0"/>
          <c:val>
            <c:numRef>
              <c:f>Graphs!$B$402:$B$409</c:f>
              <c:numCache>
                <c:formatCode>0</c:formatCode>
                <c:ptCount val="8"/>
                <c:pt idx="0">
                  <c:v>291.54782646400002</c:v>
                </c:pt>
                <c:pt idx="1">
                  <c:v>423.97659316342015</c:v>
                </c:pt>
                <c:pt idx="2">
                  <c:v>323.0833102563289</c:v>
                </c:pt>
                <c:pt idx="3">
                  <c:v>323.0833102563289</c:v>
                </c:pt>
                <c:pt idx="4">
                  <c:v>323.0833102563289</c:v>
                </c:pt>
                <c:pt idx="5">
                  <c:v>323.0833102563289</c:v>
                </c:pt>
                <c:pt idx="6">
                  <c:v>323.0833102563289</c:v>
                </c:pt>
                <c:pt idx="7">
                  <c:v>0</c:v>
                </c:pt>
              </c:numCache>
            </c:numRef>
          </c:val>
          <c:extLst>
            <c:ext xmlns:c16="http://schemas.microsoft.com/office/drawing/2014/chart" uri="{C3380CC4-5D6E-409C-BE32-E72D297353CC}">
              <c16:uniqueId val="{00000000-E9D3-4663-A063-E51E2FDBA492}"/>
            </c:ext>
          </c:extLst>
        </c:ser>
        <c:ser>
          <c:idx val="0"/>
          <c:order val="1"/>
          <c:tx>
            <c:strRef>
              <c:f>Graphs!$C$15</c:f>
              <c:strCache>
                <c:ptCount val="1"/>
                <c:pt idx="0">
                  <c:v>Coal</c:v>
                </c:pt>
              </c:strCache>
            </c:strRef>
          </c:tx>
          <c:spPr>
            <a:solidFill>
              <a:schemeClr val="tx1"/>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Graphs!$C$402:$C$409</c:f>
              <c:numCache>
                <c:formatCode>0</c:formatCode>
                <c:ptCount val="8"/>
                <c:pt idx="0">
                  <c:v>1046.5249307939796</c:v>
                </c:pt>
                <c:pt idx="1">
                  <c:v>999.77582873614165</c:v>
                </c:pt>
                <c:pt idx="2">
                  <c:v>591.43064911189265</c:v>
                </c:pt>
                <c:pt idx="3">
                  <c:v>319.76215305972744</c:v>
                </c:pt>
                <c:pt idx="4">
                  <c:v>198.94162949112805</c:v>
                </c:pt>
                <c:pt idx="5">
                  <c:v>114.82050105293759</c:v>
                </c:pt>
                <c:pt idx="6">
                  <c:v>-4.117889563065708E-15</c:v>
                </c:pt>
                <c:pt idx="7">
                  <c:v>-4.117889563065708E-15</c:v>
                </c:pt>
              </c:numCache>
            </c:numRef>
          </c:val>
          <c:extLst>
            <c:ext xmlns:c16="http://schemas.microsoft.com/office/drawing/2014/chart" uri="{C3380CC4-5D6E-409C-BE32-E72D297353CC}">
              <c16:uniqueId val="{00000000-7362-49A4-BAAC-2D23E35FE08C}"/>
            </c:ext>
          </c:extLst>
        </c:ser>
        <c:ser>
          <c:idx val="1"/>
          <c:order val="2"/>
          <c:tx>
            <c:strRef>
              <c:f>Graphs!$D$15</c:f>
              <c:strCache>
                <c:ptCount val="1"/>
                <c:pt idx="0">
                  <c:v>Coke</c:v>
                </c:pt>
              </c:strCache>
            </c:strRef>
          </c:tx>
          <c:spPr>
            <a:solidFill>
              <a:srgbClr val="762700"/>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Graphs!$D$402:$D$409</c:f>
              <c:numCache>
                <c:formatCode>0</c:formatCode>
                <c:ptCount val="8"/>
                <c:pt idx="0">
                  <c:v>1401.9053298733043</c:v>
                </c:pt>
                <c:pt idx="1">
                  <c:v>1190.1884794332182</c:v>
                </c:pt>
                <c:pt idx="2">
                  <c:v>645.81932479950922</c:v>
                </c:pt>
                <c:pt idx="3">
                  <c:v>262.18078115519666</c:v>
                </c:pt>
                <c:pt idx="4">
                  <c:v>179.63670966021365</c:v>
                </c:pt>
                <c:pt idx="5">
                  <c:v>73.885956974612256</c:v>
                </c:pt>
                <c:pt idx="6">
                  <c:v>2.6076720181670496E-16</c:v>
                </c:pt>
                <c:pt idx="7">
                  <c:v>2.6076720181670496E-16</c:v>
                </c:pt>
              </c:numCache>
            </c:numRef>
          </c:val>
          <c:extLst>
            <c:ext xmlns:c16="http://schemas.microsoft.com/office/drawing/2014/chart" uri="{C3380CC4-5D6E-409C-BE32-E72D297353CC}">
              <c16:uniqueId val="{00000001-7362-49A4-BAAC-2D23E35FE08C}"/>
            </c:ext>
          </c:extLst>
        </c:ser>
        <c:ser>
          <c:idx val="2"/>
          <c:order val="3"/>
          <c:tx>
            <c:strRef>
              <c:f>Graphs!$E$15</c:f>
              <c:strCache>
                <c:ptCount val="1"/>
                <c:pt idx="0">
                  <c:v>Coal/Coke Byproducts</c:v>
                </c:pt>
              </c:strCache>
            </c:strRef>
          </c:tx>
          <c:spPr>
            <a:solidFill>
              <a:srgbClr val="B45A00"/>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Graphs!$E$402:$E$409</c:f>
              <c:numCache>
                <c:formatCode>0</c:formatCode>
                <c:ptCount val="8"/>
                <c:pt idx="0">
                  <c:v>253.85728628269021</c:v>
                </c:pt>
                <c:pt idx="1">
                  <c:v>219.59405380391271</c:v>
                </c:pt>
                <c:pt idx="2">
                  <c:v>128.27447169172052</c:v>
                </c:pt>
                <c:pt idx="3">
                  <c:v>61.186140148935564</c:v>
                </c:pt>
                <c:pt idx="4">
                  <c:v>45.266640615079453</c:v>
                </c:pt>
                <c:pt idx="5">
                  <c:v>27.510125338018145</c:v>
                </c:pt>
                <c:pt idx="6">
                  <c:v>8.6668752107907471E-18</c:v>
                </c:pt>
                <c:pt idx="7">
                  <c:v>8.6668752107907471E-18</c:v>
                </c:pt>
              </c:numCache>
            </c:numRef>
          </c:val>
          <c:extLst>
            <c:ext xmlns:c16="http://schemas.microsoft.com/office/drawing/2014/chart" uri="{C3380CC4-5D6E-409C-BE32-E72D297353CC}">
              <c16:uniqueId val="{00000002-7362-49A4-BAAC-2D23E35FE08C}"/>
            </c:ext>
          </c:extLst>
        </c:ser>
        <c:ser>
          <c:idx val="3"/>
          <c:order val="4"/>
          <c:tx>
            <c:strRef>
              <c:f>Graphs!$F$15</c:f>
              <c:strCache>
                <c:ptCount val="1"/>
                <c:pt idx="0">
                  <c:v>Petroleum</c:v>
                </c:pt>
              </c:strCache>
            </c:strRef>
          </c:tx>
          <c:spPr>
            <a:solidFill>
              <a:srgbClr val="7030A0"/>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Graphs!$F$402:$F$409</c:f>
              <c:numCache>
                <c:formatCode>0</c:formatCode>
                <c:ptCount val="8"/>
                <c:pt idx="0">
                  <c:v>814.06065220380538</c:v>
                </c:pt>
                <c:pt idx="1">
                  <c:v>927.26015138968035</c:v>
                </c:pt>
                <c:pt idx="2">
                  <c:v>681.60835503905594</c:v>
                </c:pt>
                <c:pt idx="3">
                  <c:v>398.77618224522178</c:v>
                </c:pt>
                <c:pt idx="4">
                  <c:v>314.34410286214245</c:v>
                </c:pt>
                <c:pt idx="5">
                  <c:v>299.06351381018828</c:v>
                </c:pt>
                <c:pt idx="6">
                  <c:v>-6.8974728491544307E-17</c:v>
                </c:pt>
                <c:pt idx="7">
                  <c:v>-6.8974728491544307E-17</c:v>
                </c:pt>
              </c:numCache>
            </c:numRef>
          </c:val>
          <c:extLst>
            <c:ext xmlns:c16="http://schemas.microsoft.com/office/drawing/2014/chart" uri="{C3380CC4-5D6E-409C-BE32-E72D297353CC}">
              <c16:uniqueId val="{00000003-7362-49A4-BAAC-2D23E35FE08C}"/>
            </c:ext>
          </c:extLst>
        </c:ser>
        <c:ser>
          <c:idx val="4"/>
          <c:order val="5"/>
          <c:tx>
            <c:strRef>
              <c:f>Graphs!$G$15</c:f>
              <c:strCache>
                <c:ptCount val="1"/>
                <c:pt idx="0">
                  <c:v>Natural Gas</c:v>
                </c:pt>
              </c:strCache>
            </c:strRef>
          </c:tx>
          <c:spPr>
            <a:solidFill>
              <a:srgbClr val="FF3399"/>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Graphs!$G$402:$G$409</c:f>
              <c:numCache>
                <c:formatCode>0</c:formatCode>
                <c:ptCount val="8"/>
                <c:pt idx="0">
                  <c:v>299.92378409889028</c:v>
                </c:pt>
                <c:pt idx="1">
                  <c:v>321.2516385410417</c:v>
                </c:pt>
                <c:pt idx="2">
                  <c:v>210.42152743891805</c:v>
                </c:pt>
                <c:pt idx="3">
                  <c:v>96.448361812394296</c:v>
                </c:pt>
                <c:pt idx="4">
                  <c:v>42.275218445439513</c:v>
                </c:pt>
                <c:pt idx="5">
                  <c:v>32.068990240751106</c:v>
                </c:pt>
                <c:pt idx="6">
                  <c:v>-2.6715649732828938E-15</c:v>
                </c:pt>
                <c:pt idx="7">
                  <c:v>-2.6715649732828938E-15</c:v>
                </c:pt>
              </c:numCache>
            </c:numRef>
          </c:val>
          <c:extLst>
            <c:ext xmlns:c16="http://schemas.microsoft.com/office/drawing/2014/chart" uri="{C3380CC4-5D6E-409C-BE32-E72D297353CC}">
              <c16:uniqueId val="{00000004-7362-49A4-BAAC-2D23E35FE08C}"/>
            </c:ext>
          </c:extLst>
        </c:ser>
        <c:ser>
          <c:idx val="8"/>
          <c:order val="6"/>
          <c:tx>
            <c:strRef>
              <c:f>Graphs!$H$15</c:f>
              <c:strCache>
                <c:ptCount val="1"/>
                <c:pt idx="0">
                  <c:v>Bioenergy and Waste</c:v>
                </c:pt>
              </c:strCache>
            </c:strRef>
          </c:tx>
          <c:spPr>
            <a:solidFill>
              <a:schemeClr val="accent3">
                <a:lumMod val="60000"/>
              </a:schemeClr>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Graphs!$H$402:$H$409</c:f>
              <c:numCache>
                <c:formatCode>General</c:formatCode>
                <c:ptCount val="8"/>
              </c:numCache>
            </c:numRef>
          </c:val>
          <c:extLst>
            <c:ext xmlns:c16="http://schemas.microsoft.com/office/drawing/2014/chart" uri="{C3380CC4-5D6E-409C-BE32-E72D297353CC}">
              <c16:uniqueId val="{00000005-7362-49A4-BAAC-2D23E35FE08C}"/>
            </c:ext>
          </c:extLst>
        </c:ser>
        <c:ser>
          <c:idx val="5"/>
          <c:order val="7"/>
          <c:tx>
            <c:strRef>
              <c:f>Graphs!$I$15</c:f>
              <c:strCache>
                <c:ptCount val="1"/>
                <c:pt idx="0">
                  <c:v>Purchased Heat</c:v>
                </c:pt>
              </c:strCache>
            </c:strRef>
          </c:tx>
          <c:spPr>
            <a:solidFill>
              <a:schemeClr val="accent6"/>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Graphs!$I$402:$I$409</c:f>
              <c:numCache>
                <c:formatCode>General</c:formatCode>
                <c:ptCount val="8"/>
              </c:numCache>
            </c:numRef>
          </c:val>
          <c:extLst>
            <c:ext xmlns:c16="http://schemas.microsoft.com/office/drawing/2014/chart" uri="{C3380CC4-5D6E-409C-BE32-E72D297353CC}">
              <c16:uniqueId val="{00000006-7362-49A4-BAAC-2D23E35FE08C}"/>
            </c:ext>
          </c:extLst>
        </c:ser>
        <c:ser>
          <c:idx val="6"/>
          <c:order val="8"/>
          <c:tx>
            <c:strRef>
              <c:f>Graphs!$J$15</c:f>
              <c:strCache>
                <c:ptCount val="1"/>
                <c:pt idx="0">
                  <c:v>Direct Use of Electricity</c:v>
                </c:pt>
              </c:strCache>
            </c:strRef>
          </c:tx>
          <c:spPr>
            <a:solidFill>
              <a:schemeClr val="accent1">
                <a:lumMod val="60000"/>
              </a:schemeClr>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Graphs!$J$402:$J$409</c:f>
              <c:numCache>
                <c:formatCode>General</c:formatCode>
                <c:ptCount val="8"/>
              </c:numCache>
            </c:numRef>
          </c:val>
          <c:extLst>
            <c:ext xmlns:c16="http://schemas.microsoft.com/office/drawing/2014/chart" uri="{C3380CC4-5D6E-409C-BE32-E72D297353CC}">
              <c16:uniqueId val="{00000007-7362-49A4-BAAC-2D23E35FE08C}"/>
            </c:ext>
          </c:extLst>
        </c:ser>
        <c:ser>
          <c:idx val="7"/>
          <c:order val="9"/>
          <c:tx>
            <c:strRef>
              <c:f>Graphs!$K$15</c:f>
              <c:strCache>
                <c:ptCount val="1"/>
                <c:pt idx="0">
                  <c:v>Electricity for Green H2</c:v>
                </c:pt>
              </c:strCache>
            </c:strRef>
          </c:tx>
          <c:spPr>
            <a:solidFill>
              <a:schemeClr val="accent2">
                <a:lumMod val="60000"/>
              </a:schemeClr>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Graphs!$K$402:$K$409</c:f>
              <c:numCache>
                <c:formatCode>General</c:formatCode>
                <c:ptCount val="8"/>
              </c:numCache>
            </c:numRef>
          </c:val>
          <c:extLst>
            <c:ext xmlns:c16="http://schemas.microsoft.com/office/drawing/2014/chart" uri="{C3380CC4-5D6E-409C-BE32-E72D297353CC}">
              <c16:uniqueId val="{00000008-7362-49A4-BAAC-2D23E35FE08C}"/>
            </c:ext>
          </c:extLst>
        </c:ser>
        <c:ser>
          <c:idx val="9"/>
          <c:order val="10"/>
          <c:tx>
            <c:strRef>
              <c:f>Graphs!$L$15</c:f>
              <c:strCache>
                <c:ptCount val="1"/>
                <c:pt idx="0">
                  <c:v>Blue Hydrogen</c:v>
                </c:pt>
              </c:strCache>
            </c:strRef>
          </c:tx>
          <c:spPr>
            <a:solidFill>
              <a:schemeClr val="accent4">
                <a:lumMod val="60000"/>
              </a:schemeClr>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Graphs!$L$402:$L$409</c:f>
              <c:numCache>
                <c:formatCode>0</c:formatCode>
                <c:ptCount val="8"/>
                <c:pt idx="7">
                  <c:v>0</c:v>
                </c:pt>
              </c:numCache>
            </c:numRef>
          </c:val>
          <c:extLst>
            <c:ext xmlns:c16="http://schemas.microsoft.com/office/drawing/2014/chart" uri="{C3380CC4-5D6E-409C-BE32-E72D297353CC}">
              <c16:uniqueId val="{00000009-7362-49A4-BAAC-2D23E35FE08C}"/>
            </c:ext>
          </c:extLst>
        </c:ser>
        <c:ser>
          <c:idx val="14"/>
          <c:order val="11"/>
          <c:tx>
            <c:strRef>
              <c:f>Graphs!$N$401</c:f>
              <c:strCache>
                <c:ptCount val="1"/>
                <c:pt idx="0">
                  <c:v>Cement Calcination</c:v>
                </c:pt>
              </c:strCache>
            </c:strRef>
          </c:tx>
          <c:spPr>
            <a:solidFill>
              <a:schemeClr val="bg1">
                <a:lumMod val="65000"/>
              </a:schemeClr>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Graphs!$N$402:$N$409</c:f>
              <c:numCache>
                <c:formatCode>0</c:formatCode>
                <c:ptCount val="8"/>
                <c:pt idx="0">
                  <c:v>979</c:v>
                </c:pt>
                <c:pt idx="1">
                  <c:v>691.49001663893512</c:v>
                </c:pt>
                <c:pt idx="2">
                  <c:v>488.79772461524186</c:v>
                </c:pt>
                <c:pt idx="3">
                  <c:v>488.79772461524186</c:v>
                </c:pt>
                <c:pt idx="4">
                  <c:v>488.79772461524186</c:v>
                </c:pt>
                <c:pt idx="5">
                  <c:v>48.879772461524176</c:v>
                </c:pt>
                <c:pt idx="6">
                  <c:v>48.879772461524176</c:v>
                </c:pt>
                <c:pt idx="7">
                  <c:v>48.879772461524176</c:v>
                </c:pt>
              </c:numCache>
            </c:numRef>
          </c:val>
          <c:extLst>
            <c:ext xmlns:c16="http://schemas.microsoft.com/office/drawing/2014/chart" uri="{C3380CC4-5D6E-409C-BE32-E72D297353CC}">
              <c16:uniqueId val="{00000000-F931-4DDD-81F4-E8A6C152CD67}"/>
            </c:ext>
          </c:extLst>
        </c:ser>
        <c:ser>
          <c:idx val="10"/>
          <c:order val="12"/>
          <c:tx>
            <c:strRef>
              <c:f>Graphs!$M$15</c:f>
              <c:strCache>
                <c:ptCount val="1"/>
                <c:pt idx="0">
                  <c:v>Fossil Fuels w/ Carbon Capture</c:v>
                </c:pt>
              </c:strCache>
            </c:strRef>
          </c:tx>
          <c:spPr>
            <a:solidFill>
              <a:srgbClr val="FF6600"/>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Graphs!$M$402:$M$409</c:f>
              <c:numCache>
                <c:formatCode>General</c:formatCode>
                <c:ptCount val="8"/>
                <c:pt idx="0">
                  <c:v>0</c:v>
                </c:pt>
                <c:pt idx="1">
                  <c:v>0</c:v>
                </c:pt>
                <c:pt idx="2">
                  <c:v>0</c:v>
                </c:pt>
                <c:pt idx="3">
                  <c:v>0</c:v>
                </c:pt>
                <c:pt idx="4">
                  <c:v>0</c:v>
                </c:pt>
                <c:pt idx="5" formatCode="0">
                  <c:v>36.316585108750303</c:v>
                </c:pt>
                <c:pt idx="6" formatCode="0">
                  <c:v>36.316585108750303</c:v>
                </c:pt>
                <c:pt idx="7" formatCode="0">
                  <c:v>49.493860721511567</c:v>
                </c:pt>
              </c:numCache>
            </c:numRef>
          </c:val>
          <c:extLst>
            <c:ext xmlns:c16="http://schemas.microsoft.com/office/drawing/2014/chart" uri="{C3380CC4-5D6E-409C-BE32-E72D297353CC}">
              <c16:uniqueId val="{0000000A-7362-49A4-BAAC-2D23E35FE08C}"/>
            </c:ext>
          </c:extLst>
        </c:ser>
        <c:ser>
          <c:idx val="13"/>
          <c:order val="13"/>
          <c:tx>
            <c:strRef>
              <c:f>Graphs!$O$401</c:f>
              <c:strCache>
                <c:ptCount val="1"/>
                <c:pt idx="0">
                  <c:v>Fugitive Methane</c:v>
                </c:pt>
              </c:strCache>
            </c:strRef>
          </c:tx>
          <c:spPr>
            <a:solidFill>
              <a:schemeClr val="accent3">
                <a:lumMod val="60000"/>
                <a:lumOff val="40000"/>
              </a:schemeClr>
            </a:solidFill>
            <a:ln>
              <a:noFill/>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Graphs!$O$402:$O$409</c:f>
              <c:numCache>
                <c:formatCode>0</c:formatCode>
                <c:ptCount val="8"/>
                <c:pt idx="0">
                  <c:v>521.38599714100735</c:v>
                </c:pt>
                <c:pt idx="1">
                  <c:v>486.87557349405392</c:v>
                </c:pt>
                <c:pt idx="2">
                  <c:v>286.01590727414623</c:v>
                </c:pt>
                <c:pt idx="3">
                  <c:v>134.9533514698486</c:v>
                </c:pt>
                <c:pt idx="4">
                  <c:v>80.351497211132042</c:v>
                </c:pt>
                <c:pt idx="5">
                  <c:v>118.97520852892427</c:v>
                </c:pt>
                <c:pt idx="6">
                  <c:v>74.586411862148211</c:v>
                </c:pt>
                <c:pt idx="7">
                  <c:v>74.586411862148211</c:v>
                </c:pt>
              </c:numCache>
            </c:numRef>
          </c:val>
          <c:extLst>
            <c:ext xmlns:c16="http://schemas.microsoft.com/office/drawing/2014/chart" uri="{C3380CC4-5D6E-409C-BE32-E72D297353CC}">
              <c16:uniqueId val="{00000000-51B3-448C-B038-E790B8F1C908}"/>
            </c:ext>
          </c:extLst>
        </c:ser>
        <c:ser>
          <c:idx val="11"/>
          <c:order val="14"/>
          <c:tx>
            <c:strRef>
              <c:f>Graphs!$P$401</c:f>
              <c:strCache>
                <c:ptCount val="1"/>
                <c:pt idx="0">
                  <c:v>Electricity (on-target)</c:v>
                </c:pt>
              </c:strCache>
            </c:strRef>
          </c:tx>
          <c:spPr>
            <a:solidFill>
              <a:srgbClr val="FFC000"/>
            </a:solidFill>
            <a:ln w="19050">
              <a:noFill/>
              <a:prstDash val="dash"/>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Graphs!$P$402:$P$409</c:f>
              <c:numCache>
                <c:formatCode>0</c:formatCode>
                <c:ptCount val="8"/>
                <c:pt idx="0">
                  <c:v>2928.9570261316371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3926-4284-B891-926A2FC5FAC9}"/>
            </c:ext>
          </c:extLst>
        </c:ser>
        <c:ser>
          <c:idx val="12"/>
          <c:order val="15"/>
          <c:tx>
            <c:strRef>
              <c:f>Graphs!$Q$401</c:f>
              <c:strCache>
                <c:ptCount val="1"/>
                <c:pt idx="0">
                  <c:v>Electricity (off-target)</c:v>
                </c:pt>
              </c:strCache>
            </c:strRef>
          </c:tx>
          <c:spPr>
            <a:noFill/>
            <a:ln w="19050">
              <a:solidFill>
                <a:schemeClr val="tx1"/>
              </a:solidFill>
              <a:prstDash val="dash"/>
            </a:ln>
            <a:effectLst/>
          </c:spPr>
          <c:invertIfNegative val="0"/>
          <c:cat>
            <c:strRef>
              <c:f>Graphs!$A$402:$A$409</c:f>
              <c:strCache>
                <c:ptCount val="8"/>
                <c:pt idx="0">
                  <c:v>2022 Actual</c:v>
                </c:pt>
                <c:pt idx="1">
                  <c:v>Future BAU Projection</c:v>
                </c:pt>
                <c:pt idx="2">
                  <c:v>Tier 1: Efficiency</c:v>
                </c:pt>
                <c:pt idx="3">
                  <c:v>Tier 2a: Easy Electrification</c:v>
                </c:pt>
                <c:pt idx="4">
                  <c:v>Tier 2b: Other Electrification</c:v>
                </c:pt>
                <c:pt idx="5">
                  <c:v>Tier 3: CCS</c:v>
                </c:pt>
                <c:pt idx="6">
                  <c:v>Tier 4a: Green H2</c:v>
                </c:pt>
                <c:pt idx="7">
                  <c:v>Tier 4b: Clean Feedstocks</c:v>
                </c:pt>
              </c:strCache>
            </c:strRef>
          </c:cat>
          <c:val>
            <c:numRef>
              <c:f>Graphs!$Q$402:$Q$409</c:f>
              <c:numCache>
                <c:formatCode>0</c:formatCode>
                <c:ptCount val="8"/>
                <c:pt idx="1">
                  <c:v>3047.4504117024926</c:v>
                </c:pt>
                <c:pt idx="2">
                  <c:v>2015.3004285571226</c:v>
                </c:pt>
                <c:pt idx="3">
                  <c:v>2817.1333257353499</c:v>
                </c:pt>
                <c:pt idx="4">
                  <c:v>3349.4278580431528</c:v>
                </c:pt>
                <c:pt idx="5">
                  <c:v>3349.4278580431528</c:v>
                </c:pt>
                <c:pt idx="6">
                  <c:v>5165.8095565290751</c:v>
                </c:pt>
                <c:pt idx="7">
                  <c:v>5666.6662882040609</c:v>
                </c:pt>
              </c:numCache>
            </c:numRef>
          </c:val>
          <c:extLst>
            <c:ext xmlns:c16="http://schemas.microsoft.com/office/drawing/2014/chart" uri="{C3380CC4-5D6E-409C-BE32-E72D297353CC}">
              <c16:uniqueId val="{00000001-3926-4284-B891-926A2FC5FAC9}"/>
            </c:ext>
          </c:extLst>
        </c:ser>
        <c:dLbls>
          <c:showLegendKey val="0"/>
          <c:showVal val="0"/>
          <c:showCatName val="0"/>
          <c:showSerName val="0"/>
          <c:showPercent val="0"/>
          <c:showBubbleSize val="0"/>
        </c:dLbls>
        <c:gapWidth val="150"/>
        <c:overlap val="100"/>
        <c:axId val="446154096"/>
        <c:axId val="446154576"/>
      </c:barChart>
      <c:catAx>
        <c:axId val="446154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576"/>
        <c:crosses val="autoZero"/>
        <c:auto val="1"/>
        <c:lblAlgn val="ctr"/>
        <c:lblOffset val="100"/>
        <c:noMultiLvlLbl val="0"/>
      </c:catAx>
      <c:valAx>
        <c:axId val="446154576"/>
        <c:scaling>
          <c:orientation val="minMax"/>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Million tonnes of CO</a:t>
                </a:r>
                <a:r>
                  <a:rPr lang="en-US" sz="1400" baseline="-25000"/>
                  <a:t>2</a:t>
                </a:r>
                <a:r>
                  <a:rPr lang="en-US" sz="1400"/>
                  <a:t> per year</a:t>
                </a:r>
              </a:p>
            </c:rich>
          </c:tx>
          <c:layout>
            <c:manualLayout>
              <c:xMode val="edge"/>
              <c:yMode val="edge"/>
              <c:x val="0.5179364489155861"/>
              <c:y val="7.42471227025446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6154096"/>
        <c:crosses val="autoZero"/>
        <c:crossBetween val="between"/>
      </c:valAx>
      <c:spPr>
        <a:noFill/>
        <a:ln>
          <a:noFill/>
        </a:ln>
        <a:effec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5.4277121063789839E-2"/>
          <c:y val="0.89615428835140398"/>
          <c:w val="0.90111470943889249"/>
          <c:h val="0.1038457116485959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n-US" sz="1600"/>
              <a:t>CapEx Investment per Unit Annual Abatement by Intervention Tier</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Graphs!$B$526</c:f>
              <c:strCache>
                <c:ptCount val="1"/>
                <c:pt idx="0">
                  <c:v>Cost Effectiveness</c:v>
                </c:pt>
              </c:strCache>
            </c:strRef>
          </c:tx>
          <c:spPr>
            <a:solidFill>
              <a:schemeClr val="accent1"/>
            </a:solidFill>
            <a:ln>
              <a:noFill/>
            </a:ln>
            <a:effectLst/>
          </c:spPr>
          <c:invertIfNegative val="0"/>
          <c:cat>
            <c:strRef>
              <c:f>Graphs!$A$527:$A$532</c:f>
              <c:strCache>
                <c:ptCount val="6"/>
                <c:pt idx="0">
                  <c:v>Tier 1: Efficiency</c:v>
                </c:pt>
                <c:pt idx="1">
                  <c:v>Tier 2a: Easy Electrification</c:v>
                </c:pt>
                <c:pt idx="2">
                  <c:v>Tier 2b: Other Electrification</c:v>
                </c:pt>
                <c:pt idx="3">
                  <c:v>Tier 3: CCS</c:v>
                </c:pt>
                <c:pt idx="4">
                  <c:v>Tier 4a: Green H2</c:v>
                </c:pt>
                <c:pt idx="5">
                  <c:v>Tier 4b: Clean Feedstocks</c:v>
                </c:pt>
              </c:strCache>
            </c:strRef>
          </c:cat>
          <c:val>
            <c:numRef>
              <c:f>Graphs!$B$527:$B$532</c:f>
              <c:numCache>
                <c:formatCode>0</c:formatCode>
                <c:ptCount val="6"/>
                <c:pt idx="0">
                  <c:v>29.832697469645119</c:v>
                </c:pt>
                <c:pt idx="1">
                  <c:v>198.01019649248332</c:v>
                </c:pt>
                <c:pt idx="2">
                  <c:v>555.5410440524937</c:v>
                </c:pt>
                <c:pt idx="3">
                  <c:v>670.48938865172772</c:v>
                </c:pt>
                <c:pt idx="4">
                  <c:v>624.30183614205521</c:v>
                </c:pt>
                <c:pt idx="5">
                  <c:v>649.07495212441188</c:v>
                </c:pt>
              </c:numCache>
            </c:numRef>
          </c:val>
          <c:extLst>
            <c:ext xmlns:c16="http://schemas.microsoft.com/office/drawing/2014/chart" uri="{C3380CC4-5D6E-409C-BE32-E72D297353CC}">
              <c16:uniqueId val="{00000000-6391-4DD4-B269-C2CEAD889223}"/>
            </c:ext>
          </c:extLst>
        </c:ser>
        <c:dLbls>
          <c:showLegendKey val="0"/>
          <c:showVal val="0"/>
          <c:showCatName val="0"/>
          <c:showSerName val="0"/>
          <c:showPercent val="0"/>
          <c:showBubbleSize val="0"/>
        </c:dLbls>
        <c:gapWidth val="219"/>
        <c:overlap val="-27"/>
        <c:axId val="543478959"/>
        <c:axId val="543503439"/>
      </c:barChart>
      <c:catAx>
        <c:axId val="543478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543503439"/>
        <c:crosses val="autoZero"/>
        <c:auto val="1"/>
        <c:lblAlgn val="ctr"/>
        <c:lblOffset val="100"/>
        <c:noMultiLvlLbl val="0"/>
      </c:catAx>
      <c:valAx>
        <c:axId val="543503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 / (ton CO2 / year)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5434789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Annual Incremental Energy Expenditures and Annualized CapEx Needs by Intervention Tier</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Graphs!$B$601</c:f>
              <c:strCache>
                <c:ptCount val="1"/>
                <c:pt idx="0">
                  <c:v>Energy</c:v>
                </c:pt>
              </c:strCache>
            </c:strRef>
          </c:tx>
          <c:spPr>
            <a:solidFill>
              <a:srgbClr val="FFC000"/>
            </a:solidFill>
            <a:ln>
              <a:noFill/>
            </a:ln>
            <a:effectLst/>
          </c:spPr>
          <c:invertIfNegative val="0"/>
          <c:cat>
            <c:strRef>
              <c:f>Graphs!$A$602:$A$607</c:f>
              <c:strCache>
                <c:ptCount val="6"/>
                <c:pt idx="0">
                  <c:v>Tier 1: Efficiency</c:v>
                </c:pt>
                <c:pt idx="1">
                  <c:v>Tier 2a: Easy Electrification</c:v>
                </c:pt>
                <c:pt idx="2">
                  <c:v>Tier 2b: Other Electrification</c:v>
                </c:pt>
                <c:pt idx="3">
                  <c:v>Tier 3: CCS</c:v>
                </c:pt>
                <c:pt idx="4">
                  <c:v>Tier 4a: Green H2</c:v>
                </c:pt>
                <c:pt idx="5">
                  <c:v>Tier 4b: Clean Feedstocks</c:v>
                </c:pt>
              </c:strCache>
            </c:strRef>
          </c:cat>
          <c:val>
            <c:numRef>
              <c:f>Graphs!$B$602:$B$607</c:f>
              <c:numCache>
                <c:formatCode>0</c:formatCode>
                <c:ptCount val="6"/>
                <c:pt idx="0">
                  <c:v>-428.83683447902968</c:v>
                </c:pt>
                <c:pt idx="1">
                  <c:v>-49.477871314940785</c:v>
                </c:pt>
                <c:pt idx="2">
                  <c:v>17.746447500528575</c:v>
                </c:pt>
                <c:pt idx="3">
                  <c:v>-0.55942570353636256</c:v>
                </c:pt>
                <c:pt idx="4">
                  <c:v>87.260175993635926</c:v>
                </c:pt>
                <c:pt idx="5">
                  <c:v>32.422731018102354</c:v>
                </c:pt>
              </c:numCache>
            </c:numRef>
          </c:val>
          <c:extLst>
            <c:ext xmlns:c16="http://schemas.microsoft.com/office/drawing/2014/chart" uri="{C3380CC4-5D6E-409C-BE32-E72D297353CC}">
              <c16:uniqueId val="{00000000-17BA-442B-9AFB-7CECEA7A65C5}"/>
            </c:ext>
          </c:extLst>
        </c:ser>
        <c:ser>
          <c:idx val="1"/>
          <c:order val="1"/>
          <c:tx>
            <c:strRef>
              <c:f>Graphs!$C$601</c:f>
              <c:strCache>
                <c:ptCount val="1"/>
                <c:pt idx="0">
                  <c:v>Annualized CapEx</c:v>
                </c:pt>
              </c:strCache>
            </c:strRef>
          </c:tx>
          <c:spPr>
            <a:solidFill>
              <a:schemeClr val="tx1">
                <a:lumMod val="50000"/>
                <a:lumOff val="50000"/>
              </a:schemeClr>
            </a:solidFill>
            <a:ln>
              <a:noFill/>
            </a:ln>
            <a:effectLst/>
          </c:spPr>
          <c:invertIfNegative val="0"/>
          <c:cat>
            <c:strRef>
              <c:f>Graphs!$A$602:$A$607</c:f>
              <c:strCache>
                <c:ptCount val="6"/>
                <c:pt idx="0">
                  <c:v>Tier 1: Efficiency</c:v>
                </c:pt>
                <c:pt idx="1">
                  <c:v>Tier 2a: Easy Electrification</c:v>
                </c:pt>
                <c:pt idx="2">
                  <c:v>Tier 2b: Other Electrification</c:v>
                </c:pt>
                <c:pt idx="3">
                  <c:v>Tier 3: CCS</c:v>
                </c:pt>
                <c:pt idx="4">
                  <c:v>Tier 4a: Green H2</c:v>
                </c:pt>
                <c:pt idx="5">
                  <c:v>Tier 4b: Clean Feedstocks</c:v>
                </c:pt>
              </c:strCache>
            </c:strRef>
          </c:cat>
          <c:val>
            <c:numRef>
              <c:f>Graphs!$C$602:$C$607</c:f>
              <c:numCache>
                <c:formatCode>0</c:formatCode>
                <c:ptCount val="6"/>
                <c:pt idx="0" formatCode="0.00">
                  <c:v>4.579735557518247</c:v>
                </c:pt>
                <c:pt idx="1">
                  <c:v>20.26950149267148</c:v>
                </c:pt>
                <c:pt idx="2">
                  <c:v>18.466839842640965</c:v>
                </c:pt>
                <c:pt idx="3">
                  <c:v>32.316350346529283</c:v>
                </c:pt>
                <c:pt idx="4">
                  <c:v>29.770474776008232</c:v>
                </c:pt>
                <c:pt idx="5">
                  <c:v>16.210135950448151</c:v>
                </c:pt>
              </c:numCache>
            </c:numRef>
          </c:val>
          <c:extLst>
            <c:ext xmlns:c16="http://schemas.microsoft.com/office/drawing/2014/chart" uri="{C3380CC4-5D6E-409C-BE32-E72D297353CC}">
              <c16:uniqueId val="{00000001-17BA-442B-9AFB-7CECEA7A65C5}"/>
            </c:ext>
          </c:extLst>
        </c:ser>
        <c:dLbls>
          <c:showLegendKey val="0"/>
          <c:showVal val="0"/>
          <c:showCatName val="0"/>
          <c:showSerName val="0"/>
          <c:showPercent val="0"/>
          <c:showBubbleSize val="0"/>
        </c:dLbls>
        <c:gapWidth val="150"/>
        <c:overlap val="100"/>
        <c:axId val="1016583920"/>
        <c:axId val="1016567120"/>
      </c:barChart>
      <c:catAx>
        <c:axId val="101658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16567120"/>
        <c:crosses val="autoZero"/>
        <c:auto val="1"/>
        <c:lblAlgn val="ctr"/>
        <c:lblOffset val="100"/>
        <c:noMultiLvlLbl val="0"/>
      </c:catAx>
      <c:valAx>
        <c:axId val="1016567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t>Billion</a:t>
                </a:r>
                <a:r>
                  <a:rPr lang="en-US" sz="1400" baseline="0"/>
                  <a:t> $ / yr</a:t>
                </a:r>
                <a:endParaRPr lang="en-US" sz="140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16583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Change in Annual CO2 Emissions by Intervention Tier</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Change in Annual CO2 Emissions by Intervention Tier</a:t>
          </a:r>
        </a:p>
      </cx:txPr>
    </cx:title>
    <cx:plotArea>
      <cx:plotAreaRegion>
        <cx:series layoutId="waterfall" uniqueId="{71BDB8CD-D611-41ED-AF29-172EC915A5BF}">
          <cx:dataLabels pos="outEnd">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b="0">
                  <a:solidFill>
                    <a:schemeClr val="tx1"/>
                  </a:solidFill>
                </a:endParaRPr>
              </a:p>
            </cx:txPr>
            <cx:visibility seriesName="0" categoryName="0" value="1"/>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Million tonnes of CO2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Million tonnes of CO2 per year</a:t>
              </a:r>
            </a:p>
          </cx:txPr>
        </cx:title>
        <cx:majorGridlines/>
        <cx:tickLabels/>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Capital Equipment Investment Needs by Intervention Tier</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Capital Equipment Investment Needs by Intervention Tier</a:t>
          </a:r>
        </a:p>
      </cx:txPr>
    </cx:title>
    <cx:plotArea>
      <cx:plotAreaRegion>
        <cx:series layoutId="waterfall" uniqueId="{AF07A149-E46E-417A-AB6F-5C6B894432D2}">
          <cx:dataLabels pos="outEnd">
            <cx:numFmt formatCode="#,##0" sourceLinked="0"/>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visibility seriesName="0" categoryName="0" value="1"/>
            <cx:separator>, </cx:separator>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200" b="1">
                <a:solidFill>
                  <a:schemeClr val="tx1"/>
                </a:solidFill>
              </a:defRPr>
            </a:pPr>
            <a:endParaRPr lang="en-US" sz="1200" b="1" i="0" u="none" strike="noStrike" baseline="0">
              <a:solidFill>
                <a:schemeClr val="tx1"/>
              </a:solidFill>
              <a:latin typeface="Aptos Narrow" panose="02110004020202020204"/>
            </a:endParaRPr>
          </a:p>
        </cx:txPr>
      </cx:axis>
      <cx:axis id="1">
        <cx:valScaling/>
        <cx:title>
          <cx:tx>
            <cx:txData>
              <cx:v>Billion $</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Billion $</a:t>
              </a:r>
            </a:p>
          </cx:txPr>
        </cx:title>
        <cx:majorGridlines/>
        <cx:tickLabels/>
        <cx:txPr>
          <a:bodyPr spcFirstLastPara="1" vertOverflow="ellipsis" horzOverflow="overflow" wrap="square" lIns="0" tIns="0" rIns="0" bIns="0" anchor="ctr" anchorCtr="1"/>
          <a:lstStyle/>
          <a:p>
            <a:pPr algn="ctr" rtl="0">
              <a:defRPr sz="1400">
                <a:solidFill>
                  <a:schemeClr val="tx1"/>
                </a:solidFill>
              </a:defRPr>
            </a:pPr>
            <a:endParaRPr lang="en-US" sz="1400" b="0" i="0" u="none" strike="noStrike" baseline="0">
              <a:solidFill>
                <a:schemeClr val="tx1"/>
              </a:solidFill>
              <a:latin typeface="Aptos Narrow" panose="02110004020202020204"/>
            </a:endParaRPr>
          </a:p>
        </cx:txPr>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_xlchart.v1.6</cx:f>
      </cx:numDim>
    </cx:data>
  </cx:chartData>
  <cx:chart>
    <cx:title pos="t" align="ctr" overlay="0">
      <cx:tx>
        <cx:txData>
          <cx:v>Change in Annual Energy Expenditures by Intervention Tier</cx:v>
        </cx:txData>
      </cx:tx>
      <cx:txPr>
        <a:bodyPr vertOverflow="overflow" horzOverflow="overflow" wrap="square" lIns="0" tIns="0" rIns="0" bIns="0"/>
        <a:lstStyle/>
        <a:p>
          <a:pPr algn="ctr" rtl="0">
            <a:defRPr sz="1600" b="0" i="0">
              <a:solidFill>
                <a:sysClr val="windowText" lastClr="000000"/>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ysClr val="windowText" lastClr="000000"/>
              </a:solidFill>
            </a:rPr>
            <a:t>Change in Annual Energy Expenditures by Intervention Tier</a:t>
          </a:r>
        </a:p>
      </cx:txPr>
    </cx:title>
    <cx:plotArea>
      <cx:plotAreaRegion>
        <cx:series layoutId="waterfall" uniqueId="{ABC1E675-345E-4069-86E8-0AFAA09AD4BD}">
          <cx:tx>
            <cx:txData>
              <cx:f>_xlchart.v1.5</cx:f>
              <cx:v>Change in Annual Energy Expenditures</cx:v>
            </cx:txData>
          </cx:tx>
          <cx:dataLabels pos="outEnd">
            <cx:txPr>
              <a:bodyPr vertOverflow="overflow" horzOverflow="overflow" wrap="square" lIns="0" tIns="0" rIns="0" bIns="0"/>
              <a:lstStyle/>
              <a:p>
                <a:pPr algn="ctr" rtl="0">
                  <a:defRPr sz="1400" b="0" i="0">
                    <a:solidFill>
                      <a:sysClr val="windowText" lastClr="000000"/>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ysClr val="windowText" lastClr="000000"/>
                  </a:solidFill>
                </a:endParaRPr>
              </a:p>
            </cx:txPr>
            <cx:visibility seriesName="0" categoryName="0" value="1"/>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ysClr val="windowText" lastClr="000000"/>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ysClr val="windowText" lastClr="000000"/>
              </a:solidFill>
            </a:endParaRPr>
          </a:p>
        </cx:txPr>
      </cx:axis>
      <cx:axis id="1">
        <cx:valScaling/>
        <cx:title>
          <cx:tx>
            <cx:txData>
              <cx:v>Billion $ / yr</cx:v>
            </cx:txData>
          </cx:tx>
          <cx:txPr>
            <a:bodyPr spcFirstLastPara="1" vertOverflow="ellipsis" horzOverflow="overflow" wrap="square" lIns="0" tIns="0" rIns="0" bIns="0" anchor="ctr" anchorCtr="1"/>
            <a:lstStyle/>
            <a:p>
              <a:pPr algn="ctr" rtl="0">
                <a:defRPr sz="1400">
                  <a:solidFill>
                    <a:sysClr val="windowText" lastClr="000000"/>
                  </a:solidFill>
                </a:defRPr>
              </a:pPr>
              <a:r>
                <a:rPr lang="en-US" sz="1400" b="0" i="0" u="none" strike="noStrike" baseline="0">
                  <a:solidFill>
                    <a:sysClr val="windowText" lastClr="000000"/>
                  </a:solidFill>
                  <a:latin typeface="Aptos Narrow" panose="02110004020202020204"/>
                </a:rPr>
                <a:t>Billion $ / yr</a:t>
              </a:r>
            </a:p>
          </cx:txPr>
        </cx:title>
        <cx:majorGridlines/>
        <cx:tickLabels/>
        <cx:txPr>
          <a:bodyPr vertOverflow="overflow" horzOverflow="overflow" wrap="square" lIns="0" tIns="0" rIns="0" bIns="0"/>
          <a:lstStyle/>
          <a:p>
            <a:pPr algn="ctr" rtl="0">
              <a:defRPr sz="1400" b="0" i="0">
                <a:solidFill>
                  <a:sysClr val="windowText" lastClr="000000"/>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ysClr val="windowText" lastClr="000000"/>
              </a:solidFill>
            </a:endParaRPr>
          </a:p>
        </cx:txPr>
      </cx:axis>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val">
        <cx:f>_xlchart.v1.8</cx:f>
      </cx:numDim>
    </cx:data>
  </cx:chartData>
  <cx:chart>
    <cx:title pos="t" align="ctr" overlay="0">
      <cx:tx>
        <cx:txData>
          <cx:v>Annual Industrial Final Energy Use</cx:v>
        </cx:txData>
      </cx:tx>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a:solidFill>
                <a:schemeClr val="tx1"/>
              </a:solidFill>
            </a:rPr>
            <a:t>Annual Industrial Final Energy Use</a:t>
          </a:r>
        </a:p>
      </cx:txPr>
    </cx:title>
    <cx:plotArea>
      <cx:plotAreaRegion>
        <cx:series layoutId="waterfall" uniqueId="{E1527E10-4D0B-4877-89DE-1C4CACD55121}">
          <cx:dataLabels pos="outEnd">
            <cx:numFmt formatCode="0.0" sourceLinked="0"/>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visibility seriesName="0" categoryName="0" value="1"/>
            <cx:separator>, </cx:separator>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Exajoules (EJ)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Exajoules (EJ) per Year</a:t>
              </a:r>
            </a:p>
          </cx:txPr>
        </cx:title>
        <cx:majorGridlines/>
        <cx:tickLabels/>
        <cx:numFmt formatCode="0.0" sourceLinked="0"/>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_xlchart.v1.10</cx:f>
      </cx:numDim>
    </cx:data>
  </cx:chartData>
  <cx:chart>
    <cx:title pos="t" align="ctr" overlay="0">
      <cx:tx>
        <cx:txData>
          <cx:v>Annual Industrial Energy Expenditures</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Annual Industrial Energy Expenditures</a:t>
          </a:r>
        </a:p>
      </cx:txPr>
    </cx:title>
    <cx:plotArea>
      <cx:plotAreaRegion>
        <cx:series layoutId="waterfall" uniqueId="{2C5DEACC-8884-4345-9F6E-F00FABEF1658}">
          <cx:dataLabels pos="outEnd">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visibility seriesName="0" categoryName="0" value="1"/>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Billions of 2021 USD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Billions of 2021 USD per Year</a:t>
              </a:r>
            </a:p>
          </cx:txPr>
        </cx:title>
        <cx:majorGridlines/>
        <cx:tickLabels/>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_xlchart.v1.11</cx:f>
      </cx:strDim>
      <cx:numDim type="val">
        <cx:f>_xlchart.v1.12</cx:f>
      </cx:numDim>
    </cx:data>
  </cx:chartData>
  <cx:chart>
    <cx:title pos="t" align="ctr" overlay="0">
      <cx:tx>
        <cx:txData>
          <cx:v>Iron and Steel Subindustry Energy Use</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Iron and Steel Subindustry Energy Use</a:t>
          </a:r>
        </a:p>
      </cx:txPr>
    </cx:title>
    <cx:plotArea>
      <cx:plotAreaRegion>
        <cx:series layoutId="waterfall" uniqueId="{0E13785C-15D8-429D-B139-2D03FEA3BF56}">
          <cx:dataLabels>
            <cx:txPr>
              <a:bodyPr spcFirstLastPara="1" vertOverflow="ellipsis" horzOverflow="overflow" wrap="square" lIns="0" tIns="0" rIns="0" bIns="0" anchor="ctr" anchorCtr="1"/>
              <a:lstStyle/>
              <a:p>
                <a:pPr algn="ctr" rtl="0">
                  <a:defRPr sz="1400">
                    <a:solidFill>
                      <a:schemeClr val="tx1"/>
                    </a:solidFill>
                  </a:defRPr>
                </a:pPr>
                <a:endParaRPr lang="en-US" sz="1400" b="0" i="0" u="none" strike="noStrike" baseline="0">
                  <a:solidFill>
                    <a:schemeClr val="tx1"/>
                  </a:solidFill>
                  <a:latin typeface="Aptos Narrow" panose="02110004020202020204"/>
                </a:endParaRPr>
              </a:p>
            </cx:txPr>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Petajoules (PJ)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Petajoules (PJ) per year</a:t>
              </a:r>
            </a:p>
          </cx:txPr>
        </cx:title>
        <cx:majorGridlines/>
        <cx:tickLabels/>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_xlchart.v1.13</cx:f>
      </cx:strDim>
      <cx:numDim type="val">
        <cx:f>_xlchart.v1.14</cx:f>
      </cx:numDim>
    </cx:data>
  </cx:chartData>
  <cx:chart>
    <cx:title pos="t" align="ctr" overlay="0">
      <cx:tx>
        <cx:txData>
          <cx:v>China's Iron and Steel Subindustry Energy Use</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China's Iron and Steel Subindustry Energy Use</a:t>
          </a:r>
        </a:p>
      </cx:txPr>
    </cx:title>
    <cx:plotArea>
      <cx:plotAreaRegion>
        <cx:series layoutId="waterfall" uniqueId="{AD8F21FE-4466-479B-89A7-E140D12CB19D}">
          <cx:dataPt idx="0">
            <cx:spPr>
              <a:solidFill>
                <a:srgbClr val="7280C8"/>
              </a:solidFill>
            </cx:spPr>
          </cx:dataPt>
          <cx:dataLabels>
            <cx:txPr>
              <a:bodyPr spcFirstLastPara="1" vertOverflow="ellipsis" horzOverflow="overflow" wrap="square" lIns="0" tIns="0" rIns="0" bIns="0" anchor="ctr" anchorCtr="1"/>
              <a:lstStyle/>
              <a:p>
                <a:pPr algn="ctr" rtl="0">
                  <a:defRPr sz="1400">
                    <a:solidFill>
                      <a:schemeClr val="tx1"/>
                    </a:solidFill>
                  </a:defRPr>
                </a:pPr>
                <a:endParaRPr lang="en-US" sz="1400" b="0" i="0" u="none" strike="noStrike" baseline="0">
                  <a:solidFill>
                    <a:schemeClr val="tx1"/>
                  </a:solidFill>
                  <a:latin typeface="Aptos Narrow" panose="02110004020202020204"/>
                </a:endParaRPr>
              </a:p>
            </cx:txPr>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Petajoules (PJ)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Petajoules (PJ) per year</a:t>
              </a:r>
            </a:p>
          </cx:txPr>
        </cx:title>
        <cx:majorGridlines/>
        <cx:tickLabels/>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_xlchart.v1.15</cx:f>
      </cx:strDim>
      <cx:numDim type="val">
        <cx:f>_xlchart.v1.16</cx:f>
      </cx:numDim>
    </cx:data>
  </cx:chartData>
  <cx:chart>
    <cx:title pos="t" align="ctr" overlay="0">
      <cx:tx>
        <cx:txData>
          <cx:v>Non-Metallic Minerals Subindustry Energy Use</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Non-Metallic Minerals Subindustry Energy Use</a:t>
          </a:r>
        </a:p>
      </cx:txPr>
    </cx:title>
    <cx:plotArea>
      <cx:plotAreaRegion>
        <cx:series layoutId="waterfall" uniqueId="{0E13785C-15D8-429D-B139-2D03FEA3BF56}">
          <cx:dataLabels>
            <cx:txPr>
              <a:bodyPr spcFirstLastPara="1" vertOverflow="ellipsis" horzOverflow="overflow" wrap="square" lIns="0" tIns="0" rIns="0" bIns="0" anchor="ctr" anchorCtr="1"/>
              <a:lstStyle/>
              <a:p>
                <a:pPr algn="ctr" rtl="0">
                  <a:defRPr sz="1400">
                    <a:solidFill>
                      <a:schemeClr val="tx1"/>
                    </a:solidFill>
                  </a:defRPr>
                </a:pPr>
                <a:endParaRPr lang="en-US" sz="1400" b="0" i="0" u="none" strike="noStrike" baseline="0">
                  <a:solidFill>
                    <a:schemeClr val="tx1"/>
                  </a:solidFill>
                  <a:latin typeface="Aptos Narrow" panose="02110004020202020204"/>
                </a:endParaRPr>
              </a:p>
            </cx:txPr>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Petajoules (PJ)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Petajoules (PJ) per year</a:t>
              </a:r>
            </a:p>
          </cx:txPr>
        </cx:title>
        <cx:majorGridlines/>
        <cx:tickLabels/>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_xlchart.v1.17</cx:f>
      </cx:strDim>
      <cx:numDim type="val">
        <cx:f>_xlchart.v1.18</cx:f>
      </cx:numDim>
    </cx:data>
  </cx:chartData>
  <cx:chart>
    <cx:title pos="t" align="ctr" overlay="0">
      <cx:tx>
        <cx:txData>
          <cx:v>China's Non-Metallic Minerals Subindustry Energy Use</cx:v>
        </cx:txData>
      </cx:tx>
      <cx:txPr>
        <a:bodyPr vertOverflow="overflow" horzOverflow="overflow" wrap="square" lIns="0" tIns="0" rIns="0" bIns="0"/>
        <a:lstStyle/>
        <a:p>
          <a:pPr algn="ctr" rtl="0">
            <a:defRPr sz="16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r>
            <a:rPr lang="en-US" sz="1600">
              <a:solidFill>
                <a:schemeClr val="tx1"/>
              </a:solidFill>
            </a:rPr>
            <a:t>China's Non-Metallic Minerals Subindustry Energy Use</a:t>
          </a:r>
        </a:p>
      </cx:txPr>
    </cx:title>
    <cx:plotArea>
      <cx:plotAreaRegion>
        <cx:series layoutId="waterfall" uniqueId="{AD8F21FE-4466-479B-89A7-E140D12CB19D}">
          <cx:dataPt idx="0">
            <cx:spPr>
              <a:solidFill>
                <a:srgbClr val="7280C8"/>
              </a:solidFill>
            </cx:spPr>
          </cx:dataPt>
          <cx:dataLabels>
            <cx:txPr>
              <a:bodyPr spcFirstLastPara="1" vertOverflow="ellipsis" horzOverflow="overflow" wrap="square" lIns="0" tIns="0" rIns="0" bIns="0" anchor="ctr" anchorCtr="1"/>
              <a:lstStyle/>
              <a:p>
                <a:pPr algn="ctr" rtl="0">
                  <a:defRPr sz="1400">
                    <a:solidFill>
                      <a:schemeClr val="tx1"/>
                    </a:solidFill>
                  </a:defRPr>
                </a:pPr>
                <a:endParaRPr lang="en-US" sz="1400" b="0" i="0" u="none" strike="noStrike" baseline="0">
                  <a:solidFill>
                    <a:schemeClr val="tx1"/>
                  </a:solidFill>
                  <a:latin typeface="Aptos Narrow" panose="02110004020202020204"/>
                </a:endParaRPr>
              </a:p>
            </cx:txPr>
          </cx:dataLabels>
          <cx:dataId val="0"/>
          <cx:layoutPr>
            <cx:subtotals/>
          </cx:layoutPr>
        </cx:series>
      </cx:plotAreaRegion>
      <cx:axis id="0">
        <cx:catScaling gapWidth="0.5"/>
        <cx:tickLabels/>
        <cx:txPr>
          <a:bodyPr vertOverflow="overflow" horzOverflow="overflow" wrap="square" lIns="0" tIns="0" rIns="0" bIns="0"/>
          <a:lstStyle/>
          <a:p>
            <a:pPr algn="ctr" rtl="0">
              <a:defRPr sz="1200" b="1"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200" b="1">
              <a:solidFill>
                <a:schemeClr val="tx1"/>
              </a:solidFill>
            </a:endParaRPr>
          </a:p>
        </cx:txPr>
      </cx:axis>
      <cx:axis id="1">
        <cx:valScaling/>
        <cx:title>
          <cx:tx>
            <cx:txData>
              <cx:v>Petajoules (PJ) per year</cx:v>
            </cx:txData>
          </cx:tx>
          <cx:txPr>
            <a:bodyPr spcFirstLastPara="1" vertOverflow="ellipsis" horzOverflow="overflow" wrap="square" lIns="0" tIns="0" rIns="0" bIns="0" anchor="ctr" anchorCtr="1"/>
            <a:lstStyle/>
            <a:p>
              <a:pPr algn="ctr" rtl="0">
                <a:defRPr sz="1400">
                  <a:solidFill>
                    <a:schemeClr val="tx1"/>
                  </a:solidFill>
                </a:defRPr>
              </a:pPr>
              <a:r>
                <a:rPr lang="en-US" sz="1400" b="0" i="0" u="none" strike="noStrike" baseline="0">
                  <a:solidFill>
                    <a:schemeClr val="tx1"/>
                  </a:solidFill>
                  <a:latin typeface="Aptos Narrow" panose="02110004020202020204"/>
                </a:rPr>
                <a:t>Petajoules (PJ) per year</a:t>
              </a:r>
            </a:p>
          </cx:txPr>
        </cx:title>
        <cx:majorGridlines/>
        <cx:tickLabels/>
        <cx:txPr>
          <a:bodyPr vertOverflow="overflow" horzOverflow="overflow" wrap="square" lIns="0" tIns="0" rIns="0" bIns="0"/>
          <a:lstStyle/>
          <a:p>
            <a:pPr algn="ctr" rtl="0">
              <a:defRPr sz="1400" b="0" i="0">
                <a:solidFill>
                  <a:schemeClr val="tx1"/>
                </a:solidFill>
                <a:latin typeface="Aptos Narrow" panose="020B0004020202020204" pitchFamily="34" charset="0"/>
                <a:ea typeface="Aptos Narrow" panose="020B0004020202020204" pitchFamily="34" charset="0"/>
                <a:cs typeface="Aptos Narrow" panose="020B0004020202020204" pitchFamily="34" charset="0"/>
              </a:defRPr>
            </a:pPr>
            <a:endParaRPr lang="en-US" sz="1400">
              <a:solidFill>
                <a:schemeClr val="tx1"/>
              </a:solidFill>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microsoft.com/office/2014/relationships/chartEx" Target="../charts/chartEx1.xml"/><Relationship Id="rId13" Type="http://schemas.openxmlformats.org/officeDocument/2006/relationships/chart" Target="../charts/chart10.xml"/><Relationship Id="rId18" Type="http://schemas.openxmlformats.org/officeDocument/2006/relationships/chart" Target="../charts/chart15.xml"/><Relationship Id="rId3" Type="http://schemas.openxmlformats.org/officeDocument/2006/relationships/chart" Target="../charts/chart3.xml"/><Relationship Id="rId21" Type="http://schemas.microsoft.com/office/2014/relationships/chartEx" Target="../charts/chartEx5.xml"/><Relationship Id="rId7" Type="http://schemas.openxmlformats.org/officeDocument/2006/relationships/chart" Target="../charts/chart7.xml"/><Relationship Id="rId12" Type="http://schemas.openxmlformats.org/officeDocument/2006/relationships/chart" Target="../charts/chart9.xml"/><Relationship Id="rId17" Type="http://schemas.openxmlformats.org/officeDocument/2006/relationships/chart" Target="../charts/chart14.xml"/><Relationship Id="rId25" Type="http://schemas.openxmlformats.org/officeDocument/2006/relationships/chart" Target="../charts/chart20.xml"/><Relationship Id="rId2" Type="http://schemas.openxmlformats.org/officeDocument/2006/relationships/chart" Target="../charts/chart2.xml"/><Relationship Id="rId16" Type="http://schemas.openxmlformats.org/officeDocument/2006/relationships/chart" Target="../charts/chart13.xml"/><Relationship Id="rId20" Type="http://schemas.microsoft.com/office/2014/relationships/chartEx" Target="../charts/chartEx4.xml"/><Relationship Id="rId1" Type="http://schemas.openxmlformats.org/officeDocument/2006/relationships/chart" Target="../charts/chart1.xml"/><Relationship Id="rId6" Type="http://schemas.openxmlformats.org/officeDocument/2006/relationships/chart" Target="../charts/chart6.xml"/><Relationship Id="rId11" Type="http://schemas.microsoft.com/office/2014/relationships/chartEx" Target="../charts/chartEx3.xml"/><Relationship Id="rId24" Type="http://schemas.openxmlformats.org/officeDocument/2006/relationships/chart" Target="../charts/chart19.xml"/><Relationship Id="rId5" Type="http://schemas.openxmlformats.org/officeDocument/2006/relationships/chart" Target="../charts/chart5.xml"/><Relationship Id="rId15" Type="http://schemas.openxmlformats.org/officeDocument/2006/relationships/chart" Target="../charts/chart12.xml"/><Relationship Id="rId23" Type="http://schemas.openxmlformats.org/officeDocument/2006/relationships/chart" Target="../charts/chart18.xml"/><Relationship Id="rId10" Type="http://schemas.openxmlformats.org/officeDocument/2006/relationships/chart" Target="../charts/chart8.xml"/><Relationship Id="rId19" Type="http://schemas.openxmlformats.org/officeDocument/2006/relationships/chart" Target="../charts/chart16.xml"/><Relationship Id="rId4" Type="http://schemas.openxmlformats.org/officeDocument/2006/relationships/chart" Target="../charts/chart4.xml"/><Relationship Id="rId9" Type="http://schemas.microsoft.com/office/2014/relationships/chartEx" Target="../charts/chartEx2.xml"/><Relationship Id="rId14" Type="http://schemas.openxmlformats.org/officeDocument/2006/relationships/chart" Target="../charts/chart11.xml"/><Relationship Id="rId22" Type="http://schemas.openxmlformats.org/officeDocument/2006/relationships/chart" Target="../charts/chart17.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 Id="rId9" Type="http://schemas.openxmlformats.org/officeDocument/2006/relationships/chart" Target="../charts/chart4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7.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3" Type="http://schemas.microsoft.com/office/2014/relationships/chartEx" Target="../charts/chartEx8.xml"/><Relationship Id="rId2" Type="http://schemas.microsoft.com/office/2014/relationships/chartEx" Target="../charts/chartEx7.xml"/><Relationship Id="rId1" Type="http://schemas.microsoft.com/office/2014/relationships/chartEx" Target="../charts/chartEx6.xml"/><Relationship Id="rId4" Type="http://schemas.microsoft.com/office/2014/relationships/chartEx" Target="../charts/chartEx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130453</xdr:colOff>
      <xdr:row>23</xdr:row>
      <xdr:rowOff>111192</xdr:rowOff>
    </xdr:from>
    <xdr:to>
      <xdr:col>11</xdr:col>
      <xdr:colOff>480391</xdr:colOff>
      <xdr:row>54</xdr:row>
      <xdr:rowOff>132521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212162</xdr:colOff>
      <xdr:row>124</xdr:row>
      <xdr:rowOff>81869</xdr:rowOff>
    </xdr:from>
    <xdr:to>
      <xdr:col>11</xdr:col>
      <xdr:colOff>562100</xdr:colOff>
      <xdr:row>155</xdr:row>
      <xdr:rowOff>131566</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139211</xdr:colOff>
      <xdr:row>169</xdr:row>
      <xdr:rowOff>109903</xdr:rowOff>
    </xdr:from>
    <xdr:to>
      <xdr:col>11</xdr:col>
      <xdr:colOff>489149</xdr:colOff>
      <xdr:row>200</xdr:row>
      <xdr:rowOff>123269</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96206</xdr:colOff>
      <xdr:row>266</xdr:row>
      <xdr:rowOff>102702</xdr:rowOff>
    </xdr:from>
    <xdr:to>
      <xdr:col>11</xdr:col>
      <xdr:colOff>452357</xdr:colOff>
      <xdr:row>305</xdr:row>
      <xdr:rowOff>173935</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115956</xdr:colOff>
      <xdr:row>326</xdr:row>
      <xdr:rowOff>8283</xdr:rowOff>
    </xdr:from>
    <xdr:to>
      <xdr:col>11</xdr:col>
      <xdr:colOff>472107</xdr:colOff>
      <xdr:row>365</xdr:row>
      <xdr:rowOff>79516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73270</xdr:colOff>
      <xdr:row>374</xdr:row>
      <xdr:rowOff>0</xdr:rowOff>
    </xdr:from>
    <xdr:to>
      <xdr:col>11</xdr:col>
      <xdr:colOff>423208</xdr:colOff>
      <xdr:row>398</xdr:row>
      <xdr:rowOff>13366</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124240</xdr:colOff>
      <xdr:row>410</xdr:row>
      <xdr:rowOff>82827</xdr:rowOff>
    </xdr:from>
    <xdr:to>
      <xdr:col>11</xdr:col>
      <xdr:colOff>474178</xdr:colOff>
      <xdr:row>443</xdr:row>
      <xdr:rowOff>6569</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115957</xdr:colOff>
      <xdr:row>454</xdr:row>
      <xdr:rowOff>94421</xdr:rowOff>
    </xdr:from>
    <xdr:to>
      <xdr:col>11</xdr:col>
      <xdr:colOff>496956</xdr:colOff>
      <xdr:row>484</xdr:row>
      <xdr:rowOff>134470</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115956</xdr:colOff>
      <xdr:row>494</xdr:row>
      <xdr:rowOff>131693</xdr:rowOff>
    </xdr:from>
    <xdr:to>
      <xdr:col>9</xdr:col>
      <xdr:colOff>256761</xdr:colOff>
      <xdr:row>522</xdr:row>
      <xdr:rowOff>115957</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107674</xdr:colOff>
      <xdr:row>532</xdr:row>
      <xdr:rowOff>115126</xdr:rowOff>
    </xdr:from>
    <xdr:to>
      <xdr:col>9</xdr:col>
      <xdr:colOff>149087</xdr:colOff>
      <xdr:row>557</xdr:row>
      <xdr:rowOff>190499</xdr:rowOff>
    </xdr:to>
    <xdr:graphicFrame macro="">
      <xdr:nvGraphicFramePr>
        <xdr:cNvPr id="14" name="Chart 13">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182218</xdr:colOff>
      <xdr:row>568</xdr:row>
      <xdr:rowOff>98561</xdr:rowOff>
    </xdr:from>
    <xdr:to>
      <xdr:col>9</xdr:col>
      <xdr:colOff>339587</xdr:colOff>
      <xdr:row>596</xdr:row>
      <xdr:rowOff>124239</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165653</xdr:colOff>
      <xdr:row>607</xdr:row>
      <xdr:rowOff>98563</xdr:rowOff>
    </xdr:from>
    <xdr:to>
      <xdr:col>9</xdr:col>
      <xdr:colOff>323023</xdr:colOff>
      <xdr:row>635</xdr:row>
      <xdr:rowOff>149087</xdr:rowOff>
    </xdr:to>
    <xdr:graphicFrame macro="">
      <xdr:nvGraphicFramePr>
        <xdr:cNvPr id="12" name="Chart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149086</xdr:colOff>
      <xdr:row>646</xdr:row>
      <xdr:rowOff>164823</xdr:rowOff>
    </xdr:from>
    <xdr:to>
      <xdr:col>9</xdr:col>
      <xdr:colOff>314738</xdr:colOff>
      <xdr:row>674</xdr:row>
      <xdr:rowOff>182219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48528</xdr:colOff>
      <xdr:row>695</xdr:row>
      <xdr:rowOff>94845</xdr:rowOff>
    </xdr:from>
    <xdr:to>
      <xdr:col>9</xdr:col>
      <xdr:colOff>226605</xdr:colOff>
      <xdr:row>724</xdr:row>
      <xdr:rowOff>97693</xdr:rowOff>
    </xdr:to>
    <xdr:graphicFrame macro="">
      <xdr:nvGraphicFramePr>
        <xdr:cNvPr id="15" name="Chart 14">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743</xdr:row>
      <xdr:rowOff>0</xdr:rowOff>
    </xdr:from>
    <xdr:to>
      <xdr:col>9</xdr:col>
      <xdr:colOff>178077</xdr:colOff>
      <xdr:row>771</xdr:row>
      <xdr:rowOff>13253</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87923</xdr:colOff>
      <xdr:row>791</xdr:row>
      <xdr:rowOff>163388</xdr:rowOff>
    </xdr:from>
    <xdr:to>
      <xdr:col>9</xdr:col>
      <xdr:colOff>249115</xdr:colOff>
      <xdr:row>820</xdr:row>
      <xdr:rowOff>80595</xdr:rowOff>
    </xdr:to>
    <xdr:graphicFrame macro="">
      <xdr:nvGraphicFramePr>
        <xdr:cNvPr id="17" name="Chart 16">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36636</xdr:colOff>
      <xdr:row>825</xdr:row>
      <xdr:rowOff>31506</xdr:rowOff>
    </xdr:from>
    <xdr:to>
      <xdr:col>8</xdr:col>
      <xdr:colOff>644772</xdr:colOff>
      <xdr:row>840</xdr:row>
      <xdr:rowOff>95250</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21979</xdr:colOff>
      <xdr:row>843</xdr:row>
      <xdr:rowOff>36634</xdr:rowOff>
    </xdr:from>
    <xdr:to>
      <xdr:col>8</xdr:col>
      <xdr:colOff>630115</xdr:colOff>
      <xdr:row>858</xdr:row>
      <xdr:rowOff>100378</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7327</xdr:colOff>
      <xdr:row>861</xdr:row>
      <xdr:rowOff>14654</xdr:rowOff>
    </xdr:from>
    <xdr:to>
      <xdr:col>8</xdr:col>
      <xdr:colOff>615463</xdr:colOff>
      <xdr:row>876</xdr:row>
      <xdr:rowOff>78398</xdr:rowOff>
    </xdr:to>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32968</xdr:colOff>
      <xdr:row>66</xdr:row>
      <xdr:rowOff>97448</xdr:rowOff>
    </xdr:from>
    <xdr:to>
      <xdr:col>11</xdr:col>
      <xdr:colOff>417632</xdr:colOff>
      <xdr:row>97</xdr:row>
      <xdr:rowOff>168519</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109903</xdr:colOff>
      <xdr:row>213</xdr:row>
      <xdr:rowOff>24181</xdr:rowOff>
    </xdr:from>
    <xdr:to>
      <xdr:col>11</xdr:col>
      <xdr:colOff>439615</xdr:colOff>
      <xdr:row>244</xdr:row>
      <xdr:rowOff>43963</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00000000-0008-0000-0100-000017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106240</xdr:colOff>
      <xdr:row>908</xdr:row>
      <xdr:rowOff>152399</xdr:rowOff>
    </xdr:from>
    <xdr:to>
      <xdr:col>8</xdr:col>
      <xdr:colOff>373673</xdr:colOff>
      <xdr:row>921</xdr:row>
      <xdr:rowOff>161192</xdr:rowOff>
    </xdr:to>
    <xdr:graphicFrame macro="">
      <xdr:nvGraphicFramePr>
        <xdr:cNvPr id="19" name="Chart 18">
          <a:extLst>
            <a:ext uri="{FF2B5EF4-FFF2-40B4-BE49-F238E27FC236}">
              <a16:creationId xmlns:a16="http://schemas.microsoft.com/office/drawing/2014/main" id="{DEE7FE94-B522-DAC2-1F3A-80DA4DE5CB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201650</xdr:colOff>
      <xdr:row>929</xdr:row>
      <xdr:rowOff>35042</xdr:rowOff>
    </xdr:from>
    <xdr:to>
      <xdr:col>8</xdr:col>
      <xdr:colOff>463349</xdr:colOff>
      <xdr:row>943</xdr:row>
      <xdr:rowOff>71676</xdr:rowOff>
    </xdr:to>
    <xdr:graphicFrame macro="">
      <xdr:nvGraphicFramePr>
        <xdr:cNvPr id="24" name="Chart 23">
          <a:extLst>
            <a:ext uri="{FF2B5EF4-FFF2-40B4-BE49-F238E27FC236}">
              <a16:creationId xmlns:a16="http://schemas.microsoft.com/office/drawing/2014/main" id="{98DCB279-A361-4AA4-824C-B63C3D909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245452</xdr:colOff>
      <xdr:row>965</xdr:row>
      <xdr:rowOff>159726</xdr:rowOff>
    </xdr:from>
    <xdr:to>
      <xdr:col>6</xdr:col>
      <xdr:colOff>798635</xdr:colOff>
      <xdr:row>983</xdr:row>
      <xdr:rowOff>87924</xdr:rowOff>
    </xdr:to>
    <xdr:graphicFrame macro="">
      <xdr:nvGraphicFramePr>
        <xdr:cNvPr id="25" name="Chart 24">
          <a:extLst>
            <a:ext uri="{FF2B5EF4-FFF2-40B4-BE49-F238E27FC236}">
              <a16:creationId xmlns:a16="http://schemas.microsoft.com/office/drawing/2014/main" id="{DE7D066D-0BB8-A4EF-C1B5-C329FF80B3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106240</xdr:colOff>
      <xdr:row>886</xdr:row>
      <xdr:rowOff>152399</xdr:rowOff>
    </xdr:from>
    <xdr:to>
      <xdr:col>8</xdr:col>
      <xdr:colOff>373673</xdr:colOff>
      <xdr:row>901</xdr:row>
      <xdr:rowOff>165652</xdr:rowOff>
    </xdr:to>
    <xdr:graphicFrame macro="">
      <xdr:nvGraphicFramePr>
        <xdr:cNvPr id="27" name="Chart 26">
          <a:extLst>
            <a:ext uri="{FF2B5EF4-FFF2-40B4-BE49-F238E27FC236}">
              <a16:creationId xmlns:a16="http://schemas.microsoft.com/office/drawing/2014/main" id="{99A2C9B8-0AAA-4BF1-A2D2-C5C57C439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149088</xdr:colOff>
      <xdr:row>172</xdr:row>
      <xdr:rowOff>79204</xdr:rowOff>
    </xdr:from>
    <xdr:to>
      <xdr:col>2</xdr:col>
      <xdr:colOff>1161425</xdr:colOff>
      <xdr:row>202</xdr:row>
      <xdr:rowOff>151638</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149087</xdr:colOff>
      <xdr:row>140</xdr:row>
      <xdr:rowOff>115956</xdr:rowOff>
    </xdr:from>
    <xdr:to>
      <xdr:col>2</xdr:col>
      <xdr:colOff>1161424</xdr:colOff>
      <xdr:row>170</xdr:row>
      <xdr:rowOff>188390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177</xdr:row>
      <xdr:rowOff>84706</xdr:rowOff>
    </xdr:from>
    <xdr:to>
      <xdr:col>2</xdr:col>
      <xdr:colOff>683724</xdr:colOff>
      <xdr:row>207</xdr:row>
      <xdr:rowOff>157140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2</xdr:col>
      <xdr:colOff>683724</xdr:colOff>
      <xdr:row>174</xdr:row>
      <xdr:rowOff>72435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272</xdr:row>
      <xdr:rowOff>56888</xdr:rowOff>
    </xdr:from>
    <xdr:to>
      <xdr:col>3</xdr:col>
      <xdr:colOff>500062</xdr:colOff>
      <xdr:row>307</xdr:row>
      <xdr:rowOff>23813</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225539</xdr:colOff>
      <xdr:row>238</xdr:row>
      <xdr:rowOff>41119</xdr:rowOff>
    </xdr:from>
    <xdr:to>
      <xdr:col>3</xdr:col>
      <xdr:colOff>506391</xdr:colOff>
      <xdr:row>269</xdr:row>
      <xdr:rowOff>163774</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341</xdr:row>
      <xdr:rowOff>17394</xdr:rowOff>
    </xdr:from>
    <xdr:to>
      <xdr:col>3</xdr:col>
      <xdr:colOff>275223</xdr:colOff>
      <xdr:row>371</xdr:row>
      <xdr:rowOff>127168</xdr:rowOff>
    </xdr:to>
    <xdr:graphicFrame macro="">
      <xdr:nvGraphicFramePr>
        <xdr:cNvPr id="13" name="Chart 12">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310</xdr:row>
      <xdr:rowOff>45565</xdr:rowOff>
    </xdr:from>
    <xdr:to>
      <xdr:col>3</xdr:col>
      <xdr:colOff>13490</xdr:colOff>
      <xdr:row>338</xdr:row>
      <xdr:rowOff>112129</xdr:rowOff>
    </xdr:to>
    <xdr:graphicFrame macro="">
      <xdr:nvGraphicFramePr>
        <xdr:cNvPr id="14" name="Chart 13">
          <a:extLst>
            <a:ext uri="{FF2B5EF4-FFF2-40B4-BE49-F238E27FC236}">
              <a16:creationId xmlns:a16="http://schemas.microsoft.com/office/drawing/2014/main" id="{00000000-0008-0000-1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1322917</xdr:colOff>
      <xdr:row>317</xdr:row>
      <xdr:rowOff>47625</xdr:rowOff>
    </xdr:from>
    <xdr:to>
      <xdr:col>4</xdr:col>
      <xdr:colOff>1322917</xdr:colOff>
      <xdr:row>318</xdr:row>
      <xdr:rowOff>31750</xdr:rowOff>
    </xdr:to>
    <xdr:cxnSp macro="">
      <xdr:nvCxnSpPr>
        <xdr:cNvPr id="56" name="Straight Connector 55">
          <a:extLst>
            <a:ext uri="{FF2B5EF4-FFF2-40B4-BE49-F238E27FC236}">
              <a16:creationId xmlns:a16="http://schemas.microsoft.com/office/drawing/2014/main" id="{00000000-0008-0000-1300-000038000000}"/>
            </a:ext>
          </a:extLst>
        </xdr:cNvPr>
        <xdr:cNvCxnSpPr/>
      </xdr:nvCxnSpPr>
      <xdr:spPr>
        <a:xfrm flipV="1">
          <a:off x="9006417" y="57366958"/>
          <a:ext cx="0" cy="153459"/>
        </a:xfrm>
        <a:prstGeom prst="line">
          <a:avLst/>
        </a:prstGeom>
        <a:ln w="12700">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1406778</xdr:colOff>
      <xdr:row>300</xdr:row>
      <xdr:rowOff>0</xdr:rowOff>
    </xdr:from>
    <xdr:to>
      <xdr:col>13</xdr:col>
      <xdr:colOff>699257</xdr:colOff>
      <xdr:row>321</xdr:row>
      <xdr:rowOff>28558</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12970128" y="61245750"/>
          <a:ext cx="5493254" cy="4029058"/>
          <a:chOff x="14609151" y="54171930"/>
          <a:chExt cx="6375945" cy="3573305"/>
        </a:xfrm>
      </xdr:grpSpPr>
      <xdr:grpSp>
        <xdr:nvGrpSpPr>
          <xdr:cNvPr id="58" name="Group 57">
            <a:extLst>
              <a:ext uri="{FF2B5EF4-FFF2-40B4-BE49-F238E27FC236}">
                <a16:creationId xmlns:a16="http://schemas.microsoft.com/office/drawing/2014/main" id="{00000000-0008-0000-1300-00003A000000}"/>
              </a:ext>
            </a:extLst>
          </xdr:cNvPr>
          <xdr:cNvGrpSpPr/>
        </xdr:nvGrpSpPr>
        <xdr:grpSpPr>
          <a:xfrm>
            <a:off x="14609151" y="54171930"/>
            <a:ext cx="6375945" cy="3573305"/>
            <a:chOff x="14614778" y="54440667"/>
            <a:chExt cx="6378021" cy="3584558"/>
          </a:xfrm>
        </xdr:grpSpPr>
        <xdr:graphicFrame macro="">
          <xdr:nvGraphicFramePr>
            <xdr:cNvPr id="47" name="Chart 46">
              <a:extLst>
                <a:ext uri="{FF2B5EF4-FFF2-40B4-BE49-F238E27FC236}">
                  <a16:creationId xmlns:a16="http://schemas.microsoft.com/office/drawing/2014/main" id="{00000000-0008-0000-1300-00002F000000}"/>
                </a:ext>
              </a:extLst>
            </xdr:cNvPr>
            <xdr:cNvGraphicFramePr>
              <a:graphicFrameLocks/>
            </xdr:cNvGraphicFramePr>
          </xdr:nvGraphicFramePr>
          <xdr:xfrm>
            <a:off x="14614778" y="54440667"/>
            <a:ext cx="6378021" cy="358455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17062787" y="56779605"/>
              <a:ext cx="946206" cy="499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Energy Efficiency</a:t>
              </a:r>
            </a:p>
          </xdr:txBody>
        </xdr:sp>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15943732" y="57097700"/>
              <a:ext cx="1327680" cy="322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Clinker Substitution</a:t>
              </a:r>
            </a:p>
          </xdr:txBody>
        </xdr:sp>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17719575" y="55835475"/>
              <a:ext cx="855619" cy="494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Alt.</a:t>
              </a:r>
              <a:r>
                <a:rPr lang="en-US" sz="1100" baseline="0"/>
                <a:t> Fuels (Wastes)</a:t>
              </a:r>
              <a:endParaRPr lang="en-US" sz="1100"/>
            </a:p>
          </xdr:txBody>
        </xdr:sp>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451" y="55860652"/>
              <a:ext cx="774009" cy="38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Green H</a:t>
              </a:r>
              <a:r>
                <a:rPr lang="en-US" sz="1100" baseline="-25000"/>
                <a:t>2</a:t>
              </a:r>
            </a:p>
          </xdr:txBody>
        </xdr:sp>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19745878" y="55516246"/>
              <a:ext cx="423217" cy="494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CCS</a:t>
              </a:r>
              <a:endParaRPr lang="en-US" sz="1100" baseline="-25000"/>
            </a:p>
          </xdr:txBody>
        </xdr:sp>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17542911" y="56757864"/>
              <a:ext cx="854812" cy="357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Biomass</a:t>
              </a:r>
            </a:p>
          </xdr:txBody>
        </xdr:sp>
      </xdr:grpSp>
      <xdr:cxnSp macro="">
        <xdr:nvCxnSpPr>
          <xdr:cNvPr id="59" name="Straight Arrow Connector 58">
            <a:extLst>
              <a:ext uri="{FF2B5EF4-FFF2-40B4-BE49-F238E27FC236}">
                <a16:creationId xmlns:a16="http://schemas.microsoft.com/office/drawing/2014/main" id="{00000000-0008-0000-1300-00003B000000}"/>
              </a:ext>
            </a:extLst>
          </xdr:cNvPr>
          <xdr:cNvCxnSpPr/>
        </xdr:nvCxnSpPr>
        <xdr:spPr>
          <a:xfrm>
            <a:off x="17545667" y="56873410"/>
            <a:ext cx="190596" cy="191867"/>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61" name="Straight Arrow Connector 60">
            <a:extLst>
              <a:ext uri="{FF2B5EF4-FFF2-40B4-BE49-F238E27FC236}">
                <a16:creationId xmlns:a16="http://schemas.microsoft.com/office/drawing/2014/main" id="{00000000-0008-0000-1300-00003D000000}"/>
              </a:ext>
            </a:extLst>
          </xdr:cNvPr>
          <xdr:cNvCxnSpPr>
            <a:endCxn id="54" idx="2"/>
          </xdr:cNvCxnSpPr>
        </xdr:nvCxnSpPr>
        <xdr:spPr>
          <a:xfrm>
            <a:off x="17828896" y="56665065"/>
            <a:ext cx="131670" cy="172977"/>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0</xdr:colOff>
      <xdr:row>300</xdr:row>
      <xdr:rowOff>63500</xdr:rowOff>
    </xdr:from>
    <xdr:to>
      <xdr:col>8</xdr:col>
      <xdr:colOff>852716</xdr:colOff>
      <xdr:row>321</xdr:row>
      <xdr:rowOff>92058</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6724650" y="61309250"/>
          <a:ext cx="5691416" cy="4029058"/>
          <a:chOff x="7680285" y="54235430"/>
          <a:chExt cx="6374804" cy="3573305"/>
        </a:xfrm>
      </xdr:grpSpPr>
      <xdr:grpSp>
        <xdr:nvGrpSpPr>
          <xdr:cNvPr id="57" name="Group 56">
            <a:extLst>
              <a:ext uri="{FF2B5EF4-FFF2-40B4-BE49-F238E27FC236}">
                <a16:creationId xmlns:a16="http://schemas.microsoft.com/office/drawing/2014/main" id="{00000000-0008-0000-1300-000039000000}"/>
              </a:ext>
            </a:extLst>
          </xdr:cNvPr>
          <xdr:cNvGrpSpPr/>
        </xdr:nvGrpSpPr>
        <xdr:grpSpPr>
          <a:xfrm>
            <a:off x="7680285" y="54235430"/>
            <a:ext cx="6374804" cy="3573305"/>
            <a:chOff x="7683500" y="54504167"/>
            <a:chExt cx="6377216" cy="3584558"/>
          </a:xfrm>
        </xdr:grpSpPr>
        <xdr:graphicFrame macro="">
          <xdr:nvGraphicFramePr>
            <xdr:cNvPr id="40" name="Chart 39">
              <a:extLst>
                <a:ext uri="{FF2B5EF4-FFF2-40B4-BE49-F238E27FC236}">
                  <a16:creationId xmlns:a16="http://schemas.microsoft.com/office/drawing/2014/main" id="{00000000-0008-0000-1300-000028000000}"/>
                </a:ext>
              </a:extLst>
            </xdr:cNvPr>
            <xdr:cNvGraphicFramePr/>
          </xdr:nvGraphicFramePr>
          <xdr:xfrm>
            <a:off x="7683500" y="54504167"/>
            <a:ext cx="6377216" cy="3584558"/>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11191345" y="57056533"/>
              <a:ext cx="947015" cy="499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Energy Efficiency</a:t>
              </a:r>
            </a:p>
          </xdr:txBody>
        </xdr:sp>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9289067" y="57203459"/>
              <a:ext cx="1327678" cy="322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Clinker Substitution</a:t>
              </a:r>
            </a:p>
          </xdr:txBody>
        </xdr:sp>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12013362" y="56413301"/>
              <a:ext cx="855621" cy="494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Alt.</a:t>
              </a:r>
              <a:r>
                <a:rPr lang="en-US" sz="1100" baseline="0"/>
                <a:t> Fuels (Wastes)</a:t>
              </a:r>
              <a:endParaRPr lang="en-US" sz="1100"/>
            </a:p>
          </xdr:txBody>
        </xdr:sp>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12454189" y="56229213"/>
              <a:ext cx="774009" cy="383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Green H</a:t>
              </a:r>
              <a:r>
                <a:rPr lang="en-US" sz="1100" baseline="-25000"/>
                <a:t>2</a:t>
              </a:r>
            </a:p>
          </xdr:txBody>
        </xdr:sp>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1841543" y="56970178"/>
              <a:ext cx="854812" cy="3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Biomass</a:t>
              </a:r>
            </a:p>
          </xdr:txBody>
        </xdr:sp>
      </xdr:grpSp>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13262659" y="54940762"/>
            <a:ext cx="774278" cy="38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CCS</a:t>
            </a:r>
            <a:endParaRPr lang="en-US" sz="1100" baseline="-25000"/>
          </a:p>
        </xdr:txBody>
      </xdr:sp>
    </xdr:grpSp>
    <xdr:clientData/>
  </xdr:twoCellAnchor>
  <xdr:twoCellAnchor>
    <xdr:from>
      <xdr:col>0</xdr:col>
      <xdr:colOff>158750</xdr:colOff>
      <xdr:row>375</xdr:row>
      <xdr:rowOff>95250</xdr:rowOff>
    </xdr:from>
    <xdr:to>
      <xdr:col>2</xdr:col>
      <xdr:colOff>502373</xdr:colOff>
      <xdr:row>406</xdr:row>
      <xdr:rowOff>48685</xdr:rowOff>
    </xdr:to>
    <xdr:graphicFrame macro="">
      <xdr:nvGraphicFramePr>
        <xdr:cNvPr id="55" name="Chart 54">
          <a:extLst>
            <a:ext uri="{FF2B5EF4-FFF2-40B4-BE49-F238E27FC236}">
              <a16:creationId xmlns:a16="http://schemas.microsoft.com/office/drawing/2014/main" id="{00000000-0008-0000-1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199</xdr:row>
      <xdr:rowOff>158644</xdr:rowOff>
    </xdr:from>
    <xdr:to>
      <xdr:col>3</xdr:col>
      <xdr:colOff>500062</xdr:colOff>
      <xdr:row>233</xdr:row>
      <xdr:rowOff>117632</xdr:rowOff>
    </xdr:to>
    <xdr:graphicFrame macro="">
      <xdr:nvGraphicFramePr>
        <xdr:cNvPr id="30" name="Chart 29">
          <a:extLst>
            <a:ext uri="{FF2B5EF4-FFF2-40B4-BE49-F238E27FC236}">
              <a16:creationId xmlns:a16="http://schemas.microsoft.com/office/drawing/2014/main" id="{00000000-0008-0000-1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122351</xdr:colOff>
      <xdr:row>166</xdr:row>
      <xdr:rowOff>277813</xdr:rowOff>
    </xdr:from>
    <xdr:to>
      <xdr:col>3</xdr:col>
      <xdr:colOff>403203</xdr:colOff>
      <xdr:row>198</xdr:row>
      <xdr:rowOff>43280</xdr:rowOff>
    </xdr:to>
    <xdr:graphicFrame macro="">
      <xdr:nvGraphicFramePr>
        <xdr:cNvPr id="31" name="Chart 30">
          <a:extLst>
            <a:ext uri="{FF2B5EF4-FFF2-40B4-BE49-F238E27FC236}">
              <a16:creationId xmlns:a16="http://schemas.microsoft.com/office/drawing/2014/main" id="{00000000-0008-0000-1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89413</xdr:colOff>
      <xdr:row>140</xdr:row>
      <xdr:rowOff>83925</xdr:rowOff>
    </xdr:from>
    <xdr:to>
      <xdr:col>3</xdr:col>
      <xdr:colOff>454664</xdr:colOff>
      <xdr:row>169</xdr:row>
      <xdr:rowOff>76230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177</xdr:row>
      <xdr:rowOff>0</xdr:rowOff>
    </xdr:from>
    <xdr:to>
      <xdr:col>3</xdr:col>
      <xdr:colOff>365251</xdr:colOff>
      <xdr:row>206</xdr:row>
      <xdr:rowOff>84288</xdr:rowOff>
    </xdr:to>
    <xdr:graphicFrame macro="">
      <xdr:nvGraphicFramePr>
        <xdr:cNvPr id="9" name="Chart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495616</xdr:colOff>
      <xdr:row>164</xdr:row>
      <xdr:rowOff>114961</xdr:rowOff>
    </xdr:from>
    <xdr:to>
      <xdr:col>17</xdr:col>
      <xdr:colOff>174537</xdr:colOff>
      <xdr:row>182</xdr:row>
      <xdr:rowOff>22515</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7945416" y="32938111"/>
          <a:ext cx="5536796" cy="4089029"/>
          <a:chOff x="20517978" y="29657677"/>
          <a:chExt cx="6373135" cy="3548006"/>
        </a:xfrm>
      </xdr:grpSpPr>
      <xdr:graphicFrame macro="">
        <xdr:nvGraphicFramePr>
          <xdr:cNvPr id="12" name="Chart 11">
            <a:extLst>
              <a:ext uri="{FF2B5EF4-FFF2-40B4-BE49-F238E27FC236}">
                <a16:creationId xmlns:a16="http://schemas.microsoft.com/office/drawing/2014/main" id="{00000000-0008-0000-1500-00000C000000}"/>
              </a:ext>
            </a:extLst>
          </xdr:cNvPr>
          <xdr:cNvGraphicFramePr/>
        </xdr:nvGraphicFramePr>
        <xdr:xfrm>
          <a:off x="20517978" y="29657677"/>
          <a:ext cx="6373135" cy="3548006"/>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23124467" y="32267405"/>
            <a:ext cx="1241651" cy="33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Energy Efficiency</a:t>
            </a:r>
          </a:p>
        </xdr:txBody>
      </xdr:sp>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21273161" y="32336654"/>
            <a:ext cx="1326696" cy="247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Clinker Substitution</a:t>
            </a:r>
          </a:p>
        </xdr:txBody>
      </xdr:sp>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24779251" y="31867035"/>
            <a:ext cx="854698" cy="489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Alt.</a:t>
            </a:r>
            <a:r>
              <a:rPr lang="en-US" sz="1100" baseline="0"/>
              <a:t> Fuels (Wastes)</a:t>
            </a:r>
            <a:endParaRPr lang="en-US" sz="1100"/>
          </a:p>
        </xdr:txBody>
      </xdr:sp>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25577585" y="31553325"/>
            <a:ext cx="773906" cy="489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Green H</a:t>
            </a:r>
            <a:r>
              <a:rPr lang="en-US" sz="1100" baseline="-25000"/>
              <a:t>2</a:t>
            </a:r>
          </a:p>
        </xdr:txBody>
      </xdr:sp>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26282100" y="30221919"/>
            <a:ext cx="425222" cy="489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CCS</a:t>
            </a:r>
            <a:endParaRPr lang="en-US" sz="1100" baseline="-25000"/>
          </a:p>
        </xdr:txBody>
      </xdr:sp>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4435633" y="32214005"/>
            <a:ext cx="854698" cy="35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Biomass</a:t>
            </a:r>
          </a:p>
        </xdr:txBody>
      </xdr:sp>
    </xdr:grpSp>
    <xdr:clientData/>
  </xdr:twoCellAnchor>
  <xdr:twoCellAnchor>
    <xdr:from>
      <xdr:col>17</xdr:col>
      <xdr:colOff>508512</xdr:colOff>
      <xdr:row>161</xdr:row>
      <xdr:rowOff>58338</xdr:rowOff>
    </xdr:from>
    <xdr:to>
      <xdr:col>20</xdr:col>
      <xdr:colOff>3018809</xdr:colOff>
      <xdr:row>182</xdr:row>
      <xdr:rowOff>130585</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3816187" y="32309988"/>
          <a:ext cx="6510797" cy="4825222"/>
          <a:chOff x="27232282" y="29693379"/>
          <a:chExt cx="7418746" cy="4396903"/>
        </a:xfrm>
      </xdr:grpSpPr>
      <xdr:grpSp>
        <xdr:nvGrpSpPr>
          <xdr:cNvPr id="30" name="Group 29">
            <a:extLst>
              <a:ext uri="{FF2B5EF4-FFF2-40B4-BE49-F238E27FC236}">
                <a16:creationId xmlns:a16="http://schemas.microsoft.com/office/drawing/2014/main" id="{00000000-0008-0000-1500-00001E000000}"/>
              </a:ext>
            </a:extLst>
          </xdr:cNvPr>
          <xdr:cNvGrpSpPr/>
        </xdr:nvGrpSpPr>
        <xdr:grpSpPr>
          <a:xfrm>
            <a:off x="27232282" y="29693379"/>
            <a:ext cx="7418746" cy="4396903"/>
            <a:chOff x="20637689" y="34033521"/>
            <a:chExt cx="6331222" cy="3625077"/>
          </a:xfrm>
        </xdr:grpSpPr>
        <xdr:graphicFrame macro="">
          <xdr:nvGraphicFramePr>
            <xdr:cNvPr id="29" name="Chart 28">
              <a:extLst>
                <a:ext uri="{FF2B5EF4-FFF2-40B4-BE49-F238E27FC236}">
                  <a16:creationId xmlns:a16="http://schemas.microsoft.com/office/drawing/2014/main" id="{00000000-0008-0000-1500-00001D000000}"/>
                </a:ext>
              </a:extLst>
            </xdr:cNvPr>
            <xdr:cNvGraphicFramePr/>
          </xdr:nvGraphicFramePr>
          <xdr:xfrm>
            <a:off x="20637689" y="34033521"/>
            <a:ext cx="6331222" cy="362507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5448054" y="35712180"/>
              <a:ext cx="788026" cy="528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CCS</a:t>
              </a:r>
              <a:endParaRPr lang="en-US" sz="1100" baseline="-25000"/>
            </a:p>
          </xdr:txBody>
        </xdr:sp>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23665710" y="36058594"/>
              <a:ext cx="774334" cy="50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Green H</a:t>
              </a:r>
              <a:r>
                <a:rPr lang="en-US" sz="1100" baseline="-25000"/>
                <a:t>2</a:t>
              </a:r>
            </a:p>
          </xdr:txBody>
        </xdr:sp>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22146094" y="36673281"/>
              <a:ext cx="855171" cy="393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Biomass</a:t>
              </a:r>
            </a:p>
          </xdr:txBody>
        </xdr:sp>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22992975" y="36085465"/>
              <a:ext cx="855171" cy="50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Alt.</a:t>
              </a:r>
              <a:r>
                <a:rPr lang="en-US" sz="1100" baseline="0"/>
                <a:t> Fuels (Wastes)</a:t>
              </a:r>
              <a:endParaRPr lang="en-US" sz="1100"/>
            </a:p>
          </xdr:txBody>
        </xdr:sp>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21144397" y="36878261"/>
              <a:ext cx="1366631" cy="317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Clinker Substitution</a:t>
              </a:r>
            </a:p>
          </xdr:txBody>
        </xdr:sp>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2597481" y="36417319"/>
              <a:ext cx="778333" cy="405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Energy Efficiency</a:t>
              </a:r>
            </a:p>
          </xdr:txBody>
        </xdr:sp>
      </xdr:grpSp>
      <xdr:cxnSp macro="">
        <xdr:nvCxnSpPr>
          <xdr:cNvPr id="21" name="Straight Arrow Connector 20">
            <a:extLst>
              <a:ext uri="{FF2B5EF4-FFF2-40B4-BE49-F238E27FC236}">
                <a16:creationId xmlns:a16="http://schemas.microsoft.com/office/drawing/2014/main" id="{00000000-0008-0000-1500-000015000000}"/>
              </a:ext>
            </a:extLst>
          </xdr:cNvPr>
          <xdr:cNvCxnSpPr/>
        </xdr:nvCxnSpPr>
        <xdr:spPr>
          <a:xfrm>
            <a:off x="29928966" y="32985868"/>
            <a:ext cx="113191" cy="251773"/>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00000000-0008-0000-1500-000016000000}"/>
              </a:ext>
            </a:extLst>
          </xdr:cNvPr>
          <xdr:cNvCxnSpPr/>
        </xdr:nvCxnSpPr>
        <xdr:spPr>
          <a:xfrm>
            <a:off x="29389552" y="33131689"/>
            <a:ext cx="70847" cy="122014"/>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16</xdr:col>
      <xdr:colOff>560494</xdr:colOff>
      <xdr:row>177</xdr:row>
      <xdr:rowOff>394420</xdr:rowOff>
    </xdr:from>
    <xdr:to>
      <xdr:col>16</xdr:col>
      <xdr:colOff>695371</xdr:colOff>
      <xdr:row>178</xdr:row>
      <xdr:rowOff>28548</xdr:rowOff>
    </xdr:to>
    <xdr:cxnSp macro="">
      <xdr:nvCxnSpPr>
        <xdr:cNvPr id="31" name="Straight Arrow Connector 30">
          <a:extLst>
            <a:ext uri="{FF2B5EF4-FFF2-40B4-BE49-F238E27FC236}">
              <a16:creationId xmlns:a16="http://schemas.microsoft.com/office/drawing/2014/main" id="{00000000-0008-0000-1500-00001F000000}"/>
            </a:ext>
          </a:extLst>
        </xdr:cNvPr>
        <xdr:cNvCxnSpPr>
          <a:endCxn id="19" idx="2"/>
        </xdr:cNvCxnSpPr>
      </xdr:nvCxnSpPr>
      <xdr:spPr>
        <a:xfrm>
          <a:off x="24649526" y="32664199"/>
          <a:ext cx="134877" cy="164147"/>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944819</xdr:colOff>
      <xdr:row>177</xdr:row>
      <xdr:rowOff>238125</xdr:rowOff>
    </xdr:from>
    <xdr:to>
      <xdr:col>16</xdr:col>
      <xdr:colOff>1049747</xdr:colOff>
      <xdr:row>177</xdr:row>
      <xdr:rowOff>491267</xdr:rowOff>
    </xdr:to>
    <xdr:cxnSp macro="">
      <xdr:nvCxnSpPr>
        <xdr:cNvPr id="32" name="Straight Arrow Connector 31">
          <a:extLst>
            <a:ext uri="{FF2B5EF4-FFF2-40B4-BE49-F238E27FC236}">
              <a16:creationId xmlns:a16="http://schemas.microsoft.com/office/drawing/2014/main" id="{00000000-0008-0000-1500-000020000000}"/>
            </a:ext>
          </a:extLst>
        </xdr:cNvPr>
        <xdr:cNvCxnSpPr/>
      </xdr:nvCxnSpPr>
      <xdr:spPr>
        <a:xfrm>
          <a:off x="25033851" y="32507904"/>
          <a:ext cx="104928" cy="253142"/>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109</xdr:row>
      <xdr:rowOff>122903</xdr:rowOff>
    </xdr:from>
    <xdr:to>
      <xdr:col>3</xdr:col>
      <xdr:colOff>365251</xdr:colOff>
      <xdr:row>138</xdr:row>
      <xdr:rowOff>161296</xdr:rowOff>
    </xdr:to>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6806</xdr:colOff>
      <xdr:row>138</xdr:row>
      <xdr:rowOff>13911</xdr:rowOff>
    </xdr:from>
    <xdr:to>
      <xdr:col>3</xdr:col>
      <xdr:colOff>372057</xdr:colOff>
      <xdr:row>169</xdr:row>
      <xdr:rowOff>73176</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176</xdr:row>
      <xdr:rowOff>101774</xdr:rowOff>
    </xdr:from>
    <xdr:to>
      <xdr:col>3</xdr:col>
      <xdr:colOff>365251</xdr:colOff>
      <xdr:row>205</xdr:row>
      <xdr:rowOff>134944</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275474</xdr:colOff>
      <xdr:row>162</xdr:row>
      <xdr:rowOff>103488</xdr:rowOff>
    </xdr:from>
    <xdr:to>
      <xdr:col>19</xdr:col>
      <xdr:colOff>756233</xdr:colOff>
      <xdr:row>179</xdr:row>
      <xdr:rowOff>83797</xdr:rowOff>
    </xdr:to>
    <xdr:grpSp>
      <xdr:nvGrpSpPr>
        <xdr:cNvPr id="4" name="Group 3">
          <a:extLst>
            <a:ext uri="{FF2B5EF4-FFF2-40B4-BE49-F238E27FC236}">
              <a16:creationId xmlns:a16="http://schemas.microsoft.com/office/drawing/2014/main" id="{00000000-0008-0000-1700-000004000000}"/>
            </a:ext>
          </a:extLst>
        </xdr:cNvPr>
        <xdr:cNvGrpSpPr/>
      </xdr:nvGrpSpPr>
      <xdr:grpSpPr>
        <a:xfrm>
          <a:off x="17963399" y="33536238"/>
          <a:ext cx="5662359" cy="3961759"/>
          <a:chOff x="20517979" y="29657677"/>
          <a:chExt cx="6373135" cy="3548006"/>
        </a:xfrm>
      </xdr:grpSpPr>
      <xdr:graphicFrame macro="">
        <xdr:nvGraphicFramePr>
          <xdr:cNvPr id="5" name="Chart 4">
            <a:extLst>
              <a:ext uri="{FF2B5EF4-FFF2-40B4-BE49-F238E27FC236}">
                <a16:creationId xmlns:a16="http://schemas.microsoft.com/office/drawing/2014/main" id="{00000000-0008-0000-1700-000005000000}"/>
              </a:ext>
            </a:extLst>
          </xdr:cNvPr>
          <xdr:cNvGraphicFramePr/>
        </xdr:nvGraphicFramePr>
        <xdr:xfrm>
          <a:off x="20517979" y="29657677"/>
          <a:ext cx="6373135" cy="3548006"/>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23088334" y="32267173"/>
            <a:ext cx="1241651" cy="33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Energy Efficiency</a:t>
            </a:r>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21285020" y="32342930"/>
            <a:ext cx="1326696" cy="319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Clinker Substitution</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24797017" y="31970160"/>
            <a:ext cx="854698" cy="489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Alt.</a:t>
            </a:r>
            <a:r>
              <a:rPr lang="en-US" sz="1100" baseline="0"/>
              <a:t> Fuels (Wastes)</a:t>
            </a:r>
            <a:endParaRPr lang="en-US" sz="1100"/>
          </a:p>
        </xdr:txBody>
      </xdr:sp>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25708686" y="31638187"/>
            <a:ext cx="773906" cy="489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Green H</a:t>
            </a:r>
            <a:r>
              <a:rPr lang="en-US" sz="1100" baseline="-25000"/>
              <a:t>2</a:t>
            </a:r>
          </a:p>
        </xdr:txBody>
      </xdr:sp>
      <xdr:sp macro="" textlink="">
        <xdr:nvSpPr>
          <xdr:cNvPr id="10" name="TextBox 9">
            <a:extLst>
              <a:ext uri="{FF2B5EF4-FFF2-40B4-BE49-F238E27FC236}">
                <a16:creationId xmlns:a16="http://schemas.microsoft.com/office/drawing/2014/main" id="{00000000-0008-0000-1700-00000A000000}"/>
              </a:ext>
            </a:extLst>
          </xdr:cNvPr>
          <xdr:cNvSpPr txBox="1"/>
        </xdr:nvSpPr>
        <xdr:spPr>
          <a:xfrm>
            <a:off x="26331505" y="30246487"/>
            <a:ext cx="425222" cy="489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CCS</a:t>
            </a:r>
            <a:endParaRPr lang="en-US" sz="1100" baseline="-25000"/>
          </a:p>
        </xdr:txBody>
      </xdr:sp>
      <xdr:sp macro="" textlink="">
        <xdr:nvSpPr>
          <xdr:cNvPr id="11" name="TextBox 10">
            <a:extLst>
              <a:ext uri="{FF2B5EF4-FFF2-40B4-BE49-F238E27FC236}">
                <a16:creationId xmlns:a16="http://schemas.microsoft.com/office/drawing/2014/main" id="{00000000-0008-0000-1700-00000B000000}"/>
              </a:ext>
            </a:extLst>
          </xdr:cNvPr>
          <xdr:cNvSpPr txBox="1"/>
        </xdr:nvSpPr>
        <xdr:spPr>
          <a:xfrm>
            <a:off x="24342441" y="32258719"/>
            <a:ext cx="854698" cy="35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Biomass</a:t>
            </a:r>
          </a:p>
        </xdr:txBody>
      </xdr:sp>
    </xdr:grpSp>
    <xdr:clientData/>
  </xdr:twoCellAnchor>
  <xdr:twoCellAnchor>
    <xdr:from>
      <xdr:col>19</xdr:col>
      <xdr:colOff>1131321</xdr:colOff>
      <xdr:row>162</xdr:row>
      <xdr:rowOff>70518</xdr:rowOff>
    </xdr:from>
    <xdr:to>
      <xdr:col>27</xdr:col>
      <xdr:colOff>342826</xdr:colOff>
      <xdr:row>179</xdr:row>
      <xdr:rowOff>54819</xdr:rowOff>
    </xdr:to>
    <xdr:grpSp>
      <xdr:nvGrpSpPr>
        <xdr:cNvPr id="23" name="Group 22">
          <a:extLst>
            <a:ext uri="{FF2B5EF4-FFF2-40B4-BE49-F238E27FC236}">
              <a16:creationId xmlns:a16="http://schemas.microsoft.com/office/drawing/2014/main" id="{00000000-0008-0000-1700-000017000000}"/>
            </a:ext>
          </a:extLst>
        </xdr:cNvPr>
        <xdr:cNvGrpSpPr/>
      </xdr:nvGrpSpPr>
      <xdr:grpSpPr>
        <a:xfrm>
          <a:off x="24000846" y="33503268"/>
          <a:ext cx="5517055" cy="3965751"/>
          <a:chOff x="21218634" y="35593550"/>
          <a:chExt cx="6335683" cy="3585534"/>
        </a:xfrm>
      </xdr:grpSpPr>
      <xdr:grpSp>
        <xdr:nvGrpSpPr>
          <xdr:cNvPr id="27" name="Group 26">
            <a:extLst>
              <a:ext uri="{FF2B5EF4-FFF2-40B4-BE49-F238E27FC236}">
                <a16:creationId xmlns:a16="http://schemas.microsoft.com/office/drawing/2014/main" id="{00000000-0008-0000-1700-00001B000000}"/>
              </a:ext>
            </a:extLst>
          </xdr:cNvPr>
          <xdr:cNvGrpSpPr/>
        </xdr:nvGrpSpPr>
        <xdr:grpSpPr>
          <a:xfrm>
            <a:off x="21218634" y="35593550"/>
            <a:ext cx="6335683" cy="3585534"/>
            <a:chOff x="24926929" y="35940951"/>
            <a:chExt cx="6330616" cy="3595319"/>
          </a:xfrm>
        </xdr:grpSpPr>
        <xdr:grpSp>
          <xdr:nvGrpSpPr>
            <xdr:cNvPr id="12" name="Group 11">
              <a:extLst>
                <a:ext uri="{FF2B5EF4-FFF2-40B4-BE49-F238E27FC236}">
                  <a16:creationId xmlns:a16="http://schemas.microsoft.com/office/drawing/2014/main" id="{00000000-0008-0000-1700-00000C000000}"/>
                </a:ext>
              </a:extLst>
            </xdr:cNvPr>
            <xdr:cNvGrpSpPr/>
          </xdr:nvGrpSpPr>
          <xdr:grpSpPr>
            <a:xfrm>
              <a:off x="24926929" y="35940951"/>
              <a:ext cx="6330616" cy="3595319"/>
              <a:chOff x="20576902" y="34033526"/>
              <a:chExt cx="6331222" cy="3625077"/>
            </a:xfrm>
          </xdr:grpSpPr>
          <xdr:graphicFrame macro="">
            <xdr:nvGraphicFramePr>
              <xdr:cNvPr id="13" name="Chart 12">
                <a:extLst>
                  <a:ext uri="{FF2B5EF4-FFF2-40B4-BE49-F238E27FC236}">
                    <a16:creationId xmlns:a16="http://schemas.microsoft.com/office/drawing/2014/main" id="{00000000-0008-0000-1700-00000D000000}"/>
                  </a:ext>
                </a:extLst>
              </xdr:cNvPr>
              <xdr:cNvGraphicFramePr/>
            </xdr:nvGraphicFramePr>
            <xdr:xfrm>
              <a:off x="20576902" y="34033526"/>
              <a:ext cx="6331222" cy="362507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4" name="TextBox 13">
                <a:extLst>
                  <a:ext uri="{FF2B5EF4-FFF2-40B4-BE49-F238E27FC236}">
                    <a16:creationId xmlns:a16="http://schemas.microsoft.com/office/drawing/2014/main" id="{00000000-0008-0000-1700-00000E000000}"/>
                  </a:ext>
                </a:extLst>
              </xdr:cNvPr>
              <xdr:cNvSpPr txBox="1"/>
            </xdr:nvSpPr>
            <xdr:spPr>
              <a:xfrm>
                <a:off x="25097430" y="35720477"/>
                <a:ext cx="425457" cy="50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CCS</a:t>
                </a:r>
                <a:endParaRPr lang="en-US" sz="1100" baseline="-25000"/>
              </a:p>
            </xdr:txBody>
          </xdr:sp>
          <xdr:sp macro="" textlink="">
            <xdr:nvSpPr>
              <xdr:cNvPr id="15" name="TextBox 14">
                <a:extLst>
                  <a:ext uri="{FF2B5EF4-FFF2-40B4-BE49-F238E27FC236}">
                    <a16:creationId xmlns:a16="http://schemas.microsoft.com/office/drawing/2014/main" id="{00000000-0008-0000-1700-00000F000000}"/>
                  </a:ext>
                </a:extLst>
              </xdr:cNvPr>
              <xdr:cNvSpPr txBox="1"/>
            </xdr:nvSpPr>
            <xdr:spPr>
              <a:xfrm>
                <a:off x="23187190" y="36108311"/>
                <a:ext cx="774334" cy="50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Green H</a:t>
                </a:r>
                <a:r>
                  <a:rPr lang="en-US" sz="1100" baseline="-25000"/>
                  <a:t>2</a:t>
                </a:r>
              </a:p>
            </xdr:txBody>
          </xdr:sp>
          <xdr:sp macro="" textlink="">
            <xdr:nvSpPr>
              <xdr:cNvPr id="16" name="TextBox 15">
                <a:extLst>
                  <a:ext uri="{FF2B5EF4-FFF2-40B4-BE49-F238E27FC236}">
                    <a16:creationId xmlns:a16="http://schemas.microsoft.com/office/drawing/2014/main" id="{00000000-0008-0000-1700-000010000000}"/>
                  </a:ext>
                </a:extLst>
              </xdr:cNvPr>
              <xdr:cNvSpPr txBox="1"/>
            </xdr:nvSpPr>
            <xdr:spPr>
              <a:xfrm>
                <a:off x="21967041" y="36534372"/>
                <a:ext cx="855171" cy="393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Biomass</a:t>
                </a:r>
              </a:p>
            </xdr:txBody>
          </xdr:sp>
          <xdr:sp macro="" textlink="">
            <xdr:nvSpPr>
              <xdr:cNvPr id="17" name="TextBox 16">
                <a:extLst>
                  <a:ext uri="{FF2B5EF4-FFF2-40B4-BE49-F238E27FC236}">
                    <a16:creationId xmlns:a16="http://schemas.microsoft.com/office/drawing/2014/main" id="{00000000-0008-0000-1700-000011000000}"/>
                  </a:ext>
                </a:extLst>
              </xdr:cNvPr>
              <xdr:cNvSpPr txBox="1"/>
            </xdr:nvSpPr>
            <xdr:spPr>
              <a:xfrm>
                <a:off x="22598782" y="36231696"/>
                <a:ext cx="855171" cy="50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Alt.</a:t>
                </a:r>
                <a:r>
                  <a:rPr lang="en-US" sz="1100" baseline="0"/>
                  <a:t> Fuels (Wastes)</a:t>
                </a:r>
                <a:endParaRPr lang="en-US" sz="1100"/>
              </a:p>
            </xdr:txBody>
          </xdr:sp>
          <xdr:sp macro="" textlink="">
            <xdr:nvSpPr>
              <xdr:cNvPr id="18" name="TextBox 17">
                <a:extLst>
                  <a:ext uri="{FF2B5EF4-FFF2-40B4-BE49-F238E27FC236}">
                    <a16:creationId xmlns:a16="http://schemas.microsoft.com/office/drawing/2014/main" id="{00000000-0008-0000-1700-000012000000}"/>
                  </a:ext>
                </a:extLst>
              </xdr:cNvPr>
              <xdr:cNvSpPr txBox="1"/>
            </xdr:nvSpPr>
            <xdr:spPr>
              <a:xfrm>
                <a:off x="21147936" y="36616331"/>
                <a:ext cx="925752" cy="495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Clinker Substitution</a:t>
                </a:r>
              </a:p>
            </xdr:txBody>
          </xdr:sp>
          <xdr:sp macro="" textlink="">
            <xdr:nvSpPr>
              <xdr:cNvPr id="19" name="TextBox 18">
                <a:extLst>
                  <a:ext uri="{FF2B5EF4-FFF2-40B4-BE49-F238E27FC236}">
                    <a16:creationId xmlns:a16="http://schemas.microsoft.com/office/drawing/2014/main" id="{00000000-0008-0000-1700-000013000000}"/>
                  </a:ext>
                </a:extLst>
              </xdr:cNvPr>
              <xdr:cNvSpPr txBox="1"/>
            </xdr:nvSpPr>
            <xdr:spPr>
              <a:xfrm>
                <a:off x="22017743" y="35966915"/>
                <a:ext cx="778333" cy="63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Energy Efficiency</a:t>
                </a:r>
              </a:p>
            </xdr:txBody>
          </xdr:sp>
        </xdr:grpSp>
        <xdr:cxnSp macro="">
          <xdr:nvCxnSpPr>
            <xdr:cNvPr id="20" name="Straight Arrow Connector 19">
              <a:extLst>
                <a:ext uri="{FF2B5EF4-FFF2-40B4-BE49-F238E27FC236}">
                  <a16:creationId xmlns:a16="http://schemas.microsoft.com/office/drawing/2014/main" id="{00000000-0008-0000-1700-000014000000}"/>
                </a:ext>
              </a:extLst>
            </xdr:cNvPr>
            <xdr:cNvCxnSpPr/>
          </xdr:nvCxnSpPr>
          <xdr:spPr>
            <a:xfrm>
              <a:off x="26840770" y="38238363"/>
              <a:ext cx="145321" cy="506999"/>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21" name="Straight Arrow Connector 20">
              <a:extLst>
                <a:ext uri="{FF2B5EF4-FFF2-40B4-BE49-F238E27FC236}">
                  <a16:creationId xmlns:a16="http://schemas.microsoft.com/office/drawing/2014/main" id="{00000000-0008-0000-1700-000015000000}"/>
                </a:ext>
              </a:extLst>
            </xdr:cNvPr>
            <xdr:cNvCxnSpPr/>
          </xdr:nvCxnSpPr>
          <xdr:spPr>
            <a:xfrm>
              <a:off x="26623888" y="38614197"/>
              <a:ext cx="124845" cy="159523"/>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grpSp>
      <xdr:cxnSp macro="">
        <xdr:nvCxnSpPr>
          <xdr:cNvPr id="24" name="Straight Arrow Connector 23">
            <a:extLst>
              <a:ext uri="{FF2B5EF4-FFF2-40B4-BE49-F238E27FC236}">
                <a16:creationId xmlns:a16="http://schemas.microsoft.com/office/drawing/2014/main" id="{00000000-0008-0000-1700-000018000000}"/>
              </a:ext>
            </a:extLst>
          </xdr:cNvPr>
          <xdr:cNvCxnSpPr/>
        </xdr:nvCxnSpPr>
        <xdr:spPr>
          <a:xfrm>
            <a:off x="23636354" y="38178288"/>
            <a:ext cx="124945" cy="159089"/>
          </a:xfrm>
          <a:prstGeom prst="straightConnector1">
            <a:avLst/>
          </a:prstGeom>
          <a:ln w="9525">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0</xdr:col>
      <xdr:colOff>91336</xdr:colOff>
      <xdr:row>108</xdr:row>
      <xdr:rowOff>123956</xdr:rowOff>
    </xdr:from>
    <xdr:to>
      <xdr:col>3</xdr:col>
      <xdr:colOff>456587</xdr:colOff>
      <xdr:row>137</xdr:row>
      <xdr:rowOff>155300</xdr:rowOff>
    </xdr:to>
    <xdr:graphicFrame macro="">
      <xdr:nvGraphicFramePr>
        <xdr:cNvPr id="25" name="Chart 24">
          <a:extLst>
            <a:ext uri="{FF2B5EF4-FFF2-40B4-BE49-F238E27FC236}">
              <a16:creationId xmlns:a16="http://schemas.microsoft.com/office/drawing/2014/main" id="{00000000-0008-0000-1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1841</xdr:row>
          <xdr:rowOff>0</xdr:rowOff>
        </xdr:from>
        <xdr:to>
          <xdr:col>9</xdr:col>
          <xdr:colOff>276225</xdr:colOff>
          <xdr:row>1868</xdr:row>
          <xdr:rowOff>57150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26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4</xdr:col>
      <xdr:colOff>1245657</xdr:colOff>
      <xdr:row>0</xdr:row>
      <xdr:rowOff>73025</xdr:rowOff>
    </xdr:from>
    <xdr:ext cx="3336660" cy="906198"/>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1632" y="73025"/>
          <a:ext cx="3336660" cy="906198"/>
        </a:xfrm>
        <a:prstGeom prst="rect">
          <a:avLst/>
        </a:prstGeom>
        <a:ln w="3175">
          <a:noFill/>
        </a:ln>
      </xdr:spPr>
    </xdr:pic>
    <xdr:clientData/>
  </xdr:oneCellAnchor>
  <xdr:oneCellAnchor>
    <xdr:from>
      <xdr:col>2</xdr:col>
      <xdr:colOff>1093611</xdr:colOff>
      <xdr:row>366</xdr:row>
      <xdr:rowOff>94075</xdr:rowOff>
    </xdr:from>
    <xdr:ext cx="6152840" cy="4936398"/>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98486" y="59358625"/>
          <a:ext cx="6152840" cy="493639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65</xdr:row>
      <xdr:rowOff>0</xdr:rowOff>
    </xdr:from>
    <xdr:to>
      <xdr:col>4</xdr:col>
      <xdr:colOff>1158298</xdr:colOff>
      <xdr:row>102</xdr:row>
      <xdr:rowOff>106795</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00"/>
          <a:ext cx="7153275" cy="7048500"/>
        </a:xfrm>
        <a:prstGeom prst="rect">
          <a:avLst/>
        </a:prstGeom>
      </xdr:spPr>
    </xdr:pic>
    <xdr:clientData/>
  </xdr:twoCellAnchor>
  <xdr:twoCellAnchor editAs="oneCell">
    <xdr:from>
      <xdr:col>0</xdr:col>
      <xdr:colOff>0</xdr:colOff>
      <xdr:row>103</xdr:row>
      <xdr:rowOff>0</xdr:rowOff>
    </xdr:from>
    <xdr:to>
      <xdr:col>5</xdr:col>
      <xdr:colOff>501650</xdr:colOff>
      <xdr:row>136</xdr:row>
      <xdr:rowOff>112718</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511818"/>
          <a:ext cx="7772400" cy="6303968"/>
        </a:xfrm>
        <a:prstGeom prst="rect">
          <a:avLst/>
        </a:prstGeom>
      </xdr:spPr>
    </xdr:pic>
    <xdr:clientData/>
  </xdr:twoCellAnchor>
  <xdr:twoCellAnchor editAs="oneCell">
    <xdr:from>
      <xdr:col>0</xdr:col>
      <xdr:colOff>0</xdr:colOff>
      <xdr:row>139</xdr:row>
      <xdr:rowOff>0</xdr:rowOff>
    </xdr:from>
    <xdr:to>
      <xdr:col>3</xdr:col>
      <xdr:colOff>361618</xdr:colOff>
      <xdr:row>164</xdr:row>
      <xdr:rowOff>8901</xdr:rowOff>
    </xdr:to>
    <xdr:pic>
      <xdr:nvPicPr>
        <xdr:cNvPr id="7" name="Picture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6265909"/>
          <a:ext cx="4769095" cy="4699242"/>
        </a:xfrm>
        <a:prstGeom prst="rect">
          <a:avLst/>
        </a:prstGeom>
      </xdr:spPr>
    </xdr:pic>
    <xdr:clientData/>
  </xdr:twoCellAnchor>
  <xdr:twoCellAnchor editAs="oneCell">
    <xdr:from>
      <xdr:col>0</xdr:col>
      <xdr:colOff>0</xdr:colOff>
      <xdr:row>164</xdr:row>
      <xdr:rowOff>0</xdr:rowOff>
    </xdr:from>
    <xdr:to>
      <xdr:col>5</xdr:col>
      <xdr:colOff>501650</xdr:colOff>
      <xdr:row>197</xdr:row>
      <xdr:rowOff>112718</xdr:rowOff>
    </xdr:to>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0956250"/>
          <a:ext cx="7772400" cy="63039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355356</xdr:colOff>
      <xdr:row>1</xdr:row>
      <xdr:rowOff>155331</xdr:rowOff>
    </xdr:from>
    <xdr:to>
      <xdr:col>18</xdr:col>
      <xdr:colOff>202956</xdr:colOff>
      <xdr:row>43</xdr:row>
      <xdr:rowOff>189538</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1914" y="155331"/>
          <a:ext cx="7753350" cy="803520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7696256" cy="8248707"/>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696256" cy="8248707"/>
        </a:xfrm>
        <a:prstGeom prst="rect">
          <a:avLst/>
        </a:prstGeom>
      </xdr:spPr>
    </xdr:pic>
    <xdr:clientData/>
  </xdr:oneCellAnchor>
  <xdr:oneCellAnchor>
    <xdr:from>
      <xdr:col>0</xdr:col>
      <xdr:colOff>0</xdr:colOff>
      <xdr:row>46</xdr:row>
      <xdr:rowOff>0</xdr:rowOff>
    </xdr:from>
    <xdr:ext cx="7391454" cy="8420158"/>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8324850"/>
          <a:ext cx="7391454" cy="8420158"/>
        </a:xfrm>
        <a:prstGeom prst="rect">
          <a:avLst/>
        </a:prstGeom>
      </xdr:spPr>
    </xdr:pic>
    <xdr:clientData/>
  </xdr:oneCellAnchor>
  <xdr:oneCellAnchor>
    <xdr:from>
      <xdr:col>0</xdr:col>
      <xdr:colOff>0</xdr:colOff>
      <xdr:row>96</xdr:row>
      <xdr:rowOff>0</xdr:rowOff>
    </xdr:from>
    <xdr:ext cx="5953169" cy="7734354"/>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17373600"/>
          <a:ext cx="5953169" cy="773435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140127</xdr:colOff>
      <xdr:row>60</xdr:row>
      <xdr:rowOff>130877</xdr:rowOff>
    </xdr:from>
    <xdr:to>
      <xdr:col>14</xdr:col>
      <xdr:colOff>380084</xdr:colOff>
      <xdr:row>91</xdr:row>
      <xdr:rowOff>157070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139212</xdr:colOff>
      <xdr:row>104</xdr:row>
      <xdr:rowOff>97448</xdr:rowOff>
    </xdr:from>
    <xdr:to>
      <xdr:col>14</xdr:col>
      <xdr:colOff>351692</xdr:colOff>
      <xdr:row>136</xdr:row>
      <xdr:rowOff>109904</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149087</xdr:colOff>
      <xdr:row>148</xdr:row>
      <xdr:rowOff>82826</xdr:rowOff>
    </xdr:from>
    <xdr:to>
      <xdr:col>14</xdr:col>
      <xdr:colOff>361567</xdr:colOff>
      <xdr:row>181</xdr:row>
      <xdr:rowOff>82826</xdr:rowOff>
    </xdr:to>
    <xdr:graphicFrame macro="">
      <xdr:nvGraphicFramePr>
        <xdr:cNvPr id="3" name="Chart 2">
          <a:extLst>
            <a:ext uri="{FF2B5EF4-FFF2-40B4-BE49-F238E27FC236}">
              <a16:creationId xmlns:a16="http://schemas.microsoft.com/office/drawing/2014/main" id="{762D73F5-A340-450B-BEC6-31879174E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0.97914</cdr:x>
      <cdr:y>0.13925</cdr:y>
    </cdr:from>
    <cdr:to>
      <cdr:x>0.98491</cdr:x>
      <cdr:y>0.95648</cdr:y>
    </cdr:to>
    <cdr:sp macro="" textlink="">
      <cdr:nvSpPr>
        <cdr:cNvPr id="2" name="Rectangle 1">
          <a:extLst xmlns:a="http://schemas.openxmlformats.org/drawingml/2006/main">
            <a:ext uri="{FF2B5EF4-FFF2-40B4-BE49-F238E27FC236}">
              <a16:creationId xmlns:a16="http://schemas.microsoft.com/office/drawing/2014/main" id="{C5C0A41A-B9EA-F144-CFE4-589A0EEAB408}"/>
            </a:ext>
          </a:extLst>
        </cdr:cNvPr>
        <cdr:cNvSpPr/>
      </cdr:nvSpPr>
      <cdr:spPr>
        <a:xfrm xmlns:a="http://schemas.openxmlformats.org/drawingml/2006/main">
          <a:off x="12929088" y="824095"/>
          <a:ext cx="76200" cy="483631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98819</xdr:colOff>
      <xdr:row>10</xdr:row>
      <xdr:rowOff>141683</xdr:rowOff>
    </xdr:from>
    <xdr:to>
      <xdr:col>19</xdr:col>
      <xdr:colOff>504824</xdr:colOff>
      <xdr:row>41</xdr:row>
      <xdr:rowOff>161925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142875</xdr:colOff>
      <xdr:row>54</xdr:row>
      <xdr:rowOff>114300</xdr:rowOff>
    </xdr:from>
    <xdr:to>
      <xdr:col>19</xdr:col>
      <xdr:colOff>548880</xdr:colOff>
      <xdr:row>85</xdr:row>
      <xdr:rowOff>134542</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oneCellAnchor>
    <xdr:from>
      <xdr:col>2</xdr:col>
      <xdr:colOff>279118</xdr:colOff>
      <xdr:row>68</xdr:row>
      <xdr:rowOff>28576</xdr:rowOff>
    </xdr:from>
    <xdr:ext cx="1262742" cy="530658"/>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755618" y="12982576"/>
          <a:ext cx="1262742"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49% demand reduction</a:t>
          </a:r>
        </a:p>
      </xdr:txBody>
    </xdr:sp>
    <xdr:clientData/>
  </xdr:oneCellAnchor>
  <xdr:twoCellAnchor>
    <xdr:from>
      <xdr:col>0</xdr:col>
      <xdr:colOff>1304925</xdr:colOff>
      <xdr:row>60</xdr:row>
      <xdr:rowOff>171450</xdr:rowOff>
    </xdr:from>
    <xdr:to>
      <xdr:col>1</xdr:col>
      <xdr:colOff>459580</xdr:colOff>
      <xdr:row>71</xdr:row>
      <xdr:rowOff>119742</xdr:rowOff>
    </xdr:to>
    <xdr:sp macro="" textlink="">
      <xdr:nvSpPr>
        <xdr:cNvPr id="19" name="Rectangle 18">
          <a:extLst>
            <a:ext uri="{FF2B5EF4-FFF2-40B4-BE49-F238E27FC236}">
              <a16:creationId xmlns:a16="http://schemas.microsoft.com/office/drawing/2014/main" id="{00000000-0008-0000-0300-000013000000}"/>
            </a:ext>
          </a:extLst>
        </xdr:cNvPr>
        <xdr:cNvSpPr/>
      </xdr:nvSpPr>
      <xdr:spPr>
        <a:xfrm>
          <a:off x="1304925" y="11601450"/>
          <a:ext cx="1021555" cy="2043792"/>
        </a:xfrm>
        <a:prstGeom prst="rect">
          <a:avLst/>
        </a:prstGeom>
        <a:pattFill prst="wdUpDiag">
          <a:fgClr>
            <a:schemeClr val="tx1"/>
          </a:fgClr>
          <a:bgClr>
            <a:srgbClr val="7280C8"/>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114300</xdr:colOff>
      <xdr:row>69</xdr:row>
      <xdr:rowOff>95250</xdr:rowOff>
    </xdr:from>
    <xdr:to>
      <xdr:col>2</xdr:col>
      <xdr:colOff>244928</xdr:colOff>
      <xdr:row>69</xdr:row>
      <xdr:rowOff>95250</xdr:rowOff>
    </xdr:to>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a:off x="1981200" y="13239750"/>
          <a:ext cx="740228" cy="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1311729</xdr:colOff>
      <xdr:row>71</xdr:row>
      <xdr:rowOff>114300</xdr:rowOff>
    </xdr:from>
    <xdr:to>
      <xdr:col>5</xdr:col>
      <xdr:colOff>45302</xdr:colOff>
      <xdr:row>71</xdr:row>
      <xdr:rowOff>114300</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flipH="1">
          <a:off x="1311729" y="13639800"/>
          <a:ext cx="3038873" cy="0"/>
        </a:xfrm>
        <a:prstGeom prst="line">
          <a:avLst/>
        </a:prstGeom>
        <a:ln w="38100">
          <a:solidFill>
            <a:schemeClr val="tx1"/>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99</xdr:row>
      <xdr:rowOff>0</xdr:rowOff>
    </xdr:from>
    <xdr:to>
      <xdr:col>19</xdr:col>
      <xdr:colOff>406005</xdr:colOff>
      <xdr:row>130</xdr:row>
      <xdr:rowOff>20242</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0</xdr:colOff>
      <xdr:row>144</xdr:row>
      <xdr:rowOff>0</xdr:rowOff>
    </xdr:from>
    <xdr:to>
      <xdr:col>19</xdr:col>
      <xdr:colOff>406005</xdr:colOff>
      <xdr:row>175</xdr:row>
      <xdr:rowOff>20242</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00000000-0008-0000-0300-00001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1168213</xdr:colOff>
      <xdr:row>148</xdr:row>
      <xdr:rowOff>183931</xdr:rowOff>
    </xdr:from>
    <xdr:to>
      <xdr:col>1</xdr:col>
      <xdr:colOff>319367</xdr:colOff>
      <xdr:row>162</xdr:row>
      <xdr:rowOff>126067</xdr:rowOff>
    </xdr:to>
    <xdr:sp macro="" textlink="">
      <xdr:nvSpPr>
        <xdr:cNvPr id="24" name="Rectangle 23">
          <a:extLst>
            <a:ext uri="{FF2B5EF4-FFF2-40B4-BE49-F238E27FC236}">
              <a16:creationId xmlns:a16="http://schemas.microsoft.com/office/drawing/2014/main" id="{00000000-0008-0000-0300-000018000000}"/>
            </a:ext>
          </a:extLst>
        </xdr:cNvPr>
        <xdr:cNvSpPr/>
      </xdr:nvSpPr>
      <xdr:spPr>
        <a:xfrm>
          <a:off x="1168213" y="28377931"/>
          <a:ext cx="1016933" cy="2609136"/>
        </a:xfrm>
        <a:prstGeom prst="rect">
          <a:avLst/>
        </a:prstGeom>
        <a:pattFill prst="wdUpDiag">
          <a:fgClr>
            <a:schemeClr val="tx1"/>
          </a:fgClr>
          <a:bgClr>
            <a:srgbClr val="7280C8"/>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1165412</xdr:colOff>
      <xdr:row>162</xdr:row>
      <xdr:rowOff>121236</xdr:rowOff>
    </xdr:from>
    <xdr:to>
      <xdr:col>4</xdr:col>
      <xdr:colOff>500440</xdr:colOff>
      <xdr:row>162</xdr:row>
      <xdr:rowOff>121236</xdr:rowOff>
    </xdr:to>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165412" y="30982236"/>
          <a:ext cx="3028869" cy="0"/>
        </a:xfrm>
        <a:prstGeom prst="line">
          <a:avLst/>
        </a:prstGeom>
        <a:ln w="38100">
          <a:solidFill>
            <a:schemeClr val="tx1"/>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2</xdr:col>
      <xdr:colOff>78227</xdr:colOff>
      <xdr:row>157</xdr:row>
      <xdr:rowOff>103910</xdr:rowOff>
    </xdr:from>
    <xdr:ext cx="1262742" cy="530658"/>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554727" y="30012410"/>
          <a:ext cx="1262742"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59% demand reduction</a:t>
          </a:r>
        </a:p>
      </xdr:txBody>
    </xdr:sp>
    <xdr:clientData/>
  </xdr:oneCellAnchor>
  <xdr:twoCellAnchor>
    <xdr:from>
      <xdr:col>0</xdr:col>
      <xdr:colOff>1792432</xdr:colOff>
      <xdr:row>158</xdr:row>
      <xdr:rowOff>179242</xdr:rowOff>
    </xdr:from>
    <xdr:to>
      <xdr:col>2</xdr:col>
      <xdr:colOff>57026</xdr:colOff>
      <xdr:row>158</xdr:row>
      <xdr:rowOff>179242</xdr:rowOff>
    </xdr:to>
    <xdr:cxnSp macro="">
      <xdr:nvCxnSpPr>
        <xdr:cNvPr id="26" name="Straight Connector 25">
          <a:extLst>
            <a:ext uri="{FF2B5EF4-FFF2-40B4-BE49-F238E27FC236}">
              <a16:creationId xmlns:a16="http://schemas.microsoft.com/office/drawing/2014/main" id="{00000000-0008-0000-0300-00001A000000}"/>
            </a:ext>
          </a:extLst>
        </xdr:cNvPr>
        <xdr:cNvCxnSpPr/>
      </xdr:nvCxnSpPr>
      <xdr:spPr>
        <a:xfrm>
          <a:off x="1792432" y="30278242"/>
          <a:ext cx="741094" cy="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9</xdr:row>
      <xdr:rowOff>85725</xdr:rowOff>
    </xdr:from>
    <xdr:to>
      <xdr:col>22</xdr:col>
      <xdr:colOff>24623</xdr:colOff>
      <xdr:row>40</xdr:row>
      <xdr:rowOff>135422</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85725</xdr:rowOff>
    </xdr:from>
    <xdr:to>
      <xdr:col>21</xdr:col>
      <xdr:colOff>519923</xdr:colOff>
      <xdr:row>74</xdr:row>
      <xdr:rowOff>135422</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0</xdr:rowOff>
    </xdr:from>
    <xdr:to>
      <xdr:col>21</xdr:col>
      <xdr:colOff>443723</xdr:colOff>
      <xdr:row>109</xdr:row>
      <xdr:rowOff>49697</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0</xdr:rowOff>
    </xdr:from>
    <xdr:to>
      <xdr:col>21</xdr:col>
      <xdr:colOff>443723</xdr:colOff>
      <xdr:row>144</xdr:row>
      <xdr:rowOff>49697</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133795</xdr:colOff>
      <xdr:row>51</xdr:row>
      <xdr:rowOff>122646</xdr:rowOff>
    </xdr:from>
    <xdr:to>
      <xdr:col>13</xdr:col>
      <xdr:colOff>992321</xdr:colOff>
      <xdr:row>87</xdr:row>
      <xdr:rowOff>188907</xdr:rowOff>
    </xdr:to>
    <xdr:graphicFrame macro="">
      <xdr:nvGraphicFramePr>
        <xdr:cNvPr id="4" name="Chart 3">
          <a:extLst>
            <a:ext uri="{FF2B5EF4-FFF2-40B4-BE49-F238E27FC236}">
              <a16:creationId xmlns:a16="http://schemas.microsoft.com/office/drawing/2014/main" id="{7054A7B4-D91F-1B6C-F24A-C6641F9BE1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161192</xdr:colOff>
      <xdr:row>90</xdr:row>
      <xdr:rowOff>95251</xdr:rowOff>
    </xdr:from>
    <xdr:to>
      <xdr:col>13</xdr:col>
      <xdr:colOff>1019718</xdr:colOff>
      <xdr:row>126</xdr:row>
      <xdr:rowOff>161512</xdr:rowOff>
    </xdr:to>
    <xdr:graphicFrame macro="">
      <xdr:nvGraphicFramePr>
        <xdr:cNvPr id="5" name="Chart 4">
          <a:extLst>
            <a:ext uri="{FF2B5EF4-FFF2-40B4-BE49-F238E27FC236}">
              <a16:creationId xmlns:a16="http://schemas.microsoft.com/office/drawing/2014/main" id="{6DA65E47-A332-4754-BF67-03C49D387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117230</xdr:colOff>
      <xdr:row>129</xdr:row>
      <xdr:rowOff>109903</xdr:rowOff>
    </xdr:from>
    <xdr:to>
      <xdr:col>13</xdr:col>
      <xdr:colOff>975756</xdr:colOff>
      <xdr:row>165</xdr:row>
      <xdr:rowOff>176164</xdr:rowOff>
    </xdr:to>
    <xdr:graphicFrame macro="">
      <xdr:nvGraphicFramePr>
        <xdr:cNvPr id="7" name="Chart 6">
          <a:extLst>
            <a:ext uri="{FF2B5EF4-FFF2-40B4-BE49-F238E27FC236}">
              <a16:creationId xmlns:a16="http://schemas.microsoft.com/office/drawing/2014/main" id="{27E25C28-E965-4C3D-820E-AAF832AEC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3662</xdr:colOff>
      <xdr:row>23</xdr:row>
      <xdr:rowOff>2197</xdr:rowOff>
    </xdr:from>
    <xdr:to>
      <xdr:col>17</xdr:col>
      <xdr:colOff>0</xdr:colOff>
      <xdr:row>42</xdr:row>
      <xdr:rowOff>168519</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215348</xdr:colOff>
      <xdr:row>112</xdr:row>
      <xdr:rowOff>81274</xdr:rowOff>
    </xdr:from>
    <xdr:ext cx="5119687" cy="3343202"/>
    <xdr:pic>
      <xdr:nvPicPr>
        <xdr:cNvPr id="3" name="Picture 2">
          <a:extLst>
            <a:ext uri="{FF2B5EF4-FFF2-40B4-BE49-F238E27FC236}">
              <a16:creationId xmlns:a16="http://schemas.microsoft.com/office/drawing/2014/main" id="{02B08495-200A-4538-BF26-47AC6B8A3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348" y="20845774"/>
          <a:ext cx="5119687" cy="3343202"/>
        </a:xfrm>
        <a:prstGeom prst="rect">
          <a:avLst/>
        </a:prstGeom>
      </xdr:spPr>
    </xdr:pic>
    <xdr:clientData/>
  </xdr:oneCellAnchor>
  <xdr:twoCellAnchor editAs="oneCell">
    <xdr:from>
      <xdr:col>0</xdr:col>
      <xdr:colOff>233204</xdr:colOff>
      <xdr:row>194</xdr:row>
      <xdr:rowOff>105959</xdr:rowOff>
    </xdr:from>
    <xdr:to>
      <xdr:col>4</xdr:col>
      <xdr:colOff>674410</xdr:colOff>
      <xdr:row>213</xdr:row>
      <xdr:rowOff>57119</xdr:rowOff>
    </xdr:to>
    <xdr:pic>
      <xdr:nvPicPr>
        <xdr:cNvPr id="4" name="Picture 3">
          <a:extLst>
            <a:ext uri="{FF2B5EF4-FFF2-40B4-BE49-F238E27FC236}">
              <a16:creationId xmlns:a16="http://schemas.microsoft.com/office/drawing/2014/main" id="{6ADDAA20-EC44-5A17-F7F3-164CBC7DA8F9}"/>
            </a:ext>
          </a:extLst>
        </xdr:cNvPr>
        <xdr:cNvPicPr>
          <a:picLocks noChangeAspect="1"/>
        </xdr:cNvPicPr>
      </xdr:nvPicPr>
      <xdr:blipFill>
        <a:blip xmlns:r="http://schemas.openxmlformats.org/officeDocument/2006/relationships" r:embed="rId2"/>
        <a:stretch>
          <a:fillRect/>
        </a:stretch>
      </xdr:blipFill>
      <xdr:spPr>
        <a:xfrm>
          <a:off x="233204" y="36300959"/>
          <a:ext cx="6636597" cy="3570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178</xdr:row>
      <xdr:rowOff>126711</xdr:rowOff>
    </xdr:from>
    <xdr:to>
      <xdr:col>2</xdr:col>
      <xdr:colOff>919367</xdr:colOff>
      <xdr:row>211</xdr:row>
      <xdr:rowOff>120359</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282085</xdr:colOff>
      <xdr:row>23</xdr:row>
      <xdr:rowOff>97447</xdr:rowOff>
    </xdr:from>
    <xdr:to>
      <xdr:col>10</xdr:col>
      <xdr:colOff>278424</xdr:colOff>
      <xdr:row>47</xdr:row>
      <xdr:rowOff>65942</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141</xdr:row>
      <xdr:rowOff>0</xdr:rowOff>
    </xdr:from>
    <xdr:to>
      <xdr:col>2</xdr:col>
      <xdr:colOff>919367</xdr:colOff>
      <xdr:row>173</xdr:row>
      <xdr:rowOff>167340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eff Rissman" id="{ED85FB32-0CAC-40ED-82FF-123B79BD6AB2}" userId="S::jeff@energyinnovation.org::f3f117cb-d7f5-455c-900f-329d977050a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F160" dT="2025-05-07T21:24:54.28" personId="{ED85FB32-0CAC-40ED-82FF-123B79BD6AB2}" id="{5E660F7E-7A05-49DD-ABBE-65442333BEA7}">
    <text>Petroleum fuels use a price adjustment to account for refineries’ consuming their own petroleum byproducts (refinery fuel gas and petcoke) rather than using refined petroleum fuels.</text>
  </threadedComment>
  <threadedComment ref="K160" dT="2025-05-05T03:45:24.28" personId="{ED85FB32-0CAC-40ED-82FF-123B79BD6AB2}" id="{7BE00282-7B27-4EF8-BDEA-74D01E3EE978}">
    <text>The energy use graphs show electricity used to make green H2, to make it easier to see the industrial sector’s total electricity demand.  But this expenditures graph shows the cost per unit of green H2, not per unit of electricity used to make green H2, since hydrogen costs depend on a range of factors other than electricity price (such as electrolyzer costs and load factors), and projected future hydrogen costs are available in cited sources.</text>
  </threadedComment>
  <threadedComment ref="C369" dT="2025-05-09T03:54:21.67" personId="{ED85FB32-0CAC-40ED-82FF-123B79BD6AB2}" id="{64C80D0A-D9D0-4F8A-A75A-3FF8021DB07A}">
    <text>Includes HGL, NGL, LPG (ethane, propane, butane, etc.)</text>
  </threadedComment>
  <threadedComment ref="M401" dT="2025-04-23T22:27:02.26" personId="{ED85FB32-0CAC-40ED-82FF-123B79BD6AB2}" id="{4F2B63E2-6AF8-46B1-ADAD-4802CFF0E5FC}">
    <text>In this emissions graph, this column includes use of fossil fuels with carbon capture to produce blue hydrogen as well as direct use of fossil fuels with carbon capture (i.e., for energy/heat).</text>
  </threadedComment>
  <threadedComment ref="D776" dT="2025-03-08T01:17:00.34" personId="{ED85FB32-0CAC-40ED-82FF-123B79BD6AB2}" id="{BA514364-C2B3-407D-8B9E-8B3066DA33C2}">
    <text>The percentages in the columns to the left have been prepared so they can be added linearly - i.e., we already account for interactive effects on the “Calculations” tab.</text>
  </threadedComment>
</ThreadedComments>
</file>

<file path=xl/threadedComments/threadedComment2.xml><?xml version="1.0" encoding="utf-8"?>
<ThreadedComments xmlns="http://schemas.microsoft.com/office/spreadsheetml/2018/threadedcomments" xmlns:x="http://schemas.openxmlformats.org/spreadsheetml/2006/main">
  <threadedComment ref="A16" dT="2024-12-03T01:29:40.20" personId="{ED85FB32-0CAC-40ED-82FF-123B79BD6AB2}" id="{76FB70BD-3509-46D9-AAF4-1ABD89211935}">
    <text>Projections of natural demand reduction (or increase) are typically only available for materials, such as steel, cement, aluminum, and plastics. Those materials are used in goods, so we must apply the same demand reduction percentage to the industries that supply the goods made of those materials. This is different from material efficiency - see the comment on material efficiency, below.</text>
  </threadedComment>
  <threadedComment ref="A38" dT="2024-12-03T01:33:25.75" personId="{ED85FB32-0CAC-40ED-82FF-123B79BD6AB2}" id="{80899790-CAD1-4147-A629-EF402A60E6AB}">
    <text>Material efficiency reduces the energy use of the industries that supply materials. It might not significantly reduce the energy use of the industries that assemble products, as it might not be much less energy-intensive to assemble a material-efficient product like a car versus a traditional car. Therefore, this lever should generally be used only for material-supplying industries.</text>
  </threadedComment>
</ThreadedComments>
</file>

<file path=xl/threadedComments/threadedComment3.xml><?xml version="1.0" encoding="utf-8"?>
<ThreadedComments xmlns="http://schemas.microsoft.com/office/spreadsheetml/2018/threadedcomments" xmlns:x="http://schemas.openxmlformats.org/spreadsheetml/2006/main">
  <threadedComment ref="B24" dT="2024-11-16T04:23:53.96" personId="{ED85FB32-0CAC-40ED-82FF-123B79BD6AB2}" id="{6E1707AF-D833-4B46-AB57-7F7E75BCA9F9}">
    <text>Projections of natural demand reduction (or increase) are typically only available for materials, such as steel, cement, aluminum, and plastics. Those materials are used in goods, so we must apply the same material demand reduction percentage to the industries that supply the goods made of those materials. This is different from material efficiency - see the comment to the right.</text>
  </threadedComment>
  <threadedComment ref="B64" dT="2024-11-16T04:22:17.58" personId="{ED85FB32-0CAC-40ED-82FF-123B79BD6AB2}" id="{E7C97C37-FFB6-4FB7-B371-86CE62D76C73}">
    <text>Material efficiency reduces the energy use of the industries that supply materials. It might not significantly reduce the energy use of the industries that assemble products, as it might not be much less energy-intensive to assemble a material-efficient product like a car versus a traditional car. Therefore, this lever should generally be used only for material-supplying industries.</text>
  </threadedComment>
  <threadedComment ref="H64" dT="2025-03-11T22:04:00.06" personId="{ED85FB32-0CAC-40ED-82FF-123B79BD6AB2}" id="{14277188-846F-4A7D-AD10-26EA017EDD48}">
    <text>Use the percentages in this column when multiplying by the “Future BAU” energy use amount.</text>
  </threadedComment>
  <threadedComment ref="I64" dT="2025-03-11T22:04:50.80" personId="{ED85FB32-0CAC-40ED-82FF-123B79BD6AB2}" id="{F8F54410-E62B-4743-8849-98A6ECEDC20B}">
    <text>Use the percentages in this column when multiplying by the 2022 Actual energy use amount (typically to build a graph that breaks out the natural demand change and the policy-driven demand reduction effects).</text>
  </threadedComment>
  <threadedComment ref="E124" dT="2024-11-19T23:46:34.15" personId="{ED85FB32-0CAC-40ED-82FF-123B79BD6AB2}" id="{09C3BC63-4074-4AC8-8D45-80BF5EB7044C}">
    <text>All combustible energy for non-heating uses is assumed to be electrified. It largely consists of machine drive (diesel engines that can be replaced by electric motors), with a minor contribution from cooling (which can be provided by electrical chillers).</text>
  </threadedComment>
  <threadedComment ref="F340" dT="2025-05-09T03:46:32.39" personId="{ED85FB32-0CAC-40ED-82FF-123B79BD6AB2}" id="{08114A1A-8D2B-4354-9528-CC82368FE69E}">
    <text>Includes the HGL, NGL, LPG category</text>
  </threadedComment>
  <threadedComment ref="F395" dT="2025-05-07T21:22:17.84" personId="{ED85FB32-0CAC-40ED-82FF-123B79BD6AB2}" id="{E8393E8B-4368-4B39-9D67-1F0B8F3E7326}">
    <text>See below for adjustment for refinery byproduct fuels.</text>
  </threadedComment>
  <threadedComment ref="A418" dT="2025-04-23T23:00:52.23" personId="{ED85FB32-0CAC-40ED-82FF-123B79BD6AB2}" id="{FC9C7000-8E0E-4699-8B3D-564F7C3209E3}">
    <text>This is a minimum carbon price based on the existing rate as of 2025.</text>
  </threadedComment>
  <threadedComment ref="A419" dT="2025-04-23T23:01:33.87" personId="{ED85FB32-0CAC-40ED-82FF-123B79BD6AB2}" id="{3C042E00-742D-42E4-90D3-FD8949293CE0}">
    <text>This carbon price rate is the higher of the minimum rate (see comment in the cell above) or the user-selected rate, as specified in a control setting near the top of the “Graphs” tab.</text>
  </threadedComment>
  <threadedComment ref="H496" dT="2025-03-08T00:05:58.00" personId="{ED85FB32-0CAC-40ED-82FF-123B79BD6AB2}" id="{17D68645-E5DD-4BBC-A506-67855A37F8D0}">
    <text>Includes calcination emissions</text>
  </threadedComment>
  <threadedComment ref="B622" dT="2025-03-07T23:46:39.62" personId="{ED85FB32-0CAC-40ED-82FF-123B79BD6AB2}" id="{147A9336-7832-4A25-AD0E-0B946117BF4F}">
    <text>Energy efficiency does not reduce calcination emissions, so we adjust for it in this cell.</text>
  </threadedComment>
</ThreadedComments>
</file>

<file path=xl/threadedComments/threadedComment4.xml><?xml version="1.0" encoding="utf-8"?>
<ThreadedComments xmlns="http://schemas.microsoft.com/office/spreadsheetml/2018/threadedcomments" xmlns:x="http://schemas.openxmlformats.org/spreadsheetml/2006/main">
  <threadedComment ref="H7" dT="2025-02-14T05:34:38.93" personId="{ED85FB32-0CAC-40ED-82FF-123B79BD6AB2}" id="{7EE8B387-6AC9-49EA-A811-12AE3251BFB9}">
    <text>Assuming this is fuel switching to natural gas (since H2-DRI-EAF has its own row). Switching from coal to natural gas is not currently a strategy employed in the six-tier scenario because it is aiming at full decarbonization without lock-in of fossil fuel technologies.</text>
  </threadedComment>
  <threadedComment ref="H14" dT="2025-02-14T05:35:28.81" personId="{ED85FB32-0CAC-40ED-82FF-123B79BD6AB2}" id="{49AD3013-2045-44A4-B71F-C6BABC35F901}">
    <text>Wastes (such as plastics and tires) are not carbon-neutral, and can be more emissions-intensive than some fossil fuels, so we don’t use this strategy in the six-tier scenario.</text>
  </threadedComment>
  <threadedComment ref="H15" dT="2025-02-14T05:37:08.49" personId="{ED85FB32-0CAC-40ED-82FF-123B79BD6AB2}" id="{B8EFEB7E-2BC2-41DA-96DB-A22F30A467A0}">
    <text>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ext>
  </threadedComment>
  <threadedComment ref="H23" dT="2025-02-14T05:35:28.81" personId="{ED85FB32-0CAC-40ED-82FF-123B79BD6AB2}" id="{0608E419-8E55-4BD9-A8CA-7C7DDC90299B}">
    <text>Wastes (such as plastics and tires) are not carbon-neutral, and can be more emissions-intensive than some fossil fuels, so we don’t use this strategy in the six-tier scenario.</text>
  </threadedComment>
  <threadedComment ref="H24" dT="2025-02-14T05:37:08.49" personId="{ED85FB32-0CAC-40ED-82FF-123B79BD6AB2}" id="{1ABAE96B-0841-4048-9D49-3162E8F6E481}">
    <text>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ext>
  </threadedComment>
  <threadedComment ref="H35" dT="2025-02-14T05:34:38.93" personId="{ED85FB32-0CAC-40ED-82FF-123B79BD6AB2}" id="{67B7B9D8-E891-4EDF-87C4-CD68F20B40C9}">
    <text>Assuming this is fuel switching to natural gas (since H2-DRI-EAF has its own row). Switching from coal to natural gas is not currently a strategy employed in the six-tier scenario because it is aiming at full decarbonization without lock-in of fossil fuel technologies.</text>
  </threadedComment>
  <threadedComment ref="H42" dT="2025-02-14T05:35:28.81" personId="{ED85FB32-0CAC-40ED-82FF-123B79BD6AB2}" id="{CE0746A3-ED5F-4C0A-9A55-C177867995C8}">
    <text>Wastes (such as plastics and tires) are not carbon-neutral, and can be more emissions-intensive than some fossil fuels, so we don’t use this strategy in the six-tier scenario.</text>
  </threadedComment>
  <threadedComment ref="H43" dT="2025-02-14T05:37:08.49" personId="{ED85FB32-0CAC-40ED-82FF-123B79BD6AB2}" id="{79A942D9-09A3-484E-A17F-361CB9A257B8}">
    <text>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ext>
  </threadedComment>
  <threadedComment ref="H54" dT="2025-02-14T05:34:38.93" personId="{ED85FB32-0CAC-40ED-82FF-123B79BD6AB2}" id="{CD04B647-BE38-4FF8-8EC6-5288939CE626}">
    <text>Assuming this is fuel switching to natural gas (since H2-DRI-EAF has its own row). Switching from coal to natural gas is not currently a strategy employed in the six-tier scenario because it is aiming at full decarbonization without lock-in of fossil fuel technologies.</text>
  </threadedComment>
  <threadedComment ref="H62" dT="2025-02-14T05:35:28.81" personId="{ED85FB32-0CAC-40ED-82FF-123B79BD6AB2}" id="{9EB4D21D-A4AA-472F-AA18-4B5678E2D455}">
    <text>Wastes (such as plastics and tires) are not carbon-neutral, and can be more emissions-intensive than some fossil fuels, so we don’t use this strategy in the six-tier scenario.</text>
  </threadedComment>
  <threadedComment ref="H63" dT="2025-02-14T05:37:08.49" personId="{ED85FB32-0CAC-40ED-82FF-123B79BD6AB2}" id="{709336B6-1CA6-42A9-873E-6ED2B56B06A7}">
    <text>In the six-tier scenario, we only use shift to additional bioenergy use for chemical feedstocks (Tier 6, chemicals industry) because that is the highest and best use of bioenergy, and too much reliance on bioenergy can result in unfavorable land use change, impacts on food systems, and other problems.</text>
  </threadedComment>
</ThreadedComments>
</file>

<file path=xl/threadedComments/threadedComment5.xml><?xml version="1.0" encoding="utf-8"?>
<ThreadedComments xmlns="http://schemas.microsoft.com/office/spreadsheetml/2018/threadedcomments" xmlns:x="http://schemas.openxmlformats.org/spreadsheetml/2006/main">
  <threadedComment ref="D8" dT="2023-03-22T22:56:30.46" personId="{ED85FB32-0CAC-40ED-82FF-123B79BD6AB2}" id="{70AE1264-C2EC-46AC-909D-C13C4630B003}">
    <text>Changed from 1% to 0% so figures add up to 100% (eliminating rounding error)</text>
  </threadedComment>
</ThreadedComments>
</file>

<file path=xl/threadedComments/threadedComment6.xml><?xml version="1.0" encoding="utf-8"?>
<ThreadedComments xmlns="http://schemas.microsoft.com/office/spreadsheetml/2018/threadedcomments" xmlns:x="http://schemas.openxmlformats.org/spreadsheetml/2006/main">
  <threadedComment ref="D7" dT="2024-11-19T20:33:52.00" personId="{ED85FB32-0CAC-40ED-82FF-123B79BD6AB2}" id="{E51543BA-479D-4C15-BEA4-E4E2C6D082E4}">
    <text>This represents losses in latent heat in formed water vapor and heat loss through furnace openings and skin. The percentage loss from this source is additive, not multiplicative, with burner efficiency.</text>
  </threadedComment>
  <threadedComment ref="D8" dT="2024-11-19T20:33:55.27" personId="{ED85FB32-0CAC-40ED-82FF-123B79BD6AB2}" id="{939D89A6-6510-4703-A90B-28938D1A3A26}">
    <text>This represents losses in latent heat in formed water vapor and heat loss through furnace openings and skin. The percentage loss from this source is additive, not multiplicative, with burner efficiency.</text>
  </threadedComment>
  <threadedComment ref="E14" dT="2024-11-19T21:13:46.61" personId="{ED85FB32-0CAC-40ED-82FF-123B79BD6AB2}" id="{A659BCB2-C6E1-49F7-98A3-5FC62B3BA2F7}">
    <text>Using a 50 °C temperature lift (e.g., from 25 °C to 75 °C)</text>
  </threadedComment>
  <threadedComment ref="E15" dT="2024-11-19T21:15:04.43" personId="{ED85FB32-0CAC-40ED-82FF-123B79BD6AB2}" id="{7C557406-5779-4B1A-AB09-B93B2ECA490A}">
    <text>Using a 100 °C temperature lift (e.g., from 25 °C to 75 °C)</text>
  </threadedComment>
</ThreadedComments>
</file>

<file path=xl/threadedComments/threadedComment7.xml><?xml version="1.0" encoding="utf-8"?>
<ThreadedComments xmlns="http://schemas.microsoft.com/office/spreadsheetml/2018/threadedcomments" xmlns:x="http://schemas.openxmlformats.org/spreadsheetml/2006/main">
  <threadedComment ref="G21" dT="2025-01-22T23:26:52.91" personId="{ED85FB32-0CAC-40ED-82FF-123B79BD6AB2}" id="{2DA524E2-5847-4498-90DF-6BA056EF8D05}">
    <text>Currently bioenergy prices estimated by setting equal to coal prices.</text>
  </threadedComment>
  <threadedComment ref="H23" dT="2024-11-26T23:27:46.43" personId="{ED85FB32-0CAC-40ED-82FF-123B79BD6AB2}" id="{B5C88A2E-7D6A-447C-9EFD-DAA36AE38861}">
    <text>We estimate 2050 price of steam from coal by taking the 2021 price of steam from coal and multiplying it by the price ratio of coal in 2050 to coal in 2021. Of course, steam would have to be made from some other fuel in 2050 to meet China’s targets, but predicting the future of the steam system is outside of the industry sector and outside the scope of this report. This price adjustment for 2050 looks reasonable and is in line with the price adjustments for other fuels.</text>
  </threadedComment>
</ThreadedComments>
</file>

<file path=xl/threadedComments/threadedComment8.xml><?xml version="1.0" encoding="utf-8"?>
<ThreadedComments xmlns="http://schemas.microsoft.com/office/spreadsheetml/2018/threadedcomments" xmlns:x="http://schemas.openxmlformats.org/spreadsheetml/2006/main">
  <threadedComment ref="C43" dT="2025-04-11T23:24:34.04" personId="{ED85FB32-0CAC-40ED-82FF-123B79BD6AB2}" id="{87CE51C5-8261-4968-A983-348A7B7A1F82}">
    <text>We include a value here for refining &amp; fuel processing to calculate the product demand growth consistently across our industry categories, but we don’t ultimately reference this value in the “Other Country-Specific Data” tab, as we use a global projection of demand for refined fuels there instead.</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5-04-11T20:48:14.20" personId="{ED85FB32-0CAC-40ED-82FF-123B79BD6AB2}" id="{14BEFB73-5AF2-4638-9DC1-ED7CBF6399D1}">
    <text>This likely excludes refining because this data source has not been treating refining as a manufacturing or industrial sector activity, and the electricity use is too low relative to the petroleum use of refineries in Viet Nam.</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3.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irs.gov/individuals/international-taxpayers/yearly-average-currency-exchange-rates" TargetMode="External"/><Relationship Id="rId7" Type="http://schemas.openxmlformats.org/officeDocument/2006/relationships/hyperlink" Target="https://www.eia.gov/totalenergy/data/monthly/pdf/sec12_6.pdf" TargetMode="External"/><Relationship Id="rId2" Type="http://schemas.openxmlformats.org/officeDocument/2006/relationships/hyperlink" Target="https://www.ecb.europa.eu/stats/policy_and_exchange_rates/euro_reference_exchange_rates/html/eurofxref-graph-cny.en.html" TargetMode="External"/><Relationship Id="rId1" Type="http://schemas.openxmlformats.org/officeDocument/2006/relationships/hyperlink" Target="https://www.exchange-rates.org/exchange-rate-history/cny-usd-2023" TargetMode="External"/><Relationship Id="rId6" Type="http://schemas.openxmlformats.org/officeDocument/2006/relationships/hyperlink" Target="https://www.bp.com/content/dam/bp/business-sites/en/global/corporate/pdfs/energy-economics/statistical-review/bp-stats-review-2022-approximate-conversion-factors.pdf" TargetMode="External"/><Relationship Id="rId5" Type="http://schemas.openxmlformats.org/officeDocument/2006/relationships/hyperlink" Target="https://www.bp.com/content/dam/bp/business-sites/en/global/corporate/pdfs/energy-economics/statistical-review/bp-stats-review-2022-approximate-conversion-factors.pdf" TargetMode="External"/><Relationship Id="rId4" Type="http://schemas.openxmlformats.org/officeDocument/2006/relationships/hyperlink" Target="https://www.bp.com/content/dam/bp/business-sites/en/global/corporate/pdfs/energy-economics/statistical-review/bp-stats-review-2022-approximate-conversion-factors.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suzhou.gov.cn/szsrmzf/jgjg/202301/3ff94952180244cab4ac401edb1543af.shtml" TargetMode="External"/><Relationship Id="rId21" Type="http://schemas.openxmlformats.org/officeDocument/2006/relationships/hyperlink" Target="https://doi.org/10.31881/TLR.2022.13" TargetMode="External"/><Relationship Id="rId42" Type="http://schemas.openxmlformats.org/officeDocument/2006/relationships/hyperlink" Target="https://www.bps.go.id/en/publication/2024/06/28/7ca817b2bf71decd4dd517ae/statistics-of-manufacturing-industry-2022.html" TargetMode="External"/><Relationship Id="rId47" Type="http://schemas.openxmlformats.org/officeDocument/2006/relationships/hyperlink" Target="https://ghgprotocol.org/sites/default/files/2024-08/Global-Warming-Potential-Values%20%28August%202024%29.pdf" TargetMode="External"/><Relationship Id="rId63" Type="http://schemas.openxmlformats.org/officeDocument/2006/relationships/hyperlink" Target="http://www.dcc.gov.vn/van-ban-phap-luat/1110/He-so-phat-thai-luoi-dien-Viet-Nam-2022.html" TargetMode="External"/><Relationship Id="rId68" Type="http://schemas.openxmlformats.org/officeDocument/2006/relationships/hyperlink" Target="https://worldsteel.org/other-topics/raw-materials/" TargetMode="External"/><Relationship Id="rId16" Type="http://schemas.openxmlformats.org/officeDocument/2006/relationships/hyperlink" Target="https://www.federalregister.gov/documents/2023/10/20/2023-23204/energy-conservation-program-energy-conservation-standards-for-electric-motors" TargetMode="External"/><Relationship Id="rId11" Type="http://schemas.openxmlformats.org/officeDocument/2006/relationships/hyperlink" Target="https://theicct.org/the-ever-improving-efficiency-of-the-diesel-engine/" TargetMode="External"/><Relationship Id="rId24" Type="http://schemas.openxmlformats.org/officeDocument/2006/relationships/hyperlink" Target="http://www.lanxi.gov.cn/art/2024/11/25/art_1229791669_4196733.html" TargetMode="External"/><Relationship Id="rId32" Type="http://schemas.openxmlformats.org/officeDocument/2006/relationships/hyperlink" Target="https://www.parkchn.com/news/chanyejiedu/13365.html" TargetMode="External"/><Relationship Id="rId37" Type="http://schemas.openxmlformats.org/officeDocument/2006/relationships/hyperlink" Target="https://www.sciencedirect.com/science/article/pii/S1750583615001814" TargetMode="External"/><Relationship Id="rId40" Type="http://schemas.openxmlformats.org/officeDocument/2006/relationships/hyperlink" Target="https://www.netl.doe.gov/projects/files/CostofCapturingCO2fromIndustrialSources_071522.pdf" TargetMode="External"/><Relationship Id="rId45" Type="http://schemas.openxmlformats.org/officeDocument/2006/relationships/hyperlink" Target="https://www.eia.gov/tools/faqs/faq.php?id=74&amp;t=11" TargetMode="External"/><Relationship Id="rId53" Type="http://schemas.openxmlformats.org/officeDocument/2006/relationships/hyperlink" Target="https://www.eia.gov/electricity/annual/html/epa_07_03.html" TargetMode="External"/><Relationship Id="rId58" Type="http://schemas.openxmlformats.org/officeDocument/2006/relationships/hyperlink" Target="https://ens.dk/sites/ens.dk/files/Globalcooperation/1._eor-nz_english_june2024_0.pdf" TargetMode="External"/><Relationship Id="rId66" Type="http://schemas.openxmlformats.org/officeDocument/2006/relationships/hyperlink" Target="https://www.nea.gov.cn/20250120/4f7f249bac714e7693adecac996d742f/c.html" TargetMode="External"/><Relationship Id="rId74" Type="http://schemas.openxmlformats.org/officeDocument/2006/relationships/hyperlink" Target="https://about.bnef.com/blog/2023-hydrogen-levelized-cost-update-green-beats-gray/" TargetMode="External"/><Relationship Id="rId79" Type="http://schemas.openxmlformats.org/officeDocument/2006/relationships/hyperlink" Target="https://theicct.org/the-price-of-green-hydrogen-estimate-future-production-costs-may24/" TargetMode="External"/><Relationship Id="rId5" Type="http://schemas.openxmlformats.org/officeDocument/2006/relationships/hyperlink" Target="https://rhg.com/research/the-global-cement-challenge/" TargetMode="External"/><Relationship Id="rId61" Type="http://schemas.openxmlformats.org/officeDocument/2006/relationships/hyperlink" Target="https://cosodulieu.evn.com.vn/pages/cms/news-tap-doan-dien-luc-viet-nam-nam-2022---thu-thach-huong-phat-trien-id-6448.html" TargetMode="External"/><Relationship Id="rId19" Type="http://schemas.openxmlformats.org/officeDocument/2006/relationships/hyperlink" Target="https://www.eea.europa.eu/publications/carbon-capture-and-storage/at_download/file" TargetMode="External"/><Relationship Id="rId14" Type="http://schemas.openxmlformats.org/officeDocument/2006/relationships/hyperlink" Target="https://thermalprocessing.com/efficient-gas-heating-of-industrial-furnaces/" TargetMode="External"/><Relationship Id="rId22" Type="http://schemas.openxmlformats.org/officeDocument/2006/relationships/hyperlink" Target="https://doi.org/10.3390/su15129487" TargetMode="External"/><Relationship Id="rId27" Type="http://schemas.openxmlformats.org/officeDocument/2006/relationships/hyperlink" Target="https://www.teda.gov.cn/contents/29/72217.html" TargetMode="External"/><Relationship Id="rId30" Type="http://schemas.openxmlformats.org/officeDocument/2006/relationships/hyperlink" Target="https://www.huainan.gov.cn/public/118325559/1259778797.html" TargetMode="External"/><Relationship Id="rId35" Type="http://schemas.openxmlformats.org/officeDocument/2006/relationships/hyperlink" Target="https://eta.lbl.gov/publications/industry-decarbonization-roadmaps" TargetMode="External"/><Relationship Id="rId43" Type="http://schemas.openxmlformats.org/officeDocument/2006/relationships/hyperlink" Target="https://www.esdm.go.id/assets/media/content/content-handbook-of-energy-and-economic-statistics-of-indonesia-2023.pdf" TargetMode="External"/><Relationship Id="rId48" Type="http://schemas.openxmlformats.org/officeDocument/2006/relationships/hyperlink" Target="https://bibliotekanauki.pl/articles/2020194" TargetMode="External"/><Relationship Id="rId56" Type="http://schemas.openxmlformats.org/officeDocument/2006/relationships/hyperlink" Target="https://zenodo.org/records/13752654" TargetMode="External"/><Relationship Id="rId64" Type="http://schemas.openxmlformats.org/officeDocument/2006/relationships/hyperlink" Target="https://www.chinayearbooks.com/china-energy-statistical-yearbook-2022.html" TargetMode="External"/><Relationship Id="rId69" Type="http://schemas.openxmlformats.org/officeDocument/2006/relationships/hyperlink" Target="https://www.irena.org/-/media/Files/IRENA/Agency/Publication/2020/Nov/IRENA_Green_Hydrogen_breakthrough_2021.pdf?la=en&amp;hash=40FA5B8AD7AB1666EECBDE30EF458C45EE5A0AA6" TargetMode="External"/><Relationship Id="rId77" Type="http://schemas.openxmlformats.org/officeDocument/2006/relationships/hyperlink" Target="https://accept.aseanenergy.org/hydrogen-in-asean-economic-prospects-development-and-applications/" TargetMode="External"/><Relationship Id="rId8" Type="http://schemas.openxmlformats.org/officeDocument/2006/relationships/hyperlink" Target="https://www.eia.gov/consumption/manufacturing/data/2018/" TargetMode="External"/><Relationship Id="rId51" Type="http://schemas.openxmlformats.org/officeDocument/2006/relationships/hyperlink" Target="https://ember-energy.org/app/uploads/2024/03/EN-Report-Uncovering-Indonesias-hidden-methane-problem.pdf" TargetMode="External"/><Relationship Id="rId72" Type="http://schemas.openxmlformats.org/officeDocument/2006/relationships/hyperlink" Target="https://www.agora-industry.org/publications/9-insights-on-hydrogen-southeast-asia-edition" TargetMode="External"/><Relationship Id="rId3" Type="http://schemas.openxmlformats.org/officeDocument/2006/relationships/hyperlink" Target="https://gccassociation.org/concretefuture/wp-content/uploads/2022/10/GCCA-Concrete-Future-Roadmap-Document-AW-2022.pdf?apcid=0065d8e5d65f2d3102d04602" TargetMode="External"/><Relationship Id="rId12" Type="http://schemas.openxmlformats.org/officeDocument/2006/relationships/hyperlink" Target="https://static1.squarespace.com/static/5877e86f9de4bb8bce72105c/t/6566c06a333b464338360746/1701232766000/China+industrial+electrification+-11.27.2023rev.pdf" TargetMode="External"/><Relationship Id="rId17" Type="http://schemas.openxmlformats.org/officeDocument/2006/relationships/hyperlink" Target="https://decarbonisationtechnology.com/videos/84/what-is-process-electrification-in-downstream-oil-and-gas-industry" TargetMode="External"/><Relationship Id="rId25" Type="http://schemas.openxmlformats.org/officeDocument/2006/relationships/hyperlink" Target="http://www.lanxi.gov.cn/art/2024/11/4/art_1229791669_4193364.html" TargetMode="External"/><Relationship Id="rId33" Type="http://schemas.openxmlformats.org/officeDocument/2006/relationships/hyperlink" Target="https://www.energy-transitions.org/publications/china-2050-a-fully-developed-rich-zero-carbon-economy/" TargetMode="External"/><Relationship Id="rId38" Type="http://schemas.openxmlformats.org/officeDocument/2006/relationships/hyperlink" Target="https://eta-publications.lbl.gov/sites/default/files/commercial_industrial_discount_rates_2021v2.pdf" TargetMode="External"/><Relationship Id="rId46" Type="http://schemas.openxmlformats.org/officeDocument/2006/relationships/hyperlink" Target="https://www.nature.com/articles/s41586-024-07117-5.epdf?sharing_token=Bz9hCH3_7tfqyvlUpFupYdRgN0jAjWel9jnR3ZoTv0OG-aLaQDkYFvre5Flei_ikYuEYlQ6CJ8itXbSxbFRFs3WDwDOGkIGeF8-LhmE43BNK04TT10wIBhf-iwgyxUVC0WdV0z4FlGn4KaAKeEYS-tnc4MYrtoBA9WUGkWWMfqCLr4P44jmgxkoWxQAVzggJfV6t-CJB5tzAI4HclAd2JnspXeS64NFhk2PGtFBPCt0%3D&amp;tracking_referrer=www.technologyreview.com" TargetMode="External"/><Relationship Id="rId59" Type="http://schemas.openxmlformats.org/officeDocument/2006/relationships/hyperlink" Target="https://oec.world/en/profile/country/vnm" TargetMode="External"/><Relationship Id="rId67" Type="http://schemas.openxmlformats.org/officeDocument/2006/relationships/hyperlink" Target="https://medium.com/@erofeev.yury/green-hydrogen-will-be-much-more-expensive-than-previously-thought-232a25c2d156" TargetMode="External"/><Relationship Id="rId20" Type="http://schemas.openxmlformats.org/officeDocument/2006/relationships/hyperlink" Target="https://liftoff.energy.gov/wp-content/uploads/2023/09/20230918-Pathways-to-Commercial-Liftoff-Industrial-Decarb.pdf" TargetMode="External"/><Relationship Id="rId41" Type="http://schemas.openxmlformats.org/officeDocument/2006/relationships/hyperlink" Target="https://www.osti.gov/servlets/purl/1567735" TargetMode="External"/><Relationship Id="rId54" Type="http://schemas.openxmlformats.org/officeDocument/2006/relationships/hyperlink" Target="https://ieefa.org/sites/default/files/2022-06/steel-fact-sheet.pdf" TargetMode="External"/><Relationship Id="rId62" Type="http://schemas.openxmlformats.org/officeDocument/2006/relationships/hyperlink" Target="https://www.switch-asia.eu/site/assets/files/2533/national_action_plan_on_scp_vietnam_pdf_pdf.pdf" TargetMode="External"/><Relationship Id="rId70" Type="http://schemas.openxmlformats.org/officeDocument/2006/relationships/hyperlink" Target="https://corporate.exxonmobil.com/-/media/global/files/global-outlook/2024/global-outlook-data-2024.xlsx" TargetMode="External"/><Relationship Id="rId75" Type="http://schemas.openxmlformats.org/officeDocument/2006/relationships/hyperlink" Target="https://www.nbr.org/publication/lessons-from-hydrogen-strategy-in-vietnam-and-the-united-states/" TargetMode="External"/><Relationship Id="rId1" Type="http://schemas.openxmlformats.org/officeDocument/2006/relationships/hyperlink" Target="https://static1.squarespace.com/static/5877e86f9de4bb8bce72105c/t/6400854fbe41e5254fcfd5c3/1677755746536/China+steel+roadmap-2Mar2023.pdf" TargetMode="External"/><Relationship Id="rId6" Type="http://schemas.openxmlformats.org/officeDocument/2006/relationships/hyperlink" Target="https://www.sciencedirect.com/science/article/pii/S2352550924002823" TargetMode="External"/><Relationship Id="rId15" Type="http://schemas.openxmlformats.org/officeDocument/2006/relationships/hyperlink" Target="http://www.moderneq.com/pdf/Refractories.pdf" TargetMode="External"/><Relationship Id="rId23" Type="http://schemas.openxmlformats.org/officeDocument/2006/relationships/hyperlink" Target="http://www.lanxi.gov.cn/art/2024/3/26/art_1229288169_4146018.html" TargetMode="External"/><Relationship Id="rId28" Type="http://schemas.openxmlformats.org/officeDocument/2006/relationships/hyperlink" Target="http://jinan.subaoxw.com/zj/2023/0110/90612.html" TargetMode="External"/><Relationship Id="rId36" Type="http://schemas.openxmlformats.org/officeDocument/2006/relationships/hyperlink" Target="https://energypolicy.solutions/home/us/en" TargetMode="External"/><Relationship Id="rId49" Type="http://schemas.openxmlformats.org/officeDocument/2006/relationships/hyperlink" Target="https://www.eia.gov/coal/annual/" TargetMode="External"/><Relationship Id="rId57" Type="http://schemas.openxmlformats.org/officeDocument/2006/relationships/hyperlink" Target="https://web.pln.co.id/statics/uploads/2022/09/TTL-OKT-DES.jpg" TargetMode="External"/><Relationship Id="rId10" Type="http://schemas.openxmlformats.org/officeDocument/2006/relationships/hyperlink" Target="https://doi.org/10.1088/1748-9326/abbd02" TargetMode="External"/><Relationship Id="rId31" Type="http://schemas.openxmlformats.org/officeDocument/2006/relationships/hyperlink" Target="https://www.yixing.gov.cn/doc/2023/01/10/1112115.shtml" TargetMode="External"/><Relationship Id="rId44" Type="http://schemas.openxmlformats.org/officeDocument/2006/relationships/hyperlink" Target="https://ember-energy.org/data/electricity-data-explorer/" TargetMode="External"/><Relationship Id="rId52" Type="http://schemas.openxmlformats.org/officeDocument/2006/relationships/hyperlink" Target="https://www.minerba.esdm.go.id/berita/minerba/detil/20231219-plt-dirjen-minerba-resmikan-produksi-pertama-tambang-batubara-bawah-tanah-pt-sde" TargetMode="External"/><Relationship Id="rId60" Type="http://schemas.openxmlformats.org/officeDocument/2006/relationships/hyperlink" Target="https://moit.gov.vn/upload/2005517/fck/files/Ho_so_QHNL_gui_809da_0ae04.rar" TargetMode="External"/><Relationship Id="rId65" Type="http://schemas.openxmlformats.org/officeDocument/2006/relationships/hyperlink" Target="https://carbonherald.com/chinas-carbon-market-sees-off-successful-2024-but-challenges-persist/" TargetMode="External"/><Relationship Id="rId73" Type="http://schemas.openxmlformats.org/officeDocument/2006/relationships/hyperlink" Target="https://www.undp.org/vietnam/blog/utilising-broad-application-green-hydrogen" TargetMode="External"/><Relationship Id="rId78" Type="http://schemas.openxmlformats.org/officeDocument/2006/relationships/hyperlink" Target="https://www.sciencedirect.com/science/article/pii/S0360319924031641" TargetMode="External"/><Relationship Id="rId4" Type="http://schemas.openxmlformats.org/officeDocument/2006/relationships/hyperlink" Target="https://zerocarbonindustry.com/" TargetMode="External"/><Relationship Id="rId9" Type="http://schemas.openxmlformats.org/officeDocument/2006/relationships/hyperlink" Target="https://static1.squarespace.com/static/5877e86f9de4bb8bce72105c/t/6719f901a1b4411b805a5211/1729755423661/EU+Industry+electrification-+Part+1-Process+electrification.pdf" TargetMode="External"/><Relationship Id="rId13" Type="http://schemas.openxmlformats.org/officeDocument/2006/relationships/hyperlink" Target="https://www.iea.org/articles/driving-energy-efficiency-in-heavy-industries" TargetMode="External"/><Relationship Id="rId18" Type="http://schemas.openxmlformats.org/officeDocument/2006/relationships/hyperlink" Target="http://www.sciencedirect.com/science/article/pii/S0959652618326301" TargetMode="External"/><Relationship Id="rId39" Type="http://schemas.openxmlformats.org/officeDocument/2006/relationships/hyperlink" Target="https://www.eia.gov/outlooks/aeo/" TargetMode="External"/><Relationship Id="rId34" Type="http://schemas.openxmlformats.org/officeDocument/2006/relationships/hyperlink" Target="https://energypolicy.solutions/home/china-igdp/en" TargetMode="External"/><Relationship Id="rId50" Type="http://schemas.openxmlformats.org/officeDocument/2006/relationships/hyperlink" Target="https://www.ipcc-nggip.iges.or.jp/public/2019rf/pdf/2_Volume2/19R_V2_4_Ch04_Fugitive_Emissions.pdf" TargetMode="External"/><Relationship Id="rId55" Type="http://schemas.openxmlformats.org/officeDocument/2006/relationships/hyperlink" Target="https://media.depp3.vn/Images/User/quantri/2024/6/5.technical_report.pdf" TargetMode="External"/><Relationship Id="rId76" Type="http://schemas.openxmlformats.org/officeDocument/2006/relationships/hyperlink" Target="https://www.eria.org/uploads/Hydrogen_Demand_and_Supply_in_ASEAN_Industry_Sector.pdf" TargetMode="External"/><Relationship Id="rId7" Type="http://schemas.openxmlformats.org/officeDocument/2006/relationships/hyperlink" Target="https://www.mdpi.com/2071-1050/16/18/7959" TargetMode="External"/><Relationship Id="rId71" Type="http://schemas.openxmlformats.org/officeDocument/2006/relationships/hyperlink" Target="https://www.sciencedirect.com/science/article/abs/pii/S0360319924012874?via%3Dihub" TargetMode="External"/><Relationship Id="rId2" Type="http://schemas.openxmlformats.org/officeDocument/2006/relationships/hyperlink" Target="https://www.bloomsbury.com/us/sustainable-materials-without-the-hot-air-9781906860301/" TargetMode="External"/><Relationship Id="rId29" Type="http://schemas.openxmlformats.org/officeDocument/2006/relationships/hyperlink" Target="http://www.xuecheng.gov.cn/zwgk/qjbm/qfgj/202308/P020230807379302427443.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eria.org/uploads/5_Chapter_5.pdf" TargetMode="External"/><Relationship Id="rId13" Type="http://schemas.openxmlformats.org/officeDocument/2006/relationships/vmlDrawing" Target="../drawings/vmlDrawing4.vml"/><Relationship Id="rId3" Type="http://schemas.openxmlformats.org/officeDocument/2006/relationships/hyperlink" Target="https://h2.in-en.com/html/h2-2432109.shtml" TargetMode="External"/><Relationship Id="rId7" Type="http://schemas.openxmlformats.org/officeDocument/2006/relationships/hyperlink" Target="http://www.wuhaneca.org/uploads/PDF/%E4%B8%AD%E5%9B%BD%E6%B0%A2%E8%83%BD%E4%BA%A7%E4%B8%9A%E5%8F%91%E5%B1%95%E6%8A%A5%E5%91%8A2024.pdf" TargetMode="External"/><Relationship Id="rId12" Type="http://schemas.openxmlformats.org/officeDocument/2006/relationships/drawing" Target="../drawings/drawing8.xml"/><Relationship Id="rId2" Type="http://schemas.openxmlformats.org/officeDocument/2006/relationships/hyperlink" Target="https://h2.in-en.com/html/h2-2432109.shtml" TargetMode="External"/><Relationship Id="rId1" Type="http://schemas.openxmlformats.org/officeDocument/2006/relationships/hyperlink" Target="https://h2.in-en.com/html/h2-2432109.shtml" TargetMode="External"/><Relationship Id="rId6" Type="http://schemas.openxmlformats.org/officeDocument/2006/relationships/hyperlink" Target="http://www.wuhaneca.org/uploads/PDF/%E4%B8%AD%E5%9B%BD%E6%B0%A2%E8%83%BD%E4%BA%A7%E4%B8%9A%E5%8F%91%E5%B1%95%E6%8A%A5%E5%91%8A2024.pdf" TargetMode="External"/><Relationship Id="rId11" Type="http://schemas.openxmlformats.org/officeDocument/2006/relationships/printerSettings" Target="../printerSettings/printerSettings4.bin"/><Relationship Id="rId5" Type="http://schemas.openxmlformats.org/officeDocument/2006/relationships/hyperlink" Target="http://www.wuhaneca.org/uploads/PDF/%E4%B8%AD%E5%9B%BD%E6%B0%A2%E8%83%BD%E4%BA%A7%E4%B8%9A%E5%8F%91%E5%B1%95%E6%8A%A5%E5%91%8A2024.pdf" TargetMode="External"/><Relationship Id="rId10" Type="http://schemas.openxmlformats.org/officeDocument/2006/relationships/hyperlink" Target="https://www.engineeringtoolbox.com/fuels-higher-calorific-values-d_169.html" TargetMode="External"/><Relationship Id="rId4" Type="http://schemas.openxmlformats.org/officeDocument/2006/relationships/hyperlink" Target="http://www.wuhaneca.org/uploads/PDF/%E4%B8%AD%E5%9B%BD%E6%B0%A2%E8%83%BD%E4%BA%A7%E4%B8%9A%E5%8F%91%E5%B1%95%E6%8A%A5%E5%91%8A2024.pdf" TargetMode="External"/><Relationship Id="rId9" Type="http://schemas.openxmlformats.org/officeDocument/2006/relationships/hyperlink" Target="https://www.eria.org/uploads/5_Chapter_5.pdf" TargetMode="External"/><Relationship Id="rId1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8" Type="http://schemas.openxmlformats.org/officeDocument/2006/relationships/hyperlink" Target="https://gatrik.esdm.go.id/assets/uploads/download_index/files/c4d42-technology-data-for-the-indonesian-power-sector-2024-annoteret-af-kb-.pdf" TargetMode="External"/><Relationship Id="rId13" Type="http://schemas.openxmlformats.org/officeDocument/2006/relationships/hyperlink" Target="https://gatrik.esdm.go.id/assets/uploads/download_index/files/c4d42-technology-data-for-the-indonesian-power-sector-2024-annoteret-af-kb-.pdf" TargetMode="External"/><Relationship Id="rId18" Type="http://schemas.openxmlformats.org/officeDocument/2006/relationships/vmlDrawing" Target="../drawings/vmlDrawing6.vml"/><Relationship Id="rId3" Type="http://schemas.openxmlformats.org/officeDocument/2006/relationships/hyperlink" Target="https://gatrik.esdm.go.id/assets/uploads/download_index/files/c4d42-technology-data-for-the-indonesian-power-sector-2024-annoteret-af-kb-.pdf" TargetMode="External"/><Relationship Id="rId7" Type="http://schemas.openxmlformats.org/officeDocument/2006/relationships/hyperlink" Target="https://gatrik.esdm.go.id/assets/uploads/download_index/files/c4d42-technology-data-for-the-indonesian-power-sector-2024-annoteret-af-kb-.pdf" TargetMode="External"/><Relationship Id="rId12" Type="http://schemas.openxmlformats.org/officeDocument/2006/relationships/hyperlink" Target="https://gatrik.esdm.go.id/assets/uploads/download_index/files/c4d42-technology-data-for-the-indonesian-power-sector-2024-annoteret-af-kb-.pdf" TargetMode="External"/><Relationship Id="rId17" Type="http://schemas.openxmlformats.org/officeDocument/2006/relationships/printerSettings" Target="../printerSettings/printerSettings6.bin"/><Relationship Id="rId2" Type="http://schemas.openxmlformats.org/officeDocument/2006/relationships/hyperlink" Target="https://gatrik.esdm.go.id/assets/uploads/download_index/files/c4d42-technology-data-for-the-indonesian-power-sector-2024-annoteret-af-kb-.pdf" TargetMode="External"/><Relationship Id="rId16" Type="http://schemas.openxmlformats.org/officeDocument/2006/relationships/hyperlink" Target="https://gatrik.esdm.go.id/assets/uploads/download_index/files/c4d42-technology-data-for-the-indonesian-power-sector-2024-annoteret-af-kb-.pdf" TargetMode="External"/><Relationship Id="rId1" Type="http://schemas.openxmlformats.org/officeDocument/2006/relationships/hyperlink" Target="https://gatrik.esdm.go.id/assets/uploads/download_index/files/c4d42-technology-data-for-the-indonesian-power-sector-2024-annoteret-af-kb-.pdf" TargetMode="External"/><Relationship Id="rId6" Type="http://schemas.openxmlformats.org/officeDocument/2006/relationships/hyperlink" Target="https://gatrik.esdm.go.id/assets/uploads/download_index/files/c4d42-technology-data-for-the-indonesian-power-sector-2024-annoteret-af-kb-.pdf" TargetMode="External"/><Relationship Id="rId11" Type="http://schemas.openxmlformats.org/officeDocument/2006/relationships/hyperlink" Target="https://gatrik.esdm.go.id/assets/uploads/download_index/files/c4d42-technology-data-for-the-indonesian-power-sector-2024-annoteret-af-kb-.pdf" TargetMode="External"/><Relationship Id="rId5" Type="http://schemas.openxmlformats.org/officeDocument/2006/relationships/hyperlink" Target="https://gatrik.esdm.go.id/assets/uploads/download_index/files/c4d42-technology-data-for-the-indonesian-power-sector-2024-annoteret-af-kb-.pdf" TargetMode="External"/><Relationship Id="rId15" Type="http://schemas.openxmlformats.org/officeDocument/2006/relationships/hyperlink" Target="https://gatrik.esdm.go.id/assets/uploads/download_index/files/c4d42-technology-data-for-the-indonesian-power-sector-2024-annoteret-af-kb-.pdf" TargetMode="External"/><Relationship Id="rId10" Type="http://schemas.openxmlformats.org/officeDocument/2006/relationships/hyperlink" Target="https://gatrik.esdm.go.id/assets/uploads/download_index/files/c4d42-technology-data-for-the-indonesian-power-sector-2024-annoteret-af-kb-.pdf" TargetMode="External"/><Relationship Id="rId19" Type="http://schemas.openxmlformats.org/officeDocument/2006/relationships/comments" Target="../comments6.xml"/><Relationship Id="rId4" Type="http://schemas.openxmlformats.org/officeDocument/2006/relationships/hyperlink" Target="https://gatrik.esdm.go.id/assets/uploads/download_index/files/c4d42-technology-data-for-the-indonesian-power-sector-2024-annoteret-af-kb-.pdf" TargetMode="External"/><Relationship Id="rId9" Type="http://schemas.openxmlformats.org/officeDocument/2006/relationships/hyperlink" Target="https://gatrik.esdm.go.id/assets/uploads/download_index/files/c4d42-technology-data-for-the-indonesian-power-sector-2024-annoteret-af-kb-.pdf" TargetMode="External"/><Relationship Id="rId14" Type="http://schemas.openxmlformats.org/officeDocument/2006/relationships/hyperlink" Target="https://gatrik.esdm.go.id/assets/uploads/download_index/files/c4d42-technology-data-for-the-indonesian-power-sector-2024-annoteret-af-kb-.pd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iea.org/reports/achieving-a-net-zero-electricity-sector-in-viet-nam" TargetMode="External"/><Relationship Id="rId13" Type="http://schemas.openxmlformats.org/officeDocument/2006/relationships/hyperlink" Target="https://bcp.cdnchinhphu.vn/334894974524682240/2025/4/16/768-qd-ttg-15042025-signed-1744801556636457381854.pdf" TargetMode="External"/><Relationship Id="rId3" Type="http://schemas.openxmlformats.org/officeDocument/2006/relationships/hyperlink" Target="https://assets.bbhub.io/professional/sites/24/20231020_Vietnam-TCF-report-with-factsheets-EN.pdf" TargetMode="External"/><Relationship Id="rId7" Type="http://schemas.openxmlformats.org/officeDocument/2006/relationships/hyperlink" Target="https://www.iea.org/reports/achieving-a-net-zero-electricity-sector-in-viet-nam" TargetMode="External"/><Relationship Id="rId12" Type="http://schemas.openxmlformats.org/officeDocument/2006/relationships/hyperlink" Target="https://baochinhphu.vn/thu-tuong-chinh-phu-phe-duyet-dieu-chinh-quy-hoach-dien-viii-102250416180716025.htm" TargetMode="External"/><Relationship Id="rId2" Type="http://schemas.openxmlformats.org/officeDocument/2006/relationships/hyperlink" Target="https://assets.bbhub.io/professional/sites/24/20231020_Vietnam-TCF-report-with-factsheets-EN.pdf" TargetMode="External"/><Relationship Id="rId1" Type="http://schemas.openxmlformats.org/officeDocument/2006/relationships/hyperlink" Target="https://assets.bbhub.io/professional/sites/24/20231020_Vietnam-TCF-report-with-factsheets-EN.pdf" TargetMode="External"/><Relationship Id="rId6" Type="http://schemas.openxmlformats.org/officeDocument/2006/relationships/hyperlink" Target="https://www.iea.org/reports/achieving-a-net-zero-electricity-sector-in-viet-nam" TargetMode="External"/><Relationship Id="rId11" Type="http://schemas.openxmlformats.org/officeDocument/2006/relationships/hyperlink" Target="https://baochinhphu.vn/thu-tuong-chinh-phu-phe-duyet-dieu-chinh-quy-hoach-dien-viii-102250416180716025.htm" TargetMode="External"/><Relationship Id="rId5" Type="http://schemas.openxmlformats.org/officeDocument/2006/relationships/hyperlink" Target="https://www.iea.org/reports/achieving-a-net-zero-electricity-sector-in-viet-nam" TargetMode="External"/><Relationship Id="rId10" Type="http://schemas.openxmlformats.org/officeDocument/2006/relationships/hyperlink" Target="https://media.depp3.vn/Images/User/quantri/2023/11/power_generation_eng_28-11.compressed_compressed.pdf" TargetMode="External"/><Relationship Id="rId4" Type="http://schemas.openxmlformats.org/officeDocument/2006/relationships/hyperlink" Target="https://assets.bbhub.io/professional/sites/24/20231020_Vietnam-TCF-report-with-factsheets-EN.pdf" TargetMode="External"/><Relationship Id="rId9" Type="http://schemas.openxmlformats.org/officeDocument/2006/relationships/hyperlink" Target="https://media.depp3.vn/Images/User/quantri/2023/11/power_generation_eng_28-11.compressed_compressed.pdf" TargetMode="External"/><Relationship Id="rId14"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worldmetals.com.cn/viscms/yuanliaoliantie7909/20151215/162811.html"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www.worldmetals.com.cn/viscms/yuanliaoliantie7909/20151215/162811.html"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www.worldmetals.com.cn/viscms/yuanliaoliantie7909/20151215/162811.html"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www.minneapolisfed.org/about-us/monetary-policy/inflation-calculato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www.minneapolisfed.org/about-us/monetary-policy/inflation-calculato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www.minneapolisfed.org/about-us/monetary-policy/inflation-calculato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1" Type="http://schemas.openxmlformats.org/officeDocument/2006/relationships/hyperlink" Target="https://www.engineeringtoolbox.com/fuels-higher-calorific-values-d_169.html" TargetMode="Externa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1" Type="http://schemas.openxmlformats.org/officeDocument/2006/relationships/hyperlink" Target="https://iea.blob.core.windows.net/assets/f065ae5e-94ed-4fcb-8f17-8ceffde8bdd2/TheOilandGasIndustryinNetZeroTransitions.pdf"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epa.gov/ghgemissions/inventory-us-greenhouse-gas-emissions-and-sinks" TargetMode="External"/><Relationship Id="rId7" Type="http://schemas.openxmlformats.org/officeDocument/2006/relationships/drawing" Target="../drawings/drawing16.xml"/><Relationship Id="rId2" Type="http://schemas.openxmlformats.org/officeDocument/2006/relationships/hyperlink" Target="https://www.ecfr.gov/current/title-40/chapter-I/subchapter-C/part-98" TargetMode="External"/><Relationship Id="rId1" Type="http://schemas.openxmlformats.org/officeDocument/2006/relationships/hyperlink" Target="https://www.ecfr.gov/current/title-40/chapter-I/subchapter-C/part-98" TargetMode="External"/><Relationship Id="rId6" Type="http://schemas.openxmlformats.org/officeDocument/2006/relationships/printerSettings" Target="../printerSettings/printerSettings15.bin"/><Relationship Id="rId5" Type="http://schemas.openxmlformats.org/officeDocument/2006/relationships/hyperlink" Target="https://www.epa.gov/warm" TargetMode="External"/><Relationship Id="rId4" Type="http://schemas.openxmlformats.org/officeDocument/2006/relationships/hyperlink" Target="https://www.epa.gov/ghgemissions/inventory-us-greenhouse-gas-emissions-and-sinks" TargetMode="External"/></Relationships>
</file>

<file path=xl/worksheets/_rels/sheet41.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18.xml"/><Relationship Id="rId1" Type="http://schemas.openxmlformats.org/officeDocument/2006/relationships/vmlDrawing" Target="../drawings/vmlDrawing19.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drawing" Target="../drawings/drawing17.xml"/><Relationship Id="rId4" Type="http://schemas.microsoft.com/office/2017/10/relationships/threadedComment" Target="../threadedComments/threadedComment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exchange-rates.org/exchange-rate-history/idr-usd-2022"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8.xml.rels><?xml version="1.0" encoding="UTF-8" standalone="yes"?>
<Relationships xmlns="http://schemas.openxmlformats.org/package/2006/relationships"><Relationship Id="rId1" Type="http://schemas.openxmlformats.org/officeDocument/2006/relationships/hyperlink" Target="https://github.com/JGCRI/gcam-cor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8" Type="http://schemas.openxmlformats.org/officeDocument/2006/relationships/hyperlink" Target="https://www.esdm.go.id/assets/media/content/content-handbook-of-energy-and-economic-statistics-of-indonesia-2023.pdf" TargetMode="External"/><Relationship Id="rId3" Type="http://schemas.openxmlformats.org/officeDocument/2006/relationships/hyperlink" Target="https://www.eia.gov/energyexplained/units-and-calculators/energy-conversion-calculators.php" TargetMode="External"/><Relationship Id="rId7" Type="http://schemas.openxmlformats.org/officeDocument/2006/relationships/hyperlink" Target="https://www.seai.ie/data-and-insights/seai-statistics/conversion-factors?utm_source=chatgpt.com" TargetMode="External"/><Relationship Id="rId2" Type="http://schemas.openxmlformats.org/officeDocument/2006/relationships/hyperlink" Target="https://www.eia.gov/energyexplained/units-and-calculators/energy-conversion-calculators.php" TargetMode="External"/><Relationship Id="rId1" Type="http://schemas.openxmlformats.org/officeDocument/2006/relationships/hyperlink" Target="https://www.euronuclear.org/glossary/coal-equivalent/" TargetMode="External"/><Relationship Id="rId6" Type="http://schemas.openxmlformats.org/officeDocument/2006/relationships/hyperlink" Target="https://www.seai.ie/data-and-insights/seai-statistics/conversion-factors?utm_source=chatgpt.com" TargetMode="External"/><Relationship Id="rId5" Type="http://schemas.openxmlformats.org/officeDocument/2006/relationships/hyperlink" Target="https://www.seai.ie/data-and-insights/seai-statistics/conversion-factors?utm_source=chatgpt.com" TargetMode="External"/><Relationship Id="rId4" Type="http://schemas.openxmlformats.org/officeDocument/2006/relationships/hyperlink" Target="https://www.seai.ie/data-and-insights/seai-statistics/conversion-factors?utm_source=chatgpt.com" TargetMode="External"/><Relationship Id="rId9" Type="http://schemas.openxmlformats.org/officeDocument/2006/relationships/printerSettings" Target="../printerSettings/printerSettings1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17.bin"/><Relationship Id="rId4" Type="http://schemas.microsoft.com/office/2017/10/relationships/threadedComment" Target="../threadedComments/threadedComment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C45F8-F85E-499C-A17A-EAD4AC5C2B9C}">
  <dimension ref="A1:A20"/>
  <sheetViews>
    <sheetView tabSelected="1" zoomScale="115" zoomScaleNormal="115" workbookViewId="0"/>
  </sheetViews>
  <sheetFormatPr defaultRowHeight="15"/>
  <cols>
    <col min="1" max="1" width="112.28515625" style="33" customWidth="1"/>
  </cols>
  <sheetData>
    <row r="1" spans="1:1">
      <c r="A1" s="100" t="s">
        <v>0</v>
      </c>
    </row>
    <row r="2" spans="1:1">
      <c r="A2" s="1134" t="s">
        <v>1</v>
      </c>
    </row>
    <row r="3" spans="1:1">
      <c r="A3" s="1136" t="s">
        <v>2</v>
      </c>
    </row>
    <row r="5" spans="1:1" ht="16.5">
      <c r="A5" s="1135" t="s">
        <v>3</v>
      </c>
    </row>
    <row r="6" spans="1:1" ht="16.5">
      <c r="A6" s="33" t="s">
        <v>4</v>
      </c>
    </row>
    <row r="7" spans="1:1" ht="16.5">
      <c r="A7" s="33" t="s">
        <v>5</v>
      </c>
    </row>
    <row r="9" spans="1:1">
      <c r="A9" s="33" t="s">
        <v>6</v>
      </c>
    </row>
    <row r="10" spans="1:1">
      <c r="A10" s="1136" t="s">
        <v>7</v>
      </c>
    </row>
    <row r="12" spans="1:1" ht="30">
      <c r="A12" s="33" t="s">
        <v>8</v>
      </c>
    </row>
    <row r="14" spans="1:1">
      <c r="A14" s="100" t="s">
        <v>9</v>
      </c>
    </row>
    <row r="15" spans="1:1">
      <c r="A15" s="33" t="s">
        <v>10</v>
      </c>
    </row>
    <row r="16" spans="1:1">
      <c r="A16" s="33" t="s">
        <v>11</v>
      </c>
    </row>
    <row r="17" spans="1:1">
      <c r="A17" s="33" t="s">
        <v>12</v>
      </c>
    </row>
    <row r="18" spans="1:1">
      <c r="A18" s="33" t="s">
        <v>13</v>
      </c>
    </row>
    <row r="19" spans="1:1">
      <c r="A19" s="33" t="s">
        <v>14</v>
      </c>
    </row>
    <row r="20" spans="1:1">
      <c r="A20" s="33" t="s">
        <v>15</v>
      </c>
    </row>
  </sheetData>
  <pageMargins left="0.7" right="0.7" top="0.75" bottom="0.75" header="0.3" footer="0.3"/>
  <headerFooter>
    <oddFooter>&amp;R_x000D_&amp;1#&amp;"Aptos"&amp;10&amp;K000000 Official Use Only</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0D71-52B5-41D2-BC89-15261A5913B3}">
  <sheetPr>
    <tabColor theme="0" tint="-0.249977111117893"/>
  </sheetPr>
  <dimension ref="A1:O632"/>
  <sheetViews>
    <sheetView zoomScale="130" zoomScaleNormal="130" workbookViewId="0"/>
  </sheetViews>
  <sheetFormatPr defaultRowHeight="15"/>
  <cols>
    <col min="1" max="1" width="44.5703125" customWidth="1"/>
    <col min="2" max="2" width="19.140625" customWidth="1"/>
    <col min="3" max="3" width="18.42578125" customWidth="1"/>
    <col min="4" max="4" width="18.28515625" customWidth="1"/>
    <col min="5" max="5" width="18.42578125" customWidth="1"/>
    <col min="6" max="6" width="16.7109375" customWidth="1"/>
    <col min="7" max="7" width="19.140625" customWidth="1"/>
    <col min="8" max="8" width="19.7109375" customWidth="1"/>
    <col min="9" max="9" width="19.5703125" customWidth="1"/>
    <col min="10" max="10" width="15.85546875" customWidth="1"/>
    <col min="11" max="11" width="17.28515625" customWidth="1"/>
    <col min="12" max="12" width="19" customWidth="1"/>
    <col min="13" max="13" width="20.85546875" customWidth="1"/>
    <col min="14" max="14" width="17.7109375" customWidth="1"/>
  </cols>
  <sheetData>
    <row r="1" spans="1:15">
      <c r="A1" s="538" t="s">
        <v>416</v>
      </c>
      <c r="B1" s="539"/>
      <c r="C1" s="539"/>
    </row>
    <row r="3" spans="1:15">
      <c r="A3" s="26" t="s">
        <v>417</v>
      </c>
    </row>
    <row r="4" spans="1:15">
      <c r="A4" s="45" t="s">
        <v>418</v>
      </c>
      <c r="B4" s="51"/>
      <c r="C4" s="51"/>
      <c r="D4" s="51"/>
      <c r="E4" s="51"/>
      <c r="F4" s="51"/>
      <c r="G4" s="51"/>
      <c r="H4" s="51"/>
      <c r="I4" s="51"/>
      <c r="J4" s="51"/>
      <c r="K4" s="51"/>
      <c r="L4" s="51"/>
    </row>
    <row r="5" spans="1:15" s="33" customFormat="1" ht="45">
      <c r="A5" s="36" t="s">
        <v>114</v>
      </c>
      <c r="B5" s="37" t="s">
        <v>40</v>
      </c>
      <c r="C5" s="37" t="s">
        <v>41</v>
      </c>
      <c r="D5" s="37" t="s">
        <v>42</v>
      </c>
      <c r="E5" s="37" t="s">
        <v>43</v>
      </c>
      <c r="F5" s="37" t="s">
        <v>44</v>
      </c>
      <c r="G5" s="37" t="s">
        <v>45</v>
      </c>
      <c r="H5" s="37" t="s">
        <v>46</v>
      </c>
      <c r="I5" s="37" t="s">
        <v>47</v>
      </c>
      <c r="J5" s="37" t="s">
        <v>419</v>
      </c>
      <c r="K5" s="37" t="s">
        <v>49</v>
      </c>
      <c r="L5" s="37" t="s">
        <v>420</v>
      </c>
      <c r="M5" s="54" t="s">
        <v>421</v>
      </c>
      <c r="N5" s="54" t="s">
        <v>422</v>
      </c>
      <c r="O5" s="101" t="s">
        <v>87</v>
      </c>
    </row>
    <row r="6" spans="1:15">
      <c r="A6" t="s">
        <v>63</v>
      </c>
      <c r="B6" s="27" cm="1">
        <f t="array" ref="B6">_xlfn.SWITCH(Graphs!$B$1,"China",'Energy Use Data'!B9,"Indonesia",'Energy Use Data'!B27,"Vietnam",'Energy Use Data'!B45,"United States",'Energy Use Data'!B63)</f>
        <v>222.29484173505278</v>
      </c>
      <c r="C6" s="27" cm="1">
        <f t="array" ref="C6">_xlfn.SWITCH(Graphs!$B$1,"China",'Energy Use Data'!C9,"Indonesia",'Energy Use Data'!C27,"Vietnam",'Energy Use Data'!C45,"United States",'Energy Use Data'!C63)</f>
        <v>3.8276670574443141</v>
      </c>
      <c r="D6" s="27" cm="1">
        <f t="array" ref="D6">_xlfn.SWITCH(Graphs!$B$1,"China",'Energy Use Data'!D9,"Indonesia",'Energy Use Data'!D27,"Vietnam",'Energy Use Data'!D45,"United States",'Energy Use Data'!D63)</f>
        <v>0.17291910902696367</v>
      </c>
      <c r="E6" s="27" cm="1">
        <f t="array" ref="E6">_xlfn.SWITCH(Graphs!$B$1,"China",'Energy Use Data'!E9,"Indonesia",'Energy Use Data'!E27,"Vietnam",'Energy Use Data'!E45,"United States",'Energy Use Data'!E63)</f>
        <v>21.374560375146544</v>
      </c>
      <c r="F6" s="27" cm="1">
        <f t="array" ref="F6">_xlfn.SWITCH(Graphs!$B$1,"China",'Energy Use Data'!F9,"Indonesia",'Energy Use Data'!F27,"Vietnam",'Energy Use Data'!F45,"United States",'Energy Use Data'!F63)</f>
        <v>351.46248534583827</v>
      </c>
      <c r="G6" s="27" cm="1">
        <f t="array" ref="G6">_xlfn.SWITCH(Graphs!$B$1,"China",'Energy Use Data'!G9,"Indonesia",'Energy Use Data'!G27,"Vietnam",'Energy Use Data'!G45,"United States",'Energy Use Data'!G63)</f>
        <v>0</v>
      </c>
      <c r="H6" s="27" cm="1">
        <f t="array" ref="H6">_xlfn.SWITCH(Graphs!$B$1,"China",'Energy Use Data'!H9,"Indonesia",'Energy Use Data'!H27,"Vietnam",'Energy Use Data'!H45,"United States",'Energy Use Data'!H63)</f>
        <v>396.46541617819463</v>
      </c>
      <c r="I6" s="27" cm="1">
        <f t="array" ref="I6">_xlfn.SWITCH(Graphs!$B$1,"China",'Energy Use Data'!I9,"Indonesia",'Energy Use Data'!I27,"Vietnam",'Energy Use Data'!I45,"United States",'Energy Use Data'!I63)</f>
        <v>570.35463071512322</v>
      </c>
      <c r="J6">
        <v>0</v>
      </c>
      <c r="K6">
        <v>0</v>
      </c>
      <c r="L6">
        <v>0</v>
      </c>
      <c r="M6" s="1201">
        <f t="shared" ref="M6:M20" si="0">SUM(B6:L6)</f>
        <v>1565.9525205158268</v>
      </c>
      <c r="N6" s="27">
        <f>M6</f>
        <v>1565.9525205158268</v>
      </c>
      <c r="O6">
        <f>IF(N6=0,"",_xlfn.RANK.EQ($N6,$N$6:$N$19,0))</f>
        <v>6</v>
      </c>
    </row>
    <row r="7" spans="1:15">
      <c r="A7" t="s">
        <v>64</v>
      </c>
      <c r="B7" s="27" cm="1">
        <f t="array" ref="B7">_xlfn.SWITCH(Graphs!$B$1,"China",'Energy Use Data'!B10,"Indonesia",'Energy Use Data'!B28,"Vietnam",'Energy Use Data'!B46,"United States",'Energy Use Data'!B64)</f>
        <v>36.034583821805398</v>
      </c>
      <c r="C7" s="27" cm="1">
        <f t="array" ref="C7">_xlfn.SWITCH(Graphs!$B$1,"China",'Energy Use Data'!C10,"Indonesia",'Energy Use Data'!C28,"Vietnam",'Energy Use Data'!C46,"United States",'Energy Use Data'!C64)</f>
        <v>1.4331770222743259</v>
      </c>
      <c r="D7" s="27" cm="1">
        <f t="array" ref="D7">_xlfn.SWITCH(Graphs!$B$1,"China",'Energy Use Data'!D10,"Indonesia",'Energy Use Data'!D28,"Vietnam",'Energy Use Data'!D46,"United States",'Energy Use Data'!D64)</f>
        <v>2.9308323563892145E-3</v>
      </c>
      <c r="E7" s="27" cm="1">
        <f t="array" ref="E7">_xlfn.SWITCH(Graphs!$B$1,"China",'Energy Use Data'!E10,"Indonesia",'Energy Use Data'!E28,"Vietnam",'Energy Use Data'!E46,"United States",'Energy Use Data'!E64)</f>
        <v>13.748534583821808</v>
      </c>
      <c r="F7" s="27" cm="1">
        <f t="array" ref="F7">_xlfn.SWITCH(Graphs!$B$1,"China",'Energy Use Data'!F10,"Indonesia",'Energy Use Data'!F28,"Vietnam",'Energy Use Data'!F46,"United States",'Energy Use Data'!F64)</f>
        <v>227.76670574443142</v>
      </c>
      <c r="G7" s="27" cm="1">
        <f t="array" ref="G7">_xlfn.SWITCH(Graphs!$B$1,"China",'Energy Use Data'!G10,"Indonesia",'Energy Use Data'!G28,"Vietnam",'Energy Use Data'!G46,"United States",'Energy Use Data'!G64)</f>
        <v>0</v>
      </c>
      <c r="H7" s="27" cm="1">
        <f t="array" ref="H7">_xlfn.SWITCH(Graphs!$B$1,"China",'Energy Use Data'!H10,"Indonesia",'Energy Use Data'!H28,"Vietnam",'Energy Use Data'!H46,"United States",'Energy Use Data'!H64)</f>
        <v>353.73681125439629</v>
      </c>
      <c r="I7" s="27" cm="1">
        <f t="array" ref="I7">_xlfn.SWITCH(Graphs!$B$1,"China",'Energy Use Data'!I10,"Indonesia",'Energy Use Data'!I28,"Vietnam",'Energy Use Data'!I46,"United States",'Energy Use Data'!I64)</f>
        <v>785.64185228604947</v>
      </c>
      <c r="J7">
        <v>0</v>
      </c>
      <c r="K7">
        <v>0</v>
      </c>
      <c r="L7">
        <v>0</v>
      </c>
      <c r="M7" s="1201">
        <f t="shared" si="0"/>
        <v>1418.3645955451352</v>
      </c>
      <c r="N7" s="27">
        <f t="shared" ref="N7:N20" si="1">M7</f>
        <v>1418.3645955451352</v>
      </c>
      <c r="O7">
        <f t="shared" ref="O7:O19" si="2">IF(N7=0,"",_xlfn.RANK.EQ($N7,$N$6:$N$19,0))</f>
        <v>8</v>
      </c>
    </row>
    <row r="8" spans="1:15">
      <c r="A8" t="s">
        <v>65</v>
      </c>
      <c r="B8" s="27" cm="1">
        <f t="array" ref="B8">_xlfn.SWITCH(Graphs!$B$1,"China",'Energy Use Data'!B11,"Indonesia",'Energy Use Data'!B29,"Vietnam",'Energy Use Data'!B47,"United States",'Energy Use Data'!B65)</f>
        <v>2.2684642438452518</v>
      </c>
      <c r="C8" s="27" cm="1">
        <f t="array" ref="C8">_xlfn.SWITCH(Graphs!$B$1,"China",'Energy Use Data'!C11,"Indonesia",'Energy Use Data'!C29,"Vietnam",'Energy Use Data'!C47,"United States",'Energy Use Data'!C65)</f>
        <v>2.9308323563892145E-3</v>
      </c>
      <c r="D8" s="27" cm="1">
        <f t="array" ref="D8">_xlfn.SWITCH(Graphs!$B$1,"China",'Energy Use Data'!D11,"Indonesia",'Energy Use Data'!D29,"Vietnam",'Energy Use Data'!D47,"United States",'Energy Use Data'!D65)</f>
        <v>0</v>
      </c>
      <c r="E8" s="27" cm="1">
        <f t="array" ref="E8">_xlfn.SWITCH(Graphs!$B$1,"China",'Energy Use Data'!E11,"Indonesia",'Energy Use Data'!E29,"Vietnam",'Energy Use Data'!E47,"United States",'Energy Use Data'!E65)</f>
        <v>6.7350527549824148</v>
      </c>
      <c r="F8" s="27" cm="1">
        <f t="array" ref="F8">_xlfn.SWITCH(Graphs!$B$1,"China",'Energy Use Data'!F11,"Indonesia",'Energy Use Data'!F29,"Vietnam",'Energy Use Data'!F47,"United States",'Energy Use Data'!F65)</f>
        <v>22.898593200468934</v>
      </c>
      <c r="G8" s="27" cm="1">
        <f t="array" ref="G8">_xlfn.SWITCH(Graphs!$B$1,"China",'Energy Use Data'!G11,"Indonesia",'Energy Use Data'!G29,"Vietnam",'Energy Use Data'!G47,"United States",'Energy Use Data'!G65)</f>
        <v>0</v>
      </c>
      <c r="H8" s="27" cm="1">
        <f t="array" ref="H8">_xlfn.SWITCH(Graphs!$B$1,"China",'Energy Use Data'!H11,"Indonesia",'Energy Use Data'!H29,"Vietnam",'Energy Use Data'!H47,"United States",'Energy Use Data'!H65)</f>
        <v>8.9361078546307144</v>
      </c>
      <c r="I8" s="27" cm="1">
        <f t="array" ref="I8">_xlfn.SWITCH(Graphs!$B$1,"China",'Energy Use Data'!I11,"Indonesia",'Energy Use Data'!I29,"Vietnam",'Energy Use Data'!I47,"United States",'Energy Use Data'!I65)</f>
        <v>159.77725674091442</v>
      </c>
      <c r="J8">
        <v>0</v>
      </c>
      <c r="K8">
        <v>0</v>
      </c>
      <c r="L8">
        <v>0</v>
      </c>
      <c r="M8" s="1201">
        <f t="shared" si="0"/>
        <v>200.61840562719811</v>
      </c>
      <c r="N8" s="27">
        <f t="shared" si="1"/>
        <v>200.61840562719811</v>
      </c>
      <c r="O8">
        <f t="shared" si="2"/>
        <v>14</v>
      </c>
    </row>
    <row r="9" spans="1:15">
      <c r="A9" t="s">
        <v>66</v>
      </c>
      <c r="B9" s="27" cm="1">
        <f t="array" ref="B9">_xlfn.SWITCH(Graphs!$B$1,"China",'Energy Use Data'!B12,"Indonesia",'Energy Use Data'!B30,"Vietnam",'Energy Use Data'!B48,"United States",'Energy Use Data'!B66)</f>
        <v>84.818288393903885</v>
      </c>
      <c r="C9" s="27" cm="1">
        <f t="array" ref="C9">_xlfn.SWITCH(Graphs!$B$1,"China",'Energy Use Data'!C12,"Indonesia",'Energy Use Data'!C30,"Vietnam",'Energy Use Data'!C48,"United States",'Energy Use Data'!C66)</f>
        <v>0.43083235638921458</v>
      </c>
      <c r="D9" s="27" cm="1">
        <f t="array" ref="D9">_xlfn.SWITCH(Graphs!$B$1,"China",'Energy Use Data'!D12,"Indonesia",'Energy Use Data'!D30,"Vietnam",'Energy Use Data'!D48,"United States",'Energy Use Data'!D66)</f>
        <v>0</v>
      </c>
      <c r="E9" s="27" cm="1">
        <f t="array" ref="E9">_xlfn.SWITCH(Graphs!$B$1,"China",'Energy Use Data'!E12,"Indonesia",'Energy Use Data'!E30,"Vietnam",'Energy Use Data'!E48,"United States",'Energy Use Data'!E66)</f>
        <v>16.647127784290742</v>
      </c>
      <c r="F9" s="27" cm="1">
        <f t="array" ref="F9">_xlfn.SWITCH(Graphs!$B$1,"China",'Energy Use Data'!F12,"Indonesia",'Energy Use Data'!F30,"Vietnam",'Energy Use Data'!F48,"United States",'Energy Use Data'!F66)</f>
        <v>88.147713950762025</v>
      </c>
      <c r="G9" s="27" cm="1">
        <f t="array" ref="G9">_xlfn.SWITCH(Graphs!$B$1,"China",'Energy Use Data'!G12,"Indonesia",'Energy Use Data'!G30,"Vietnam",'Energy Use Data'!G48,"United States",'Energy Use Data'!G66)</f>
        <v>0</v>
      </c>
      <c r="H9" s="27" cm="1">
        <f t="array" ref="H9">_xlfn.SWITCH(Graphs!$B$1,"China",'Energy Use Data'!H12,"Indonesia",'Energy Use Data'!H30,"Vietnam",'Energy Use Data'!H48,"United States",'Energy Use Data'!H66)</f>
        <v>358.72508792497069</v>
      </c>
      <c r="I9" s="27" cm="1">
        <f t="array" ref="I9">_xlfn.SWITCH(Graphs!$B$1,"China",'Energy Use Data'!I12,"Indonesia",'Energy Use Data'!I30,"Vietnam",'Energy Use Data'!I48,"United States",'Energy Use Data'!I66)</f>
        <v>375.84701055099652</v>
      </c>
      <c r="J9">
        <v>0</v>
      </c>
      <c r="K9">
        <v>0</v>
      </c>
      <c r="L9">
        <v>0</v>
      </c>
      <c r="M9" s="1201">
        <f t="shared" si="0"/>
        <v>924.61606096131311</v>
      </c>
      <c r="N9" s="27">
        <f t="shared" si="1"/>
        <v>924.61606096131311</v>
      </c>
      <c r="O9">
        <f t="shared" si="2"/>
        <v>11</v>
      </c>
    </row>
    <row r="10" spans="1:15">
      <c r="A10" t="s">
        <v>67</v>
      </c>
      <c r="B10" s="27" cm="1">
        <f t="array" ref="B10">_xlfn.SWITCH(Graphs!$B$1,"China",'Energy Use Data'!B13,"Indonesia",'Energy Use Data'!B31,"Vietnam",'Energy Use Data'!B49,"United States",'Energy Use Data'!B67)</f>
        <v>705.63012895662371</v>
      </c>
      <c r="C10" s="27" cm="1">
        <f t="array" ref="C10">_xlfn.SWITCH(Graphs!$B$1,"China",'Energy Use Data'!C13,"Indonesia",'Energy Use Data'!C31,"Vietnam",'Energy Use Data'!C49,"United States",'Energy Use Data'!C67)</f>
        <v>25.445486518171158</v>
      </c>
      <c r="D10" s="27" cm="1">
        <f t="array" ref="D10">_xlfn.SWITCH(Graphs!$B$1,"China",'Energy Use Data'!D13,"Indonesia",'Energy Use Data'!D31,"Vietnam",'Energy Use Data'!D49,"United States",'Energy Use Data'!D67)</f>
        <v>579.57209847596721</v>
      </c>
      <c r="E10" s="27" cm="1">
        <f t="array" ref="E10">_xlfn.SWITCH(Graphs!$B$1,"China",'Energy Use Data'!E13,"Indonesia",'Energy Use Data'!E31,"Vietnam",'Energy Use Data'!E49,"United States",'Energy Use Data'!E67)</f>
        <v>5793.8247362250877</v>
      </c>
      <c r="F10" s="27" cm="1">
        <f t="array" ref="F10">_xlfn.SWITCH(Graphs!$B$1,"China",'Energy Use Data'!F13,"Indonesia",'Energy Use Data'!F31,"Vietnam",'Energy Use Data'!F49,"United States",'Energy Use Data'!F67)</f>
        <v>454.33177022274322</v>
      </c>
      <c r="G10" s="27" cm="1">
        <f t="array" ref="G10">_xlfn.SWITCH(Graphs!$B$1,"China",'Energy Use Data'!G13,"Indonesia",'Energy Use Data'!G31,"Vietnam",'Energy Use Data'!G49,"United States",'Energy Use Data'!G67)</f>
        <v>0</v>
      </c>
      <c r="H10" s="27" cm="1">
        <f t="array" ref="H10">_xlfn.SWITCH(Graphs!$B$1,"China",'Energy Use Data'!H13,"Indonesia",'Energy Use Data'!H31,"Vietnam",'Energy Use Data'!H49,"United States",'Energy Use Data'!H67)</f>
        <v>929.32883939038686</v>
      </c>
      <c r="I10" s="27" cm="1">
        <f t="array" ref="I10">_xlfn.SWITCH(Graphs!$B$1,"China",'Energy Use Data'!I13,"Indonesia",'Energy Use Data'!I31,"Vietnam",'Energy Use Data'!I49,"United States",'Energy Use Data'!I67)</f>
        <v>575.66822977725678</v>
      </c>
      <c r="J10">
        <v>0</v>
      </c>
      <c r="K10">
        <v>0</v>
      </c>
      <c r="L10">
        <v>0</v>
      </c>
      <c r="M10" s="1201">
        <f t="shared" si="0"/>
        <v>9063.8012895662378</v>
      </c>
      <c r="N10" s="27">
        <f t="shared" si="1"/>
        <v>9063.8012895662378</v>
      </c>
      <c r="O10">
        <f t="shared" si="2"/>
        <v>3</v>
      </c>
    </row>
    <row r="11" spans="1:15">
      <c r="A11" t="s">
        <v>68</v>
      </c>
      <c r="B11" s="27" cm="1">
        <f t="array" ref="B11">_xlfn.SWITCH(Graphs!$B$1,"China",'Energy Use Data'!B14,"Indonesia",'Energy Use Data'!B32,"Vietnam",'Energy Use Data'!B50,"United States",'Energy Use Data'!B68)</f>
        <v>2902.1805392731535</v>
      </c>
      <c r="C11" s="27" cm="1">
        <f t="array" ref="C11">_xlfn.SWITCH(Graphs!$B$1,"China",'Energy Use Data'!C14,"Indonesia",'Energy Use Data'!C32,"Vietnam",'Energy Use Data'!C50,"United States",'Energy Use Data'!C68)</f>
        <v>1190.1436107854631</v>
      </c>
      <c r="D11" s="27" cm="1">
        <f t="array" ref="D11">_xlfn.SWITCH(Graphs!$B$1,"China",'Energy Use Data'!D14,"Indonesia",'Energy Use Data'!D32,"Vietnam",'Energy Use Data'!D50,"United States",'Energy Use Data'!D68)</f>
        <v>396.07854630715127</v>
      </c>
      <c r="E11" s="27" cm="1">
        <f t="array" ref="E11">_xlfn.SWITCH(Graphs!$B$1,"China",'Energy Use Data'!E14,"Indonesia",'Energy Use Data'!E32,"Vietnam",'Energy Use Data'!E50,"United States",'Energy Use Data'!E68)</f>
        <v>4092.368112543963</v>
      </c>
      <c r="F11" s="27" cm="1">
        <f t="array" ref="F11">_xlfn.SWITCH(Graphs!$B$1,"China",'Energy Use Data'!F14,"Indonesia",'Energy Use Data'!F32,"Vietnam",'Energy Use Data'!F50,"United States",'Energy Use Data'!F68)</f>
        <v>1975.9056271981246</v>
      </c>
      <c r="G11" s="27" cm="1">
        <f t="array" ref="G11">_xlfn.SWITCH(Graphs!$B$1,"China",'Energy Use Data'!G14,"Indonesia",'Energy Use Data'!G32,"Vietnam",'Energy Use Data'!G50,"United States",'Energy Use Data'!G68)</f>
        <v>0</v>
      </c>
      <c r="H11" s="27" cm="1">
        <f t="array" ref="H11">_xlfn.SWITCH(Graphs!$B$1,"China",'Energy Use Data'!H14,"Indonesia",'Energy Use Data'!H32,"Vietnam",'Energy Use Data'!H50,"United States",'Energy Use Data'!H68)</f>
        <v>3191.661781946073</v>
      </c>
      <c r="I11" s="27" cm="1">
        <f t="array" ref="I11">_xlfn.SWITCH(Graphs!$B$1,"China",'Energy Use Data'!I14,"Indonesia",'Energy Use Data'!I32,"Vietnam",'Energy Use Data'!I50,"United States",'Energy Use Data'!I68)</f>
        <v>2750.9906213364602</v>
      </c>
      <c r="J11">
        <v>0</v>
      </c>
      <c r="K11">
        <v>0</v>
      </c>
      <c r="L11">
        <v>0</v>
      </c>
      <c r="M11" s="1201">
        <f t="shared" si="0"/>
        <v>16499.328839390389</v>
      </c>
      <c r="N11" s="540">
        <f>M11+SUM(B313:L313)</f>
        <v>21157.939278955815</v>
      </c>
      <c r="O11">
        <f t="shared" si="2"/>
        <v>2</v>
      </c>
    </row>
    <row r="12" spans="1:15">
      <c r="A12" t="s">
        <v>69</v>
      </c>
      <c r="B12" s="27" cm="1">
        <f t="array" ref="B12">_xlfn.SWITCH(Graphs!$B$1,"China",'Energy Use Data'!B15,"Indonesia",'Energy Use Data'!B33,"Vietnam",'Energy Use Data'!B51,"United States",'Energy Use Data'!B69)</f>
        <v>36.362837045720987</v>
      </c>
      <c r="C12" s="27" cm="1">
        <f t="array" ref="C12">_xlfn.SWITCH(Graphs!$B$1,"China",'Energy Use Data'!C15,"Indonesia",'Energy Use Data'!C33,"Vietnam",'Energy Use Data'!C51,"United States",'Energy Use Data'!C69)</f>
        <v>1.6031652989449003</v>
      </c>
      <c r="D12" s="27" cm="1">
        <f t="array" ref="D12">_xlfn.SWITCH(Graphs!$B$1,"China",'Energy Use Data'!D15,"Indonesia",'Energy Use Data'!D33,"Vietnam",'Energy Use Data'!D51,"United States",'Energy Use Data'!D69)</f>
        <v>2.9894490035169987</v>
      </c>
      <c r="E12" s="27" cm="1">
        <f t="array" ref="E12">_xlfn.SWITCH(Graphs!$B$1,"China",'Energy Use Data'!E15,"Indonesia",'Energy Use Data'!E33,"Vietnam",'Energy Use Data'!E51,"United States",'Energy Use Data'!E69)</f>
        <v>21.195779601406798</v>
      </c>
      <c r="F12" s="27" cm="1">
        <f t="array" ref="F12">_xlfn.SWITCH(Graphs!$B$1,"China",'Energy Use Data'!F15,"Indonesia",'Energy Use Data'!F33,"Vietnam",'Energy Use Data'!F51,"United States",'Energy Use Data'!F69)</f>
        <v>72.523446658851114</v>
      </c>
      <c r="G12" s="27" cm="1">
        <f t="array" ref="G12">_xlfn.SWITCH(Graphs!$B$1,"China",'Energy Use Data'!G15,"Indonesia",'Energy Use Data'!G33,"Vietnam",'Energy Use Data'!G51,"United States",'Energy Use Data'!G69)</f>
        <v>0</v>
      </c>
      <c r="H12" s="27" cm="1">
        <f t="array" ref="H12">_xlfn.SWITCH(Graphs!$B$1,"China",'Energy Use Data'!H15,"Indonesia",'Energy Use Data'!H33,"Vietnam",'Energy Use Data'!H51,"United States",'Energy Use Data'!H69)</f>
        <v>44.073856975381013</v>
      </c>
      <c r="I12" s="27" cm="1">
        <f t="array" ref="I12">_xlfn.SWITCH(Graphs!$B$1,"China",'Energy Use Data'!I15,"Indonesia",'Energy Use Data'!I33,"Vietnam",'Energy Use Data'!I51,"United States",'Energy Use Data'!I69)</f>
        <v>579.3991793669403</v>
      </c>
      <c r="J12">
        <v>0</v>
      </c>
      <c r="K12">
        <v>0</v>
      </c>
      <c r="L12">
        <v>0</v>
      </c>
      <c r="M12" s="1201">
        <f t="shared" si="0"/>
        <v>758.14771395076207</v>
      </c>
      <c r="N12" s="27">
        <f t="shared" si="1"/>
        <v>758.14771395076207</v>
      </c>
      <c r="O12">
        <f t="shared" si="2"/>
        <v>13</v>
      </c>
    </row>
    <row r="13" spans="1:15">
      <c r="A13" t="s">
        <v>70</v>
      </c>
      <c r="B13" s="27" cm="1">
        <f t="array" ref="B13">_xlfn.SWITCH(Graphs!$B$1,"China",'Energy Use Data'!B16,"Indonesia",'Energy Use Data'!B34,"Vietnam",'Energy Use Data'!B52,"United States",'Energy Use Data'!B70)</f>
        <v>4697.4853458382186</v>
      </c>
      <c r="C13" s="27" cm="1">
        <f t="array" ref="C13">_xlfn.SWITCH(Graphs!$B$1,"China",'Energy Use Data'!C16,"Indonesia",'Energy Use Data'!C34,"Vietnam",'Energy Use Data'!C52,"United States",'Energy Use Data'!C70)</f>
        <v>292.03106682297772</v>
      </c>
      <c r="D13" s="27" cm="1">
        <f t="array" ref="D13">_xlfn.SWITCH(Graphs!$B$1,"China",'Energy Use Data'!D16,"Indonesia",'Energy Use Data'!D34,"Vietnam",'Energy Use Data'!D52,"United States",'Energy Use Data'!D70)</f>
        <v>209.65709261430248</v>
      </c>
      <c r="E13" s="27" cm="1">
        <f t="array" ref="E13">_xlfn.SWITCH(Graphs!$B$1,"China",'Energy Use Data'!E16,"Indonesia",'Energy Use Data'!E34,"Vietnam",'Energy Use Data'!E52,"United States",'Energy Use Data'!E70)</f>
        <v>1391.8200468933178</v>
      </c>
      <c r="F13" s="27" cm="1">
        <f t="array" ref="F13">_xlfn.SWITCH(Graphs!$B$1,"China",'Energy Use Data'!F16,"Indonesia",'Energy Use Data'!F34,"Vietnam",'Energy Use Data'!F52,"United States",'Energy Use Data'!F70)</f>
        <v>952.19812426729197</v>
      </c>
      <c r="G13" s="27" cm="1">
        <f t="array" ref="G13">_xlfn.SWITCH(Graphs!$B$1,"China",'Energy Use Data'!G16,"Indonesia",'Energy Use Data'!G34,"Vietnam",'Energy Use Data'!G52,"United States",'Energy Use Data'!G70)</f>
        <v>0</v>
      </c>
      <c r="H13" s="27" cm="1">
        <f t="array" ref="H13">_xlfn.SWITCH(Graphs!$B$1,"China",'Energy Use Data'!H16,"Indonesia",'Energy Use Data'!H34,"Vietnam",'Energy Use Data'!H52,"United States",'Energy Use Data'!H70)</f>
        <v>64.258499413833533</v>
      </c>
      <c r="I13" s="27" cm="1">
        <f t="array" ref="I13">_xlfn.SWITCH(Graphs!$B$1,"China",'Energy Use Data'!I16,"Indonesia",'Energy Use Data'!I34,"Vietnam",'Energy Use Data'!I52,"United States",'Energy Use Data'!I70)</f>
        <v>1447.5234466588511</v>
      </c>
      <c r="J13">
        <v>0</v>
      </c>
      <c r="K13">
        <v>0</v>
      </c>
      <c r="L13">
        <v>0</v>
      </c>
      <c r="M13" s="1201">
        <f t="shared" si="0"/>
        <v>9054.9736225087927</v>
      </c>
      <c r="N13" s="27">
        <f t="shared" si="1"/>
        <v>9054.9736225087927</v>
      </c>
      <c r="O13">
        <f t="shared" si="2"/>
        <v>4</v>
      </c>
    </row>
    <row r="14" spans="1:15">
      <c r="A14" t="s">
        <v>71</v>
      </c>
      <c r="B14" s="27" cm="1">
        <f t="array" ref="B14">_xlfn.SWITCH(Graphs!$B$1,"China",'Energy Use Data'!B17,"Indonesia",'Energy Use Data'!B35,"Vietnam",'Energy Use Data'!B53,"United States",'Energy Use Data'!B71)</f>
        <v>2568.9595545134816</v>
      </c>
      <c r="C14" s="27" cm="1">
        <f t="array" ref="C14">_xlfn.SWITCH(Graphs!$B$1,"China",'Energy Use Data'!C17,"Indonesia",'Energy Use Data'!C35,"Vietnam",'Energy Use Data'!C53,"United States",'Energy Use Data'!C71)</f>
        <v>11204.997069167643</v>
      </c>
      <c r="D14" s="27" cm="1">
        <f t="array" ref="D14">_xlfn.SWITCH(Graphs!$B$1,"China",'Energy Use Data'!D17,"Indonesia",'Energy Use Data'!D35,"Vietnam",'Energy Use Data'!D53,"United States",'Energy Use Data'!D71)</f>
        <v>4319.6395076201643</v>
      </c>
      <c r="E14" s="27" cm="1">
        <f t="array" ref="E14">_xlfn.SWITCH(Graphs!$B$1,"China",'Energy Use Data'!E17,"Indonesia",'Energy Use Data'!E35,"Vietnam",'Energy Use Data'!E53,"United States",'Energy Use Data'!E71)</f>
        <v>38.021688159437282</v>
      </c>
      <c r="F14" s="27" cm="1">
        <f t="array" ref="F14">_xlfn.SWITCH(Graphs!$B$1,"China",'Energy Use Data'!F17,"Indonesia",'Energy Use Data'!F35,"Vietnam",'Energy Use Data'!F53,"United States",'Energy Use Data'!F71)</f>
        <v>536.08733880422051</v>
      </c>
      <c r="G14" s="27" cm="1">
        <f t="array" ref="G14">_xlfn.SWITCH(Graphs!$B$1,"China",'Energy Use Data'!G17,"Indonesia",'Energy Use Data'!G35,"Vietnam",'Energy Use Data'!G53,"United States",'Energy Use Data'!G71)</f>
        <v>0</v>
      </c>
      <c r="H14" s="27" cm="1">
        <f t="array" ref="H14">_xlfn.SWITCH(Graphs!$B$1,"China",'Energy Use Data'!H17,"Indonesia",'Energy Use Data'!H35,"Vietnam",'Energy Use Data'!H53,"United States",'Energy Use Data'!H71)</f>
        <v>183.70457209847595</v>
      </c>
      <c r="I14" s="27" cm="1">
        <f t="array" ref="I14">_xlfn.SWITCH(Graphs!$B$1,"China",'Energy Use Data'!I17,"Indonesia",'Energy Use Data'!I35,"Vietnam",'Energy Use Data'!I53,"United States",'Energy Use Data'!I71)</f>
        <v>2471.2250879249709</v>
      </c>
      <c r="J14">
        <v>0</v>
      </c>
      <c r="K14">
        <v>0</v>
      </c>
      <c r="L14">
        <v>0</v>
      </c>
      <c r="M14" s="1201">
        <f t="shared" si="0"/>
        <v>21322.634818288392</v>
      </c>
      <c r="N14" s="27">
        <f t="shared" si="1"/>
        <v>21322.634818288392</v>
      </c>
      <c r="O14">
        <f t="shared" si="2"/>
        <v>1</v>
      </c>
    </row>
    <row r="15" spans="1:15">
      <c r="A15" t="s">
        <v>72</v>
      </c>
      <c r="B15" s="27" cm="1">
        <f t="array" ref="B15">_xlfn.SWITCH(Graphs!$B$1,"China",'Energy Use Data'!B18,"Indonesia",'Energy Use Data'!B36,"Vietnam",'Energy Use Data'!B54,"United States",'Energy Use Data'!B72)</f>
        <v>335.43376318874562</v>
      </c>
      <c r="C15" s="27" cm="1">
        <f t="array" ref="C15">_xlfn.SWITCH(Graphs!$B$1,"China",'Energy Use Data'!C18,"Indonesia",'Energy Use Data'!C36,"Vietnam",'Energy Use Data'!C54,"United States",'Energy Use Data'!C72)</f>
        <v>104.35228604923799</v>
      </c>
      <c r="D15" s="27" cm="1">
        <f t="array" ref="D15">_xlfn.SWITCH(Graphs!$B$1,"China",'Energy Use Data'!D18,"Indonesia",'Energy Use Data'!D36,"Vietnam",'Energy Use Data'!D54,"United States",'Energy Use Data'!D72)</f>
        <v>165.50703399765536</v>
      </c>
      <c r="E15" s="27" cm="1">
        <f t="array" ref="E15">_xlfn.SWITCH(Graphs!$B$1,"China",'Energy Use Data'!E18,"Indonesia",'Energy Use Data'!E36,"Vietnam",'Energy Use Data'!E54,"United States",'Energy Use Data'!E72)</f>
        <v>105.85287221570927</v>
      </c>
      <c r="F15" s="27" cm="1">
        <f t="array" ref="F15">_xlfn.SWITCH(Graphs!$B$1,"China",'Energy Use Data'!F18,"Indonesia",'Energy Use Data'!F36,"Vietnam",'Energy Use Data'!F54,"United States",'Energy Use Data'!F72)</f>
        <v>279.1998827667058</v>
      </c>
      <c r="G15" s="27" cm="1">
        <f t="array" ref="G15">_xlfn.SWITCH(Graphs!$B$1,"China",'Energy Use Data'!G18,"Indonesia",'Energy Use Data'!G36,"Vietnam",'Energy Use Data'!G54,"United States",'Energy Use Data'!G72)</f>
        <v>0</v>
      </c>
      <c r="H15" s="27" cm="1">
        <f t="array" ref="H15">_xlfn.SWITCH(Graphs!$B$1,"China",'Energy Use Data'!H18,"Indonesia",'Energy Use Data'!H36,"Vietnam",'Energy Use Data'!H54,"United States",'Energy Use Data'!H72)</f>
        <v>309.17350527549826</v>
      </c>
      <c r="I15" s="27" cm="1">
        <f t="array" ref="I15">_xlfn.SWITCH(Graphs!$B$1,"China",'Energy Use Data'!I18,"Indonesia",'Energy Use Data'!I36,"Vietnam",'Energy Use Data'!I54,"United States",'Energy Use Data'!I72)</f>
        <v>2803.1477139507624</v>
      </c>
      <c r="J15">
        <v>0</v>
      </c>
      <c r="K15">
        <v>0</v>
      </c>
      <c r="L15">
        <v>0</v>
      </c>
      <c r="M15" s="1201">
        <f t="shared" si="0"/>
        <v>4102.6670574443142</v>
      </c>
      <c r="N15" s="27">
        <f t="shared" si="1"/>
        <v>4102.6670574443142</v>
      </c>
      <c r="O15">
        <f t="shared" si="2"/>
        <v>5</v>
      </c>
    </row>
    <row r="16" spans="1:15">
      <c r="A16" t="s">
        <v>73</v>
      </c>
      <c r="B16" s="27" cm="1">
        <f t="array" ref="B16">_xlfn.SWITCH(Graphs!$B$1,"China",'Energy Use Data'!B19,"Indonesia",'Energy Use Data'!B37,"Vietnam",'Energy Use Data'!B55,"United States",'Energy Use Data'!B73)</f>
        <v>6.1195779601406803</v>
      </c>
      <c r="C16" s="27" cm="1">
        <f t="array" ref="C16">_xlfn.SWITCH(Graphs!$B$1,"China",'Energy Use Data'!C19,"Indonesia",'Energy Use Data'!C37,"Vietnam",'Energy Use Data'!C55,"United States",'Energy Use Data'!C73)</f>
        <v>54.091441969519344</v>
      </c>
      <c r="D16" s="27" cm="1">
        <f t="array" ref="D16">_xlfn.SWITCH(Graphs!$B$1,"China",'Energy Use Data'!D19,"Indonesia",'Energy Use Data'!D37,"Vietnam",'Energy Use Data'!D55,"United States",'Energy Use Data'!D73)</f>
        <v>3.4935521688159441</v>
      </c>
      <c r="E16" s="27" cm="1">
        <f t="array" ref="E16">_xlfn.SWITCH(Graphs!$B$1,"China",'Energy Use Data'!E19,"Indonesia",'Energy Use Data'!E37,"Vietnam",'Energy Use Data'!E55,"United States",'Energy Use Data'!E73)</f>
        <v>43.783704572098493</v>
      </c>
      <c r="F16" s="27" cm="1">
        <f t="array" ref="F16">_xlfn.SWITCH(Graphs!$B$1,"China",'Energy Use Data'!F19,"Indonesia",'Energy Use Data'!F37,"Vietnam",'Energy Use Data'!F55,"United States",'Energy Use Data'!F73)</f>
        <v>253.55803048065656</v>
      </c>
      <c r="G16" s="27" cm="1">
        <f t="array" ref="G16">_xlfn.SWITCH(Graphs!$B$1,"China",'Energy Use Data'!G19,"Indonesia",'Energy Use Data'!G37,"Vietnam",'Energy Use Data'!G55,"United States",'Energy Use Data'!G73)</f>
        <v>0</v>
      </c>
      <c r="H16" s="27" cm="1">
        <f t="array" ref="H16">_xlfn.SWITCH(Graphs!$B$1,"China",'Energy Use Data'!H19,"Indonesia",'Energy Use Data'!H37,"Vietnam",'Energy Use Data'!H55,"United States",'Energy Use Data'!H73)</f>
        <v>38.774912075029313</v>
      </c>
      <c r="I16" s="27" cm="1">
        <f t="array" ref="I16">_xlfn.SWITCH(Graphs!$B$1,"China",'Energy Use Data'!I19,"Indonesia",'Energy Use Data'!I37,"Vietnam",'Energy Use Data'!I55,"United States",'Energy Use Data'!I73)</f>
        <v>1141.7203985932006</v>
      </c>
      <c r="J16">
        <v>0</v>
      </c>
      <c r="K16">
        <v>0</v>
      </c>
      <c r="L16">
        <v>0</v>
      </c>
      <c r="M16" s="1201">
        <f t="shared" si="0"/>
        <v>1541.541617819461</v>
      </c>
      <c r="N16" s="27">
        <f t="shared" si="1"/>
        <v>1541.541617819461</v>
      </c>
      <c r="O16">
        <f t="shared" si="2"/>
        <v>7</v>
      </c>
    </row>
    <row r="17" spans="1:15">
      <c r="A17" t="s">
        <v>74</v>
      </c>
      <c r="B17" s="27" cm="1">
        <f t="array" ref="B17">_xlfn.SWITCH(Graphs!$B$1,"China",'Energy Use Data'!B20,"Indonesia",'Energy Use Data'!B38,"Vietnam",'Energy Use Data'!B56,"United States",'Energy Use Data'!B74)</f>
        <v>10.234466588511138</v>
      </c>
      <c r="C17" s="27" cm="1">
        <f t="array" ref="C17">_xlfn.SWITCH(Graphs!$B$1,"China",'Energy Use Data'!C20,"Indonesia",'Energy Use Data'!C38,"Vietnam",'Energy Use Data'!C56,"United States",'Energy Use Data'!C74)</f>
        <v>4.14419695193435</v>
      </c>
      <c r="D17" s="27" cm="1">
        <f t="array" ref="D17">_xlfn.SWITCH(Graphs!$B$1,"China",'Energy Use Data'!D20,"Indonesia",'Energy Use Data'!D38,"Vietnam",'Energy Use Data'!D56,"United States",'Energy Use Data'!D74)</f>
        <v>1.0990621336459556</v>
      </c>
      <c r="E17" s="27" cm="1">
        <f t="array" ref="E17">_xlfn.SWITCH(Graphs!$B$1,"China",'Energy Use Data'!E20,"Indonesia",'Energy Use Data'!E38,"Vietnam",'Energy Use Data'!E56,"United States",'Energy Use Data'!E74)</f>
        <v>26.699882766705748</v>
      </c>
      <c r="F17" s="27" cm="1">
        <f t="array" ref="F17">_xlfn.SWITCH(Graphs!$B$1,"China",'Energy Use Data'!F20,"Indonesia",'Energy Use Data'!F38,"Vietnam",'Energy Use Data'!F56,"United States",'Energy Use Data'!F74)</f>
        <v>242.00762016412662</v>
      </c>
      <c r="G17" s="27" cm="1">
        <f t="array" ref="G17">_xlfn.SWITCH(Graphs!$B$1,"China",'Energy Use Data'!G20,"Indonesia",'Energy Use Data'!G38,"Vietnam",'Energy Use Data'!G56,"United States",'Energy Use Data'!G74)</f>
        <v>0</v>
      </c>
      <c r="H17" s="27" cm="1">
        <f t="array" ref="H17">_xlfn.SWITCH(Graphs!$B$1,"China",'Energy Use Data'!H20,"Indonesia",'Energy Use Data'!H38,"Vietnam",'Energy Use Data'!H56,"United States",'Energy Use Data'!H74)</f>
        <v>29.264361078546312</v>
      </c>
      <c r="I17" s="27" cm="1">
        <f t="array" ref="I17">_xlfn.SWITCH(Graphs!$B$1,"China",'Energy Use Data'!I20,"Indonesia",'Energy Use Data'!I38,"Vietnam",'Energy Use Data'!I56,"United States",'Energy Use Data'!I74)</f>
        <v>570.22274325908563</v>
      </c>
      <c r="J17">
        <v>0</v>
      </c>
      <c r="K17">
        <v>0</v>
      </c>
      <c r="L17">
        <v>0</v>
      </c>
      <c r="M17" s="1201">
        <f t="shared" si="0"/>
        <v>883.67233294255573</v>
      </c>
      <c r="N17" s="27">
        <f t="shared" si="1"/>
        <v>883.67233294255573</v>
      </c>
      <c r="O17">
        <f t="shared" si="2"/>
        <v>12</v>
      </c>
    </row>
    <row r="18" spans="1:15">
      <c r="A18" t="s">
        <v>75</v>
      </c>
      <c r="B18" s="27" cm="1">
        <f t="array" ref="B18">_xlfn.SWITCH(Graphs!$B$1,"China",'Energy Use Data'!B21,"Indonesia",'Energy Use Data'!B39,"Vietnam",'Energy Use Data'!B57,"United States",'Energy Use Data'!B75)</f>
        <v>4.7948417350527555</v>
      </c>
      <c r="C18" s="27" cm="1">
        <f t="array" ref="C18">_xlfn.SWITCH(Graphs!$B$1,"China",'Energy Use Data'!C21,"Indonesia",'Energy Use Data'!C39,"Vietnam",'Energy Use Data'!C57,"United States",'Energy Use Data'!C75)</f>
        <v>1.7584994138335287E-2</v>
      </c>
      <c r="D18" s="27" cm="1">
        <f t="array" ref="D18">_xlfn.SWITCH(Graphs!$B$1,"China",'Energy Use Data'!D21,"Indonesia",'Energy Use Data'!D39,"Vietnam",'Energy Use Data'!D57,"United States",'Energy Use Data'!D75)</f>
        <v>2.0164126611957798</v>
      </c>
      <c r="E18" s="27" cm="1">
        <f t="array" ref="E18">_xlfn.SWITCH(Graphs!$B$1,"China",'Energy Use Data'!E21,"Indonesia",'Energy Use Data'!E39,"Vietnam",'Energy Use Data'!E57,"United States",'Energy Use Data'!E75)</f>
        <v>14.589683470105509</v>
      </c>
      <c r="F18" s="27" cm="1">
        <f t="array" ref="F18">_xlfn.SWITCH(Graphs!$B$1,"China",'Energy Use Data'!F21,"Indonesia",'Energy Use Data'!F39,"Vietnam",'Energy Use Data'!F57,"United States",'Energy Use Data'!F75)</f>
        <v>193.0216881594373</v>
      </c>
      <c r="G18" s="27" cm="1">
        <f t="array" ref="G18">_xlfn.SWITCH(Graphs!$B$1,"China",'Energy Use Data'!G21,"Indonesia",'Energy Use Data'!G39,"Vietnam",'Energy Use Data'!G57,"United States",'Energy Use Data'!G75)</f>
        <v>0</v>
      </c>
      <c r="H18" s="27" cm="1">
        <f t="array" ref="H18">_xlfn.SWITCH(Graphs!$B$1,"China",'Energy Use Data'!H21,"Indonesia",'Energy Use Data'!H39,"Vietnam",'Energy Use Data'!H57,"United States",'Energy Use Data'!H75)</f>
        <v>34.519343493552171</v>
      </c>
      <c r="I18" s="27" cm="1">
        <f t="array" ref="I18">_xlfn.SWITCH(Graphs!$B$1,"China",'Energy Use Data'!I21,"Indonesia",'Energy Use Data'!I39,"Vietnam",'Energy Use Data'!I57,"United States",'Energy Use Data'!I75)</f>
        <v>749.64830011723336</v>
      </c>
      <c r="J18">
        <v>0</v>
      </c>
      <c r="K18">
        <v>0</v>
      </c>
      <c r="L18">
        <v>0</v>
      </c>
      <c r="M18" s="1201">
        <f t="shared" si="0"/>
        <v>998.60785463071522</v>
      </c>
      <c r="N18" s="27">
        <f t="shared" si="1"/>
        <v>998.60785463071522</v>
      </c>
      <c r="O18">
        <f t="shared" si="2"/>
        <v>10</v>
      </c>
    </row>
    <row r="19" spans="1:15">
      <c r="A19" t="s">
        <v>76</v>
      </c>
      <c r="B19" s="27" cm="1">
        <f t="array" ref="B19">_xlfn.SWITCH(Graphs!$B$1,"China",'Energy Use Data'!B22,"Indonesia",'Energy Use Data'!B40,"Vietnam",'Energy Use Data'!B58,"United States",'Energy Use Data'!B76)</f>
        <v>49.129542790152406</v>
      </c>
      <c r="C19" s="27" cm="1">
        <f t="array" ref="C19">_xlfn.SWITCH(Graphs!$B$1,"China",'Energy Use Data'!C22,"Indonesia",'Energy Use Data'!C40,"Vietnam",'Energy Use Data'!C58,"United States",'Energy Use Data'!C76)</f>
        <v>129.64536928487692</v>
      </c>
      <c r="D19" s="27" cm="1">
        <f t="array" ref="D19">_xlfn.SWITCH(Graphs!$B$1,"China",'Energy Use Data'!D22,"Indonesia",'Energy Use Data'!D40,"Vietnam",'Energy Use Data'!D58,"United States",'Energy Use Data'!D76)</f>
        <v>36.400937866354049</v>
      </c>
      <c r="E19" s="27" cm="1">
        <f t="array" ref="E19">_xlfn.SWITCH(Graphs!$B$1,"China",'Energy Use Data'!E22,"Indonesia",'Energy Use Data'!E40,"Vietnam",'Energy Use Data'!E58,"United States",'Energy Use Data'!E76)</f>
        <v>17.734466588511136</v>
      </c>
      <c r="F19" s="27" cm="1">
        <f t="array" ref="F19">_xlfn.SWITCH(Graphs!$B$1,"China",'Energy Use Data'!F22,"Indonesia",'Energy Use Data'!F40,"Vietnam",'Energy Use Data'!F58,"United States",'Energy Use Data'!F76)</f>
        <v>265.04103165298949</v>
      </c>
      <c r="G19" s="27" cm="1">
        <f t="array" ref="G19">_xlfn.SWITCH(Graphs!$B$1,"China",'Energy Use Data'!G22,"Indonesia",'Energy Use Data'!G40,"Vietnam",'Energy Use Data'!G58,"United States",'Energy Use Data'!G76)</f>
        <v>0</v>
      </c>
      <c r="H19" s="27" cm="1">
        <f t="array" ref="H19">_xlfn.SWITCH(Graphs!$B$1,"China",'Energy Use Data'!H22,"Indonesia",'Energy Use Data'!H40,"Vietnam",'Energy Use Data'!H58,"United States",'Energy Use Data'!H76)</f>
        <v>7.8898007033997661</v>
      </c>
      <c r="I19" s="27" cm="1">
        <f t="array" ref="I19">_xlfn.SWITCH(Graphs!$B$1,"China",'Energy Use Data'!I22,"Indonesia",'Energy Use Data'!I40,"Vietnam",'Energy Use Data'!I58,"United States",'Energy Use Data'!I76)</f>
        <v>594.07092614302462</v>
      </c>
      <c r="J19">
        <v>0</v>
      </c>
      <c r="K19">
        <v>0</v>
      </c>
      <c r="L19">
        <v>0</v>
      </c>
      <c r="M19" s="1201">
        <f t="shared" si="0"/>
        <v>1099.9120750293084</v>
      </c>
      <c r="N19" s="27">
        <f t="shared" si="1"/>
        <v>1099.9120750293084</v>
      </c>
      <c r="O19">
        <f t="shared" si="2"/>
        <v>9</v>
      </c>
    </row>
    <row r="20" spans="1:15">
      <c r="A20" t="s">
        <v>77</v>
      </c>
      <c r="B20" s="27" cm="1">
        <f t="array" ref="B20">_xlfn.SWITCH(Graphs!$B$1,"China",'Energy Use Data'!B23,"Indonesia",'Energy Use Data'!B41,"Vietnam",'Energy Use Data'!B59,"United States",'Energy Use Data'!B77)</f>
        <v>1.3628370457209849</v>
      </c>
      <c r="C20" s="27" cm="1">
        <f t="array" ref="C20">_xlfn.SWITCH(Graphs!$B$1,"China",'Energy Use Data'!C23,"Indonesia",'Energy Use Data'!C41,"Vietnam",'Energy Use Data'!C59,"United States",'Energy Use Data'!C77)</f>
        <v>1.1723329425556858E-2</v>
      </c>
      <c r="D20" s="27" cm="1">
        <f t="array" ref="D20">_xlfn.SWITCH(Graphs!$B$1,"China",'Energy Use Data'!D23,"Indonesia",'Energy Use Data'!D41,"Vietnam",'Energy Use Data'!D59,"United States",'Energy Use Data'!D77)</f>
        <v>0.22567409144196954</v>
      </c>
      <c r="E20" s="27" cm="1">
        <f t="array" ref="E20">_xlfn.SWITCH(Graphs!$B$1,"China",'Energy Use Data'!E23,"Indonesia",'Energy Use Data'!E41,"Vietnam",'Energy Use Data'!E59,"United States",'Energy Use Data'!E77)</f>
        <v>8.4056271981242663</v>
      </c>
      <c r="F20" s="27" cm="1">
        <f t="array" ref="F20">_xlfn.SWITCH(Graphs!$B$1,"China",'Energy Use Data'!F23,"Indonesia",'Energy Use Data'!F41,"Vietnam",'Energy Use Data'!F59,"United States",'Energy Use Data'!F77)</f>
        <v>49.618991793669402</v>
      </c>
      <c r="G20" s="27" cm="1">
        <f t="array" ref="G20">_xlfn.SWITCH(Graphs!$B$1,"China",'Energy Use Data'!G23,"Indonesia",'Energy Use Data'!G41,"Vietnam",'Energy Use Data'!G59,"United States",'Energy Use Data'!G77)</f>
        <v>0</v>
      </c>
      <c r="H20" s="27" cm="1">
        <f t="array" ref="H20">_xlfn.SWITCH(Graphs!$B$1,"China",'Energy Use Data'!H23,"Indonesia",'Energy Use Data'!H41,"Vietnam",'Energy Use Data'!H59,"United States",'Energy Use Data'!H77)</f>
        <v>2.9454865181711609</v>
      </c>
      <c r="I20" s="27" cm="1">
        <f t="array" ref="I20">_xlfn.SWITCH(Graphs!$B$1,"China",'Energy Use Data'!I23,"Indonesia",'Energy Use Data'!I41,"Vietnam",'Energy Use Data'!I59,"United States",'Energy Use Data'!I77)</f>
        <v>314.14419695193436</v>
      </c>
      <c r="J20">
        <v>0</v>
      </c>
      <c r="K20">
        <v>0</v>
      </c>
      <c r="L20">
        <v>0</v>
      </c>
      <c r="M20" s="1201">
        <f t="shared" si="0"/>
        <v>376.71453692848769</v>
      </c>
      <c r="N20" s="27">
        <f t="shared" si="1"/>
        <v>376.71453692848769</v>
      </c>
    </row>
    <row r="21" spans="1:15">
      <c r="A21" s="52" t="s">
        <v>125</v>
      </c>
      <c r="B21" s="53">
        <f>SUM(B6:B20)</f>
        <v>11663.109613130129</v>
      </c>
      <c r="C21" s="53">
        <f t="shared" ref="C21:L21" si="3">SUM(C6:C20)</f>
        <v>13012.177608440797</v>
      </c>
      <c r="D21" s="53">
        <f t="shared" si="3"/>
        <v>5716.855216881595</v>
      </c>
      <c r="E21" s="53">
        <f t="shared" si="3"/>
        <v>11612.801875732708</v>
      </c>
      <c r="F21" s="53">
        <f t="shared" si="3"/>
        <v>5963.7690504103166</v>
      </c>
      <c r="G21" s="53">
        <f t="shared" si="3"/>
        <v>0</v>
      </c>
      <c r="H21" s="53">
        <f t="shared" si="3"/>
        <v>5953.45838218054</v>
      </c>
      <c r="I21" s="53">
        <f t="shared" si="3"/>
        <v>15889.381594372804</v>
      </c>
      <c r="J21" s="53">
        <f t="shared" si="3"/>
        <v>0</v>
      </c>
      <c r="K21" s="53">
        <f t="shared" si="3"/>
        <v>0</v>
      </c>
      <c r="L21" s="53">
        <f t="shared" si="3"/>
        <v>0</v>
      </c>
      <c r="M21" s="1201">
        <f>SUM(M6:M20)</f>
        <v>69811.553341148872</v>
      </c>
      <c r="N21" s="1201">
        <f>SUM(N6:N20)</f>
        <v>74470.163780714298</v>
      </c>
    </row>
    <row r="23" spans="1:15">
      <c r="A23" s="45" t="s">
        <v>423</v>
      </c>
      <c r="B23" s="51"/>
      <c r="C23" s="51"/>
      <c r="D23" s="51"/>
      <c r="F23" s="45" t="s">
        <v>424</v>
      </c>
      <c r="G23" s="51"/>
      <c r="H23" s="51"/>
      <c r="I23" s="51"/>
    </row>
    <row r="24" spans="1:15" s="33" customFormat="1" ht="45">
      <c r="A24" s="36" t="s">
        <v>114</v>
      </c>
      <c r="B24" s="37" t="s">
        <v>425</v>
      </c>
      <c r="C24" s="37" t="s">
        <v>426</v>
      </c>
      <c r="D24" s="37" t="s">
        <v>427</v>
      </c>
      <c r="F24" s="937">
        <f>1-(2050-Graphs!$B$3)/(2050-2022)</f>
        <v>1</v>
      </c>
      <c r="I24" s="55"/>
      <c r="J24" s="55"/>
      <c r="K24" s="55"/>
    </row>
    <row r="25" spans="1:15">
      <c r="A25" t="s">
        <v>63</v>
      </c>
      <c r="B25" s="46">
        <f>'Other Country-Specific Data'!K17*$F$24</f>
        <v>0</v>
      </c>
      <c r="C25" s="556">
        <f>_xlfn.NUMBERVALUE(Graphs!$H$2)</f>
        <v>0</v>
      </c>
      <c r="D25" s="46">
        <f>(1+B25)*(1+C25)-1</f>
        <v>0</v>
      </c>
      <c r="H25" s="49"/>
      <c r="I25" s="49"/>
      <c r="J25" s="49"/>
      <c r="K25" s="49"/>
    </row>
    <row r="26" spans="1:15">
      <c r="A26" t="s">
        <v>64</v>
      </c>
      <c r="B26" s="46">
        <f>'Other Country-Specific Data'!K18*$F$24</f>
        <v>0</v>
      </c>
      <c r="C26" s="556">
        <f>_xlfn.NUMBERVALUE(Graphs!$H$2)</f>
        <v>0</v>
      </c>
      <c r="D26" s="46">
        <f t="shared" ref="D26:D39" si="4">(1+B26)*(1+C26)-1</f>
        <v>0</v>
      </c>
      <c r="H26" s="49"/>
      <c r="I26" s="49"/>
      <c r="J26" s="49"/>
      <c r="K26" s="49"/>
    </row>
    <row r="27" spans="1:15">
      <c r="A27" t="s">
        <v>65</v>
      </c>
      <c r="B27" s="46">
        <f>'Other Country-Specific Data'!K19*$F$24</f>
        <v>0</v>
      </c>
      <c r="C27" s="556">
        <f>_xlfn.NUMBERVALUE(Graphs!$H$2)</f>
        <v>0</v>
      </c>
      <c r="D27" s="46">
        <f t="shared" si="4"/>
        <v>0</v>
      </c>
      <c r="E27" s="46"/>
      <c r="H27" s="49"/>
      <c r="I27" s="49"/>
      <c r="J27" s="49"/>
      <c r="K27" s="49"/>
    </row>
    <row r="28" spans="1:15">
      <c r="A28" t="s">
        <v>66</v>
      </c>
      <c r="B28" s="46">
        <f>'Other Country-Specific Data'!K20*$F$24</f>
        <v>0</v>
      </c>
      <c r="C28" s="556">
        <f>_xlfn.NUMBERVALUE(Graphs!$H$2)</f>
        <v>0</v>
      </c>
      <c r="D28" s="46">
        <f t="shared" si="4"/>
        <v>0</v>
      </c>
      <c r="E28" s="46"/>
      <c r="H28" s="49"/>
      <c r="I28" s="49"/>
      <c r="J28" s="49"/>
      <c r="K28" s="49"/>
    </row>
    <row r="29" spans="1:15">
      <c r="A29" t="s">
        <v>67</v>
      </c>
      <c r="B29" s="46">
        <f>'Other Country-Specific Data'!K21*$F$24</f>
        <v>2.7322404371584699E-2</v>
      </c>
      <c r="C29" s="556">
        <f>_xlfn.NUMBERVALUE(Graphs!$H$2)</f>
        <v>0</v>
      </c>
      <c r="D29" s="46">
        <f t="shared" si="4"/>
        <v>2.732240437158473E-2</v>
      </c>
      <c r="H29" s="49"/>
      <c r="I29" s="49"/>
      <c r="J29" s="49"/>
      <c r="K29" s="49"/>
    </row>
    <row r="30" spans="1:15">
      <c r="A30" t="s">
        <v>68</v>
      </c>
      <c r="B30" s="46">
        <f>'Other Country-Specific Data'!K22*$F$24</f>
        <v>0.45422656140354467</v>
      </c>
      <c r="C30" s="556">
        <f>_xlfn.NUMBERVALUE(Graphs!$H$2)</f>
        <v>0</v>
      </c>
      <c r="D30" s="46">
        <f t="shared" si="4"/>
        <v>0.45422656140354478</v>
      </c>
      <c r="H30" s="49"/>
      <c r="I30" s="49"/>
      <c r="J30" s="49"/>
      <c r="K30" s="49"/>
    </row>
    <row r="31" spans="1:15">
      <c r="A31" t="s">
        <v>69</v>
      </c>
      <c r="B31" s="46">
        <f>'Other Country-Specific Data'!K23*$F$24</f>
        <v>0.97478991596638653</v>
      </c>
      <c r="C31" s="556">
        <f>_xlfn.NUMBERVALUE(Graphs!$H$2)</f>
        <v>0</v>
      </c>
      <c r="D31" s="46">
        <f t="shared" si="4"/>
        <v>0.97478991596638664</v>
      </c>
      <c r="H31" s="49"/>
      <c r="I31" s="49"/>
      <c r="J31" s="49"/>
      <c r="K31" s="49"/>
    </row>
    <row r="32" spans="1:15">
      <c r="A32" t="s">
        <v>70</v>
      </c>
      <c r="B32" s="46">
        <f>'Other Country-Specific Data'!K24*$F$24</f>
        <v>-0.29367720465890185</v>
      </c>
      <c r="C32" s="556">
        <f>_xlfn.NUMBERVALUE(Graphs!$H$2)</f>
        <v>0</v>
      </c>
      <c r="D32" s="46">
        <f t="shared" si="4"/>
        <v>-0.29367720465890179</v>
      </c>
      <c r="H32" s="49"/>
      <c r="I32" s="49"/>
      <c r="J32" s="49"/>
      <c r="K32" s="49"/>
    </row>
    <row r="33" spans="1:14">
      <c r="A33" t="s">
        <v>71</v>
      </c>
      <c r="B33" s="46">
        <f>'Other Country-Specific Data'!K25*$F$24</f>
        <v>-0.21398002853067047</v>
      </c>
      <c r="C33" s="556">
        <f>_xlfn.NUMBERVALUE(Graphs!$H$2)</f>
        <v>0</v>
      </c>
      <c r="D33" s="46">
        <f t="shared" si="4"/>
        <v>-0.21398002853067044</v>
      </c>
      <c r="H33" s="49"/>
      <c r="I33" s="49"/>
      <c r="J33" s="49"/>
      <c r="K33" s="49"/>
    </row>
    <row r="34" spans="1:14">
      <c r="A34" t="s">
        <v>72</v>
      </c>
      <c r="B34" s="46">
        <f>'Other Country-Specific Data'!K26*$F$24</f>
        <v>0.15</v>
      </c>
      <c r="C34" s="556">
        <f>_xlfn.NUMBERVALUE(Graphs!$H$2)</f>
        <v>0</v>
      </c>
      <c r="D34" s="46">
        <f t="shared" si="4"/>
        <v>0.14999999999999991</v>
      </c>
      <c r="H34" s="49"/>
      <c r="I34" s="49"/>
      <c r="J34" s="49"/>
      <c r="K34" s="49"/>
    </row>
    <row r="35" spans="1:14">
      <c r="A35" t="s">
        <v>73</v>
      </c>
      <c r="B35" s="46">
        <f>'Other Country-Specific Data'!K27*$F$24</f>
        <v>-0.21398002853067047</v>
      </c>
      <c r="C35" s="556">
        <f>_xlfn.NUMBERVALUE(Graphs!$H$2)</f>
        <v>0</v>
      </c>
      <c r="D35" s="46">
        <f t="shared" si="4"/>
        <v>-0.21398002853067044</v>
      </c>
      <c r="H35" s="49"/>
      <c r="I35" s="49"/>
      <c r="J35" s="49"/>
      <c r="K35" s="49"/>
    </row>
    <row r="36" spans="1:14">
      <c r="A36" t="s">
        <v>74</v>
      </c>
      <c r="B36" s="46">
        <f>'Other Country-Specific Data'!K28*$F$24</f>
        <v>-0.21398002853067047</v>
      </c>
      <c r="C36" s="556">
        <f>_xlfn.NUMBERVALUE(Graphs!$H$2)</f>
        <v>0</v>
      </c>
      <c r="D36" s="46">
        <f t="shared" si="4"/>
        <v>-0.21398002853067044</v>
      </c>
      <c r="H36" s="49"/>
      <c r="I36" s="49"/>
      <c r="J36" s="49"/>
      <c r="K36" s="49"/>
    </row>
    <row r="37" spans="1:14">
      <c r="A37" t="s">
        <v>75</v>
      </c>
      <c r="B37" s="46">
        <f>'Other Country-Specific Data'!K29*$F$24</f>
        <v>-0.21398002853067047</v>
      </c>
      <c r="C37" s="556">
        <f>_xlfn.NUMBERVALUE(Graphs!$H$2)</f>
        <v>0</v>
      </c>
      <c r="D37" s="46">
        <f t="shared" si="4"/>
        <v>-0.21398002853067044</v>
      </c>
      <c r="H37" s="49"/>
      <c r="I37" s="49"/>
      <c r="J37" s="49"/>
      <c r="K37" s="49"/>
    </row>
    <row r="38" spans="1:14">
      <c r="A38" t="s">
        <v>76</v>
      </c>
      <c r="B38" s="46">
        <f>'Other Country-Specific Data'!K30*$F$24</f>
        <v>-0.21398002853067047</v>
      </c>
      <c r="C38" s="556">
        <f>_xlfn.NUMBERVALUE(Graphs!$H$2)</f>
        <v>0</v>
      </c>
      <c r="D38" s="46">
        <f t="shared" si="4"/>
        <v>-0.21398002853067044</v>
      </c>
      <c r="H38" s="49"/>
      <c r="I38" s="49"/>
      <c r="J38" s="49"/>
      <c r="K38" s="49"/>
    </row>
    <row r="39" spans="1:14">
      <c r="A39" t="s">
        <v>77</v>
      </c>
      <c r="B39" s="46">
        <f>'Other Country-Specific Data'!K31*$F$24</f>
        <v>0</v>
      </c>
      <c r="C39" s="556">
        <f>_xlfn.NUMBERVALUE(Graphs!$H$2)</f>
        <v>0</v>
      </c>
      <c r="D39" s="46">
        <f t="shared" si="4"/>
        <v>0</v>
      </c>
      <c r="H39" s="49"/>
      <c r="I39" s="49"/>
      <c r="J39" s="49"/>
      <c r="K39" s="49"/>
    </row>
    <row r="41" spans="1:14">
      <c r="A41" s="26" t="s">
        <v>428</v>
      </c>
    </row>
    <row r="42" spans="1:14">
      <c r="A42" s="45" t="s">
        <v>429</v>
      </c>
      <c r="B42" s="51"/>
      <c r="C42" s="51"/>
      <c r="D42" s="51"/>
      <c r="E42" s="51"/>
      <c r="F42" s="51"/>
      <c r="G42" s="51"/>
      <c r="H42" s="51"/>
      <c r="I42" s="51"/>
      <c r="J42" s="51"/>
      <c r="K42" s="51"/>
      <c r="L42" s="51"/>
    </row>
    <row r="43" spans="1:14" ht="45">
      <c r="A43" s="36" t="s">
        <v>114</v>
      </c>
      <c r="B43" s="37" t="s">
        <v>40</v>
      </c>
      <c r="C43" s="37" t="s">
        <v>41</v>
      </c>
      <c r="D43" s="37" t="s">
        <v>42</v>
      </c>
      <c r="E43" s="37" t="s">
        <v>43</v>
      </c>
      <c r="F43" s="37" t="s">
        <v>44</v>
      </c>
      <c r="G43" s="37" t="s">
        <v>45</v>
      </c>
      <c r="H43" s="37" t="s">
        <v>46</v>
      </c>
      <c r="I43" s="37" t="s">
        <v>47</v>
      </c>
      <c r="J43" s="37" t="s">
        <v>419</v>
      </c>
      <c r="K43" s="37" t="s">
        <v>49</v>
      </c>
      <c r="L43" s="37" t="s">
        <v>420</v>
      </c>
      <c r="M43" s="54" t="s">
        <v>421</v>
      </c>
      <c r="N43" s="54" t="s">
        <v>422</v>
      </c>
    </row>
    <row r="44" spans="1:14">
      <c r="A44" t="s">
        <v>63</v>
      </c>
      <c r="B44" s="27">
        <f>B6*(1+$D25)</f>
        <v>222.29484173505278</v>
      </c>
      <c r="C44" s="27">
        <f t="shared" ref="C44:L44" si="5">C6*(1+$D25)</f>
        <v>3.8276670574443141</v>
      </c>
      <c r="D44" s="27">
        <f t="shared" si="5"/>
        <v>0.17291910902696367</v>
      </c>
      <c r="E44" s="27">
        <f t="shared" si="5"/>
        <v>21.374560375146544</v>
      </c>
      <c r="F44" s="27">
        <f t="shared" si="5"/>
        <v>351.46248534583827</v>
      </c>
      <c r="G44" s="27">
        <f t="shared" si="5"/>
        <v>0</v>
      </c>
      <c r="H44" s="27">
        <f t="shared" si="5"/>
        <v>396.46541617819463</v>
      </c>
      <c r="I44" s="27">
        <f t="shared" si="5"/>
        <v>570.35463071512322</v>
      </c>
      <c r="J44" s="27">
        <f t="shared" si="5"/>
        <v>0</v>
      </c>
      <c r="K44" s="27">
        <f t="shared" si="5"/>
        <v>0</v>
      </c>
      <c r="L44" s="27">
        <f t="shared" si="5"/>
        <v>0</v>
      </c>
      <c r="M44" s="1201">
        <f t="shared" ref="M44:M59" si="6">SUM(B44:L44)</f>
        <v>1565.9525205158268</v>
      </c>
      <c r="N44" s="27">
        <f>M44</f>
        <v>1565.9525205158268</v>
      </c>
    </row>
    <row r="45" spans="1:14">
      <c r="A45" t="s">
        <v>64</v>
      </c>
      <c r="B45" s="27">
        <f t="shared" ref="B45:L58" si="7">B7*(1+$D26)</f>
        <v>36.034583821805398</v>
      </c>
      <c r="C45" s="27">
        <f t="shared" si="7"/>
        <v>1.4331770222743259</v>
      </c>
      <c r="D45" s="27">
        <f t="shared" si="7"/>
        <v>2.9308323563892145E-3</v>
      </c>
      <c r="E45" s="27">
        <f t="shared" si="7"/>
        <v>13.748534583821808</v>
      </c>
      <c r="F45" s="27">
        <f t="shared" si="7"/>
        <v>227.76670574443142</v>
      </c>
      <c r="G45" s="27">
        <f t="shared" si="7"/>
        <v>0</v>
      </c>
      <c r="H45" s="27">
        <f t="shared" si="7"/>
        <v>353.73681125439629</v>
      </c>
      <c r="I45" s="27">
        <f t="shared" si="7"/>
        <v>785.64185228604947</v>
      </c>
      <c r="J45" s="27">
        <f t="shared" si="7"/>
        <v>0</v>
      </c>
      <c r="K45" s="27">
        <f t="shared" si="7"/>
        <v>0</v>
      </c>
      <c r="L45" s="27">
        <f t="shared" si="7"/>
        <v>0</v>
      </c>
      <c r="M45" s="1201">
        <f t="shared" si="6"/>
        <v>1418.3645955451352</v>
      </c>
      <c r="N45" s="27">
        <f t="shared" ref="N45:N58" si="8">M45</f>
        <v>1418.3645955451352</v>
      </c>
    </row>
    <row r="46" spans="1:14">
      <c r="A46" t="s">
        <v>65</v>
      </c>
      <c r="B46" s="27">
        <f t="shared" si="7"/>
        <v>2.2684642438452518</v>
      </c>
      <c r="C46" s="27">
        <f t="shared" si="7"/>
        <v>2.9308323563892145E-3</v>
      </c>
      <c r="D46" s="27">
        <f t="shared" si="7"/>
        <v>0</v>
      </c>
      <c r="E46" s="27">
        <f t="shared" si="7"/>
        <v>6.7350527549824148</v>
      </c>
      <c r="F46" s="27">
        <f t="shared" si="7"/>
        <v>22.898593200468934</v>
      </c>
      <c r="G46" s="27">
        <f t="shared" si="7"/>
        <v>0</v>
      </c>
      <c r="H46" s="27">
        <f t="shared" si="7"/>
        <v>8.9361078546307144</v>
      </c>
      <c r="I46" s="27">
        <f t="shared" si="7"/>
        <v>159.77725674091442</v>
      </c>
      <c r="J46" s="27">
        <f t="shared" si="7"/>
        <v>0</v>
      </c>
      <c r="K46" s="27">
        <f t="shared" si="7"/>
        <v>0</v>
      </c>
      <c r="L46" s="27">
        <f t="shared" si="7"/>
        <v>0</v>
      </c>
      <c r="M46" s="1201">
        <f t="shared" si="6"/>
        <v>200.61840562719811</v>
      </c>
      <c r="N46" s="27">
        <f t="shared" si="8"/>
        <v>200.61840562719811</v>
      </c>
    </row>
    <row r="47" spans="1:14">
      <c r="A47" t="s">
        <v>66</v>
      </c>
      <c r="B47" s="27">
        <f t="shared" si="7"/>
        <v>84.818288393903885</v>
      </c>
      <c r="C47" s="27">
        <f t="shared" si="7"/>
        <v>0.43083235638921458</v>
      </c>
      <c r="D47" s="27">
        <f t="shared" si="7"/>
        <v>0</v>
      </c>
      <c r="E47" s="27">
        <f t="shared" si="7"/>
        <v>16.647127784290742</v>
      </c>
      <c r="F47" s="27">
        <f t="shared" si="7"/>
        <v>88.147713950762025</v>
      </c>
      <c r="G47" s="27">
        <f t="shared" si="7"/>
        <v>0</v>
      </c>
      <c r="H47" s="27">
        <f t="shared" si="7"/>
        <v>358.72508792497069</v>
      </c>
      <c r="I47" s="27">
        <f t="shared" si="7"/>
        <v>375.84701055099652</v>
      </c>
      <c r="J47" s="27">
        <f t="shared" si="7"/>
        <v>0</v>
      </c>
      <c r="K47" s="27">
        <f t="shared" si="7"/>
        <v>0</v>
      </c>
      <c r="L47" s="27">
        <f t="shared" si="7"/>
        <v>0</v>
      </c>
      <c r="M47" s="1201">
        <f t="shared" si="6"/>
        <v>924.61606096131311</v>
      </c>
      <c r="N47" s="27">
        <f t="shared" si="8"/>
        <v>924.61606096131311</v>
      </c>
    </row>
    <row r="48" spans="1:14">
      <c r="A48" t="s">
        <v>67</v>
      </c>
      <c r="B48" s="27">
        <f t="shared" si="7"/>
        <v>724.90964067675009</v>
      </c>
      <c r="C48" s="27">
        <f t="shared" si="7"/>
        <v>26.140718390252339</v>
      </c>
      <c r="D48" s="27">
        <f t="shared" si="7"/>
        <v>595.40740171301547</v>
      </c>
      <c r="E48" s="27">
        <f t="shared" si="7"/>
        <v>5952.1259585263197</v>
      </c>
      <c r="F48" s="27">
        <f t="shared" si="7"/>
        <v>466.74520656762695</v>
      </c>
      <c r="G48" s="27">
        <f t="shared" si="7"/>
        <v>0</v>
      </c>
      <c r="H48" s="27">
        <f t="shared" si="7"/>
        <v>954.72033773438648</v>
      </c>
      <c r="I48" s="27">
        <f t="shared" si="7"/>
        <v>591.39686993510531</v>
      </c>
      <c r="J48" s="27">
        <f t="shared" si="7"/>
        <v>0</v>
      </c>
      <c r="K48" s="27">
        <f t="shared" si="7"/>
        <v>0</v>
      </c>
      <c r="L48" s="27">
        <f t="shared" si="7"/>
        <v>0</v>
      </c>
      <c r="M48" s="1201">
        <f t="shared" si="6"/>
        <v>9311.4461335434571</v>
      </c>
      <c r="N48" s="27">
        <f t="shared" si="8"/>
        <v>9311.4461335434571</v>
      </c>
    </row>
    <row r="49" spans="1:14">
      <c r="A49" t="s">
        <v>68</v>
      </c>
      <c r="B49" s="27">
        <f t="shared" si="7"/>
        <v>4220.4280261994836</v>
      </c>
      <c r="C49" s="27">
        <f t="shared" si="7"/>
        <v>1730.7384506889427</v>
      </c>
      <c r="D49" s="27">
        <f t="shared" si="7"/>
        <v>575.98794244196324</v>
      </c>
      <c r="E49" s="27">
        <f t="shared" si="7"/>
        <v>5951.2304083023218</v>
      </c>
      <c r="F49" s="27">
        <f t="shared" si="7"/>
        <v>2873.4144458982432</v>
      </c>
      <c r="G49" s="27">
        <f t="shared" si="7"/>
        <v>0</v>
      </c>
      <c r="H49" s="27">
        <f t="shared" si="7"/>
        <v>4641.3993383225479</v>
      </c>
      <c r="I49" s="27">
        <f t="shared" si="7"/>
        <v>4000.5636317195217</v>
      </c>
      <c r="J49" s="27">
        <f t="shared" si="7"/>
        <v>0</v>
      </c>
      <c r="K49" s="27">
        <f t="shared" si="7"/>
        <v>0</v>
      </c>
      <c r="L49" s="27">
        <f t="shared" si="7"/>
        <v>0</v>
      </c>
      <c r="M49" s="1201">
        <f t="shared" si="6"/>
        <v>23993.762243573023</v>
      </c>
      <c r="N49" s="540">
        <f>M49+SUM(B314:L314)</f>
        <v>30768.437284020907</v>
      </c>
    </row>
    <row r="50" spans="1:14">
      <c r="A50" t="s">
        <v>69</v>
      </c>
      <c r="B50" s="27">
        <f t="shared" si="7"/>
        <v>71.808963913818758</v>
      </c>
      <c r="C50" s="27">
        <f t="shared" si="7"/>
        <v>3.1659146659836268</v>
      </c>
      <c r="D50" s="27">
        <f t="shared" si="7"/>
        <v>5.9035337464411324</v>
      </c>
      <c r="E50" s="27">
        <f t="shared" si="7"/>
        <v>41.857211817904179</v>
      </c>
      <c r="F50" s="27">
        <f t="shared" si="7"/>
        <v>143.21857113302531</v>
      </c>
      <c r="G50" s="27">
        <f t="shared" si="7"/>
        <v>0</v>
      </c>
      <c r="H50" s="27">
        <f t="shared" si="7"/>
        <v>87.036608312727211</v>
      </c>
      <c r="I50" s="27">
        <f t="shared" si="7"/>
        <v>1144.1916567330334</v>
      </c>
      <c r="J50" s="27">
        <f t="shared" si="7"/>
        <v>0</v>
      </c>
      <c r="K50" s="27">
        <f t="shared" si="7"/>
        <v>0</v>
      </c>
      <c r="L50" s="27">
        <f t="shared" si="7"/>
        <v>0</v>
      </c>
      <c r="M50" s="1201">
        <f t="shared" si="6"/>
        <v>1497.1824603229336</v>
      </c>
      <c r="N50" s="27">
        <f t="shared" si="8"/>
        <v>1497.1824603229336</v>
      </c>
    </row>
    <row r="51" spans="1:14">
      <c r="A51" t="s">
        <v>70</v>
      </c>
      <c r="B51" s="27">
        <f t="shared" si="7"/>
        <v>3317.940980546296</v>
      </c>
      <c r="C51" s="27">
        <f t="shared" si="7"/>
        <v>206.26819944484868</v>
      </c>
      <c r="D51" s="27">
        <f t="shared" si="7"/>
        <v>148.08558371842165</v>
      </c>
      <c r="E51" s="27">
        <f t="shared" si="7"/>
        <v>983.0742261334666</v>
      </c>
      <c r="F51" s="27">
        <f t="shared" si="7"/>
        <v>672.55924085102401</v>
      </c>
      <c r="G51" s="27">
        <f t="shared" si="7"/>
        <v>0</v>
      </c>
      <c r="H51" s="27">
        <f t="shared" si="7"/>
        <v>45.387242930403225</v>
      </c>
      <c r="I51" s="27">
        <f t="shared" si="7"/>
        <v>1022.4188071658607</v>
      </c>
      <c r="J51" s="27">
        <f t="shared" si="7"/>
        <v>0</v>
      </c>
      <c r="K51" s="27">
        <f t="shared" si="7"/>
        <v>0</v>
      </c>
      <c r="L51" s="27">
        <f t="shared" si="7"/>
        <v>0</v>
      </c>
      <c r="M51" s="1201">
        <f t="shared" si="6"/>
        <v>6395.7342807903206</v>
      </c>
      <c r="N51" s="27">
        <f t="shared" si="8"/>
        <v>6395.7342807903206</v>
      </c>
    </row>
    <row r="52" spans="1:14">
      <c r="A52" t="s">
        <v>71</v>
      </c>
      <c r="B52" s="27">
        <f t="shared" si="7"/>
        <v>2019.2535157445484</v>
      </c>
      <c r="C52" s="27">
        <f t="shared" si="7"/>
        <v>8807.3514766210719</v>
      </c>
      <c r="D52" s="27">
        <f t="shared" si="7"/>
        <v>3395.3229225373902</v>
      </c>
      <c r="E52" s="27">
        <f t="shared" si="7"/>
        <v>29.885806242296638</v>
      </c>
      <c r="F52" s="27">
        <f t="shared" si="7"/>
        <v>421.37535475196222</v>
      </c>
      <c r="G52" s="27">
        <f t="shared" si="7"/>
        <v>0</v>
      </c>
      <c r="H52" s="27">
        <f t="shared" si="7"/>
        <v>144.39546251962946</v>
      </c>
      <c r="I52" s="27">
        <f t="shared" si="7"/>
        <v>1942.432273105077</v>
      </c>
      <c r="J52" s="27">
        <f t="shared" si="7"/>
        <v>0</v>
      </c>
      <c r="K52" s="27">
        <f t="shared" si="7"/>
        <v>0</v>
      </c>
      <c r="L52" s="27">
        <f t="shared" si="7"/>
        <v>0</v>
      </c>
      <c r="M52" s="1201">
        <f t="shared" si="6"/>
        <v>16760.016811521979</v>
      </c>
      <c r="N52" s="27">
        <f t="shared" si="8"/>
        <v>16760.016811521979</v>
      </c>
    </row>
    <row r="53" spans="1:14">
      <c r="A53" t="s">
        <v>72</v>
      </c>
      <c r="B53" s="27">
        <f t="shared" si="7"/>
        <v>385.74882766705741</v>
      </c>
      <c r="C53" s="27">
        <f t="shared" si="7"/>
        <v>120.00512895662368</v>
      </c>
      <c r="D53" s="27">
        <f t="shared" si="7"/>
        <v>190.33308909730366</v>
      </c>
      <c r="E53" s="27">
        <f t="shared" si="7"/>
        <v>121.73080304806565</v>
      </c>
      <c r="F53" s="27">
        <f t="shared" si="7"/>
        <v>321.07986518171163</v>
      </c>
      <c r="G53" s="27">
        <f t="shared" si="7"/>
        <v>0</v>
      </c>
      <c r="H53" s="27">
        <f t="shared" si="7"/>
        <v>355.54953106682296</v>
      </c>
      <c r="I53" s="27">
        <f t="shared" si="7"/>
        <v>3223.6198710433764</v>
      </c>
      <c r="J53" s="27">
        <f t="shared" si="7"/>
        <v>0</v>
      </c>
      <c r="K53" s="27">
        <f t="shared" si="7"/>
        <v>0</v>
      </c>
      <c r="L53" s="27">
        <f t="shared" si="7"/>
        <v>0</v>
      </c>
      <c r="M53" s="1201">
        <f t="shared" si="6"/>
        <v>4718.0671160609618</v>
      </c>
      <c r="N53" s="27">
        <f t="shared" si="8"/>
        <v>4718.0671160609618</v>
      </c>
    </row>
    <row r="54" spans="1:14">
      <c r="A54" t="s">
        <v>73</v>
      </c>
      <c r="B54" s="27">
        <f t="shared" si="7"/>
        <v>4.8101104936341157</v>
      </c>
      <c r="C54" s="27">
        <f t="shared" si="7"/>
        <v>42.516953673616491</v>
      </c>
      <c r="D54" s="27">
        <f t="shared" si="7"/>
        <v>2.7460017760593227</v>
      </c>
      <c r="E54" s="27">
        <f t="shared" si="7"/>
        <v>34.414866218582411</v>
      </c>
      <c r="F54" s="27">
        <f t="shared" si="7"/>
        <v>199.30167588422506</v>
      </c>
      <c r="G54" s="27">
        <f t="shared" si="7"/>
        <v>0</v>
      </c>
      <c r="H54" s="27">
        <f t="shared" si="7"/>
        <v>30.477855282940304</v>
      </c>
      <c r="I54" s="27">
        <f t="shared" si="7"/>
        <v>897.41503512817906</v>
      </c>
      <c r="J54" s="27">
        <f t="shared" si="7"/>
        <v>0</v>
      </c>
      <c r="K54" s="27">
        <f t="shared" si="7"/>
        <v>0</v>
      </c>
      <c r="L54" s="27">
        <f t="shared" si="7"/>
        <v>0</v>
      </c>
      <c r="M54" s="1201">
        <f t="shared" si="6"/>
        <v>1211.6824984572368</v>
      </c>
      <c r="N54" s="27">
        <f t="shared" si="8"/>
        <v>1211.6824984572368</v>
      </c>
    </row>
    <row r="55" spans="1:14">
      <c r="A55" t="s">
        <v>74</v>
      </c>
      <c r="B55" s="27">
        <f t="shared" si="7"/>
        <v>8.0444951359053309</v>
      </c>
      <c r="C55" s="27">
        <f t="shared" si="7"/>
        <v>3.2574215699227205</v>
      </c>
      <c r="D55" s="27">
        <f t="shared" si="7"/>
        <v>0.86388478693141446</v>
      </c>
      <c r="E55" s="27">
        <f t="shared" si="7"/>
        <v>20.986641090520497</v>
      </c>
      <c r="F55" s="27">
        <f t="shared" si="7"/>
        <v>190.22282269676714</v>
      </c>
      <c r="G55" s="27">
        <f t="shared" si="7"/>
        <v>0</v>
      </c>
      <c r="H55" s="27">
        <f t="shared" si="7"/>
        <v>23.00237226002713</v>
      </c>
      <c r="I55" s="27">
        <f t="shared" si="7"/>
        <v>448.20646438766931</v>
      </c>
      <c r="J55" s="27">
        <f t="shared" si="7"/>
        <v>0</v>
      </c>
      <c r="K55" s="27">
        <f t="shared" si="7"/>
        <v>0</v>
      </c>
      <c r="L55" s="27">
        <f t="shared" si="7"/>
        <v>0</v>
      </c>
      <c r="M55" s="1201">
        <f t="shared" si="6"/>
        <v>694.58410192774352</v>
      </c>
      <c r="N55" s="27">
        <f t="shared" si="8"/>
        <v>694.58410192774352</v>
      </c>
    </row>
    <row r="56" spans="1:14">
      <c r="A56" t="s">
        <v>75</v>
      </c>
      <c r="B56" s="27">
        <f t="shared" si="7"/>
        <v>3.7688413637861173</v>
      </c>
      <c r="C56" s="27">
        <f t="shared" si="7"/>
        <v>1.3822156590902629E-2</v>
      </c>
      <c r="D56" s="27">
        <f t="shared" si="7"/>
        <v>1.5849406224235016</v>
      </c>
      <c r="E56" s="27">
        <f t="shared" si="7"/>
        <v>11.467782584918881</v>
      </c>
      <c r="F56" s="27">
        <f t="shared" si="7"/>
        <v>151.71890182004273</v>
      </c>
      <c r="G56" s="27">
        <f t="shared" si="7"/>
        <v>0</v>
      </c>
      <c r="H56" s="27">
        <f t="shared" si="7"/>
        <v>27.132893387941863</v>
      </c>
      <c r="I56" s="27">
        <f t="shared" si="7"/>
        <v>589.23853547017916</v>
      </c>
      <c r="J56" s="27">
        <f t="shared" si="7"/>
        <v>0</v>
      </c>
      <c r="K56" s="27">
        <f t="shared" si="7"/>
        <v>0</v>
      </c>
      <c r="L56" s="27">
        <f t="shared" si="7"/>
        <v>0</v>
      </c>
      <c r="M56" s="1201">
        <f t="shared" si="6"/>
        <v>784.92571740588312</v>
      </c>
      <c r="N56" s="27">
        <f t="shared" si="8"/>
        <v>784.92571740588312</v>
      </c>
    </row>
    <row r="57" spans="1:14">
      <c r="A57" t="s">
        <v>76</v>
      </c>
      <c r="B57" s="27">
        <f t="shared" si="7"/>
        <v>38.6168018222168</v>
      </c>
      <c r="C57" s="27">
        <f t="shared" si="7"/>
        <v>101.90384946642965</v>
      </c>
      <c r="D57" s="27">
        <f t="shared" si="7"/>
        <v>28.611864143168447</v>
      </c>
      <c r="E57" s="27">
        <f t="shared" si="7"/>
        <v>13.939644921925302</v>
      </c>
      <c r="F57" s="27">
        <f t="shared" si="7"/>
        <v>208.32754413808448</v>
      </c>
      <c r="G57" s="27">
        <f t="shared" si="7"/>
        <v>0</v>
      </c>
      <c r="H57" s="27">
        <f t="shared" si="7"/>
        <v>6.2015409237849806</v>
      </c>
      <c r="I57" s="27">
        <f t="shared" si="7"/>
        <v>466.95161241769841</v>
      </c>
      <c r="J57" s="27">
        <f t="shared" si="7"/>
        <v>0</v>
      </c>
      <c r="K57" s="27">
        <f t="shared" si="7"/>
        <v>0</v>
      </c>
      <c r="L57" s="27">
        <f t="shared" si="7"/>
        <v>0</v>
      </c>
      <c r="M57" s="1201">
        <f t="shared" si="6"/>
        <v>864.55285783330805</v>
      </c>
      <c r="N57" s="27">
        <f t="shared" si="8"/>
        <v>864.55285783330805</v>
      </c>
    </row>
    <row r="58" spans="1:14">
      <c r="A58" t="s">
        <v>77</v>
      </c>
      <c r="B58" s="27">
        <f t="shared" si="7"/>
        <v>1.3628370457209849</v>
      </c>
      <c r="C58" s="27">
        <f t="shared" si="7"/>
        <v>1.1723329425556858E-2</v>
      </c>
      <c r="D58" s="27">
        <f t="shared" si="7"/>
        <v>0.22567409144196954</v>
      </c>
      <c r="E58" s="27">
        <f t="shared" si="7"/>
        <v>8.4056271981242663</v>
      </c>
      <c r="F58" s="27">
        <f t="shared" si="7"/>
        <v>49.618991793669402</v>
      </c>
      <c r="G58" s="27">
        <f t="shared" si="7"/>
        <v>0</v>
      </c>
      <c r="H58" s="27">
        <f t="shared" si="7"/>
        <v>2.9454865181711609</v>
      </c>
      <c r="I58" s="27">
        <f t="shared" si="7"/>
        <v>314.14419695193436</v>
      </c>
      <c r="J58" s="27">
        <f t="shared" si="7"/>
        <v>0</v>
      </c>
      <c r="K58" s="27">
        <f t="shared" si="7"/>
        <v>0</v>
      </c>
      <c r="L58" s="27">
        <f t="shared" si="7"/>
        <v>0</v>
      </c>
      <c r="M58" s="1201">
        <f t="shared" si="6"/>
        <v>376.71453692848769</v>
      </c>
      <c r="N58" s="27">
        <f t="shared" si="8"/>
        <v>376.71453692848769</v>
      </c>
    </row>
    <row r="59" spans="1:14">
      <c r="A59" s="52" t="s">
        <v>125</v>
      </c>
      <c r="B59" s="53">
        <f t="shared" ref="B59:G59" si="9">SUM(B44:B58)</f>
        <v>11142.109218803826</v>
      </c>
      <c r="C59" s="53">
        <f t="shared" si="9"/>
        <v>11047.068266232171</v>
      </c>
      <c r="D59" s="53">
        <f t="shared" si="9"/>
        <v>4945.248688615944</v>
      </c>
      <c r="E59" s="53">
        <f t="shared" si="9"/>
        <v>13227.624251582687</v>
      </c>
      <c r="F59" s="53">
        <f t="shared" si="9"/>
        <v>6387.8581189578808</v>
      </c>
      <c r="G59" s="53">
        <f t="shared" si="9"/>
        <v>0</v>
      </c>
      <c r="H59" s="53">
        <f t="shared" ref="H59:L59" si="10">SUM(H44:H58)</f>
        <v>7436.1120924715751</v>
      </c>
      <c r="I59" s="53">
        <f t="shared" si="10"/>
        <v>16532.199704350718</v>
      </c>
      <c r="J59" s="53">
        <f t="shared" si="10"/>
        <v>0</v>
      </c>
      <c r="K59" s="53">
        <f t="shared" si="10"/>
        <v>0</v>
      </c>
      <c r="L59" s="53">
        <f t="shared" si="10"/>
        <v>0</v>
      </c>
      <c r="M59" s="1201">
        <f t="shared" si="6"/>
        <v>70718.220341014807</v>
      </c>
      <c r="N59" s="1201">
        <f>SUM(N44:N58)</f>
        <v>77492.895381462688</v>
      </c>
    </row>
    <row r="61" spans="1:14">
      <c r="A61" s="106" t="s">
        <v>430</v>
      </c>
      <c r="B61" s="107"/>
      <c r="C61" s="107"/>
      <c r="D61" s="107"/>
      <c r="E61" s="107"/>
      <c r="F61" s="107"/>
      <c r="G61" s="107"/>
      <c r="H61" s="107"/>
      <c r="I61" s="107"/>
      <c r="J61" s="107"/>
      <c r="K61" s="107"/>
      <c r="L61" s="107"/>
    </row>
    <row r="63" spans="1:14">
      <c r="A63" s="45" t="s">
        <v>431</v>
      </c>
      <c r="B63" s="51"/>
      <c r="C63" s="51"/>
      <c r="D63" s="51"/>
      <c r="E63" s="51"/>
      <c r="F63" s="51"/>
      <c r="H63" s="51"/>
      <c r="I63" s="51"/>
    </row>
    <row r="64" spans="1:14" ht="45" customHeight="1">
      <c r="A64" s="36" t="s">
        <v>114</v>
      </c>
      <c r="B64" s="37" t="s">
        <v>129</v>
      </c>
      <c r="C64" s="37" t="s">
        <v>432</v>
      </c>
      <c r="D64" s="37" t="s">
        <v>131</v>
      </c>
      <c r="E64" s="37" t="s">
        <v>433</v>
      </c>
      <c r="F64" s="37" t="s">
        <v>434</v>
      </c>
      <c r="H64" s="37" t="s">
        <v>435</v>
      </c>
      <c r="I64" s="37" t="s">
        <v>436</v>
      </c>
      <c r="K64" s="1010" t="s">
        <v>437</v>
      </c>
      <c r="L64" s="25"/>
    </row>
    <row r="65" spans="1:12">
      <c r="A65" t="s">
        <v>63</v>
      </c>
      <c r="B65" s="46">
        <f>'Other Country-Specific Data'!K39</f>
        <v>0</v>
      </c>
      <c r="C65" s="50">
        <f>'Other Country-Specific Data'!K61</f>
        <v>0</v>
      </c>
      <c r="D65" s="56">
        <f>'Other Country-Specific Data'!K83</f>
        <v>0.06</v>
      </c>
      <c r="E65" s="46">
        <f>1-((1-B65)*(1-C65)*(1-D65))</f>
        <v>6.0000000000000053E-2</v>
      </c>
      <c r="F65" s="651">
        <f>E65*'Achivable Interventions'!$R$17</f>
        <v>6.0000000000000053E-2</v>
      </c>
      <c r="H65" s="1012">
        <f t="shared" ref="H65:H71" si="11">1-((1-B65)*(1-C65))</f>
        <v>0</v>
      </c>
      <c r="I65" s="1012">
        <f>H65*(1+D25)*'Achivable Interventions'!$R$17</f>
        <v>0</v>
      </c>
      <c r="K65" t="s">
        <v>129</v>
      </c>
      <c r="L65" s="50">
        <f>SUMPRODUCT(B65:B79,M44:M58)/SUM(M44:M58)</f>
        <v>0.14077298107124553</v>
      </c>
    </row>
    <row r="66" spans="1:12">
      <c r="A66" t="s">
        <v>64</v>
      </c>
      <c r="B66" s="46">
        <f>'Other Country-Specific Data'!K40</f>
        <v>0</v>
      </c>
      <c r="C66" s="50">
        <f>'Other Country-Specific Data'!K62</f>
        <v>0</v>
      </c>
      <c r="D66" s="56">
        <f>'Other Country-Specific Data'!K84</f>
        <v>0.3</v>
      </c>
      <c r="E66" s="46">
        <f t="shared" ref="E66:E79" si="12">1-((1-B66)*(1-C66)*(1-D66))</f>
        <v>0.30000000000000004</v>
      </c>
      <c r="F66" s="651">
        <f>E66*'Achivable Interventions'!$R$17</f>
        <v>0.30000000000000004</v>
      </c>
      <c r="H66" s="1012">
        <f t="shared" si="11"/>
        <v>0</v>
      </c>
      <c r="I66" s="1012">
        <f>H66*(1+D26)*'Achivable Interventions'!$R$17</f>
        <v>0</v>
      </c>
      <c r="K66" t="s">
        <v>438</v>
      </c>
      <c r="L66" s="50">
        <f>SUMPRODUCT(C65:C79,M44:M58)/SUM(M44:M58)</f>
        <v>0.11110843581908224</v>
      </c>
    </row>
    <row r="67" spans="1:12">
      <c r="A67" t="s">
        <v>65</v>
      </c>
      <c r="B67" s="46">
        <f>'Other Country-Specific Data'!K41</f>
        <v>0</v>
      </c>
      <c r="C67" s="50">
        <f>'Other Country-Specific Data'!K63</f>
        <v>0</v>
      </c>
      <c r="D67" s="56">
        <f>'Other Country-Specific Data'!K85</f>
        <v>0.13</v>
      </c>
      <c r="E67" s="46">
        <f t="shared" si="12"/>
        <v>0.13</v>
      </c>
      <c r="F67" s="651">
        <f>E67*'Achivable Interventions'!$R$17</f>
        <v>0.13</v>
      </c>
      <c r="H67" s="1012">
        <f t="shared" si="11"/>
        <v>0</v>
      </c>
      <c r="I67" s="1012">
        <f>H67*(1+D27)*'Achivable Interventions'!$R$17</f>
        <v>0</v>
      </c>
      <c r="K67" t="s">
        <v>131</v>
      </c>
      <c r="L67" s="50">
        <f>SUMPRODUCT(D65:D79,M44:M58)/SUM(M44:M58)</f>
        <v>0.1625344251409086</v>
      </c>
    </row>
    <row r="68" spans="1:12">
      <c r="A68" t="s">
        <v>66</v>
      </c>
      <c r="B68" s="46">
        <f>'Other Country-Specific Data'!K42</f>
        <v>0.05</v>
      </c>
      <c r="C68" s="50">
        <f>'Other Country-Specific Data'!K64</f>
        <v>0</v>
      </c>
      <c r="D68" s="56">
        <f>'Other Country-Specific Data'!K86</f>
        <v>0.15</v>
      </c>
      <c r="E68" s="46">
        <f t="shared" si="12"/>
        <v>0.1925</v>
      </c>
      <c r="F68" s="651">
        <f>E68*'Achivable Interventions'!$R$17</f>
        <v>0.1925</v>
      </c>
      <c r="H68" s="1012">
        <f t="shared" si="11"/>
        <v>5.0000000000000044E-2</v>
      </c>
      <c r="I68" s="1012">
        <f>H68*(1+D28)*'Achivable Interventions'!$R$17</f>
        <v>5.0000000000000044E-2</v>
      </c>
      <c r="K68" t="s">
        <v>439</v>
      </c>
      <c r="L68" s="46">
        <f>1-((1-L65)*(1-L66)*(1-L67))</f>
        <v>0.36037758662828334</v>
      </c>
    </row>
    <row r="69" spans="1:12">
      <c r="A69" t="s">
        <v>67</v>
      </c>
      <c r="B69" s="46">
        <f>'Other Country-Specific Data'!K43</f>
        <v>0</v>
      </c>
      <c r="C69" s="50">
        <f>'Other Country-Specific Data'!K65</f>
        <v>0</v>
      </c>
      <c r="D69" s="56">
        <f>'Other Country-Specific Data'!K87</f>
        <v>0.1</v>
      </c>
      <c r="E69" s="46">
        <f t="shared" si="12"/>
        <v>9.9999999999999978E-2</v>
      </c>
      <c r="F69" s="651">
        <f>E69*'Achivable Interventions'!$R$17</f>
        <v>9.9999999999999978E-2</v>
      </c>
      <c r="H69" s="1012">
        <f t="shared" si="11"/>
        <v>0</v>
      </c>
      <c r="I69" s="1012">
        <f>H69*(1+D29)*'Achivable Interventions'!$R$17</f>
        <v>0</v>
      </c>
    </row>
    <row r="70" spans="1:12">
      <c r="A70" t="s">
        <v>68</v>
      </c>
      <c r="B70" s="46">
        <f>'Other Country-Specific Data'!K44</f>
        <v>0.23796899294438706</v>
      </c>
      <c r="C70" s="50">
        <f>'Other Country-Specific Data'!K66</f>
        <v>0</v>
      </c>
      <c r="D70" s="56">
        <f>'Other Country-Specific Data'!K88</f>
        <v>0.19833292697793492</v>
      </c>
      <c r="E70" s="46">
        <f t="shared" si="12"/>
        <v>0.3891048330216702</v>
      </c>
      <c r="F70" s="651">
        <f>E70*'Achivable Interventions'!$R$17</f>
        <v>0.3891048330216702</v>
      </c>
      <c r="H70" s="1012">
        <f t="shared" si="11"/>
        <v>0.23796899294438711</v>
      </c>
      <c r="I70" s="1012">
        <f>H70*(1+D30)*'Achivable Interventions'!$R$17</f>
        <v>0.34606083033018048</v>
      </c>
    </row>
    <row r="71" spans="1:12">
      <c r="A71" t="s">
        <v>69</v>
      </c>
      <c r="B71" s="46">
        <f>'Other Country-Specific Data'!K45</f>
        <v>0</v>
      </c>
      <c r="C71" s="50">
        <f>'Other Country-Specific Data'!K67</f>
        <v>0</v>
      </c>
      <c r="D71" s="56">
        <f>'Other Country-Specific Data'!K89</f>
        <v>2.2749999999999999E-2</v>
      </c>
      <c r="E71" s="46">
        <f t="shared" si="12"/>
        <v>2.2750000000000048E-2</v>
      </c>
      <c r="F71" s="651">
        <f>E71*'Achivable Interventions'!$R$17</f>
        <v>2.2750000000000048E-2</v>
      </c>
      <c r="H71" s="1012">
        <f t="shared" si="11"/>
        <v>0</v>
      </c>
      <c r="I71" s="1012">
        <f>H71*(1+D31)*'Achivable Interventions'!$R$17</f>
        <v>0</v>
      </c>
    </row>
    <row r="72" spans="1:12">
      <c r="A72" t="s">
        <v>70</v>
      </c>
      <c r="B72" s="46">
        <f>'Other Country-Specific Data'!K46</f>
        <v>0.22</v>
      </c>
      <c r="C72" s="50">
        <f>'Other Country-Specific Data'!K68</f>
        <v>0.25</v>
      </c>
      <c r="D72" s="56">
        <f>'Other Country-Specific Data'!K90</f>
        <v>0.14499999999999999</v>
      </c>
      <c r="E72" s="46">
        <f t="shared" si="12"/>
        <v>0.49982500000000007</v>
      </c>
      <c r="F72" s="651">
        <f>E72*'Achivable Interventions'!$R$17</f>
        <v>0.49982500000000007</v>
      </c>
      <c r="H72" s="1012">
        <f>1-((1-B72)*(1-C72))</f>
        <v>0.41500000000000004</v>
      </c>
      <c r="I72" s="1012">
        <f>H72*(1+D32)*'Achivable Interventions'!$R$17</f>
        <v>0.29312396006655578</v>
      </c>
    </row>
    <row r="73" spans="1:12">
      <c r="A73" t="s">
        <v>71</v>
      </c>
      <c r="B73" s="46">
        <f>'Other Country-Specific Data'!K47</f>
        <v>0.13</v>
      </c>
      <c r="C73" s="50">
        <f>'Other Country-Specific Data'!K69</f>
        <v>0.25</v>
      </c>
      <c r="D73" s="56">
        <f>'Other Country-Specific Data'!K91</f>
        <v>0.19298245614035087</v>
      </c>
      <c r="E73" s="46">
        <f t="shared" si="12"/>
        <v>0.47342105263157896</v>
      </c>
      <c r="F73" s="651">
        <f>E73*'Achivable Interventions'!$R$17</f>
        <v>0.47342105263157896</v>
      </c>
      <c r="H73" s="1012">
        <f t="shared" ref="H73:H79" si="13">1-((1-B73)*(1-C73))</f>
        <v>0.34750000000000003</v>
      </c>
      <c r="I73" s="1012">
        <f>H73*(1+D33)*'Achivable Interventions'!$R$17</f>
        <v>0.27314194008559206</v>
      </c>
    </row>
    <row r="74" spans="1:12">
      <c r="A74" t="s">
        <v>72</v>
      </c>
      <c r="B74" s="46">
        <f>'Other Country-Specific Data'!K48</f>
        <v>0.13</v>
      </c>
      <c r="C74" s="50">
        <f>'Other Country-Specific Data'!K70</f>
        <v>0.25</v>
      </c>
      <c r="D74" s="56">
        <f>'Other Country-Specific Data'!K92</f>
        <v>0.1</v>
      </c>
      <c r="E74" s="46">
        <f t="shared" si="12"/>
        <v>0.41275000000000006</v>
      </c>
      <c r="F74" s="651">
        <f>E74*'Achivable Interventions'!$R$17</f>
        <v>0.41275000000000006</v>
      </c>
      <c r="H74" s="1012">
        <f t="shared" si="13"/>
        <v>0.34750000000000003</v>
      </c>
      <c r="I74" s="1012">
        <f>H74*(1+D34)*'Achivable Interventions'!$R$17</f>
        <v>0.39962500000000001</v>
      </c>
    </row>
    <row r="75" spans="1:12">
      <c r="A75" t="s">
        <v>73</v>
      </c>
      <c r="B75" s="46">
        <f>'Other Country-Specific Data'!K49</f>
        <v>0</v>
      </c>
      <c r="C75" s="50">
        <f>'Other Country-Specific Data'!K71</f>
        <v>0.25</v>
      </c>
      <c r="D75" s="56">
        <f>'Other Country-Specific Data'!K93</f>
        <v>9.0999999999999998E-2</v>
      </c>
      <c r="E75" s="46">
        <f t="shared" si="12"/>
        <v>0.31824999999999992</v>
      </c>
      <c r="F75" s="651">
        <f>E75*'Achivable Interventions'!$R$17</f>
        <v>0.31824999999999992</v>
      </c>
      <c r="H75" s="1012">
        <f t="shared" si="13"/>
        <v>0.25</v>
      </c>
      <c r="I75" s="1012">
        <f>H75*(1+D35)*'Achivable Interventions'!$R$17</f>
        <v>0.19650499286733239</v>
      </c>
    </row>
    <row r="76" spans="1:12">
      <c r="A76" t="s">
        <v>74</v>
      </c>
      <c r="B76" s="46">
        <f>'Other Country-Specific Data'!K50</f>
        <v>0</v>
      </c>
      <c r="C76" s="50">
        <f>'Other Country-Specific Data'!K72</f>
        <v>0.25</v>
      </c>
      <c r="D76" s="56">
        <f>'Other Country-Specific Data'!K94</f>
        <v>5.8500000000000003E-2</v>
      </c>
      <c r="E76" s="46">
        <f t="shared" si="12"/>
        <v>0.293875</v>
      </c>
      <c r="F76" s="651">
        <f>E76*'Achivable Interventions'!$R$17</f>
        <v>0.293875</v>
      </c>
      <c r="H76" s="1012">
        <f t="shared" si="13"/>
        <v>0.25</v>
      </c>
      <c r="I76" s="1012">
        <f>H76*(1+D36)*'Achivable Interventions'!$R$17</f>
        <v>0.19650499286733239</v>
      </c>
    </row>
    <row r="77" spans="1:12">
      <c r="A77" t="s">
        <v>75</v>
      </c>
      <c r="B77" s="46">
        <f>'Other Country-Specific Data'!K51</f>
        <v>0</v>
      </c>
      <c r="C77" s="50">
        <f>'Other Country-Specific Data'!K73</f>
        <v>0.25</v>
      </c>
      <c r="D77" s="56">
        <f>'Other Country-Specific Data'!K95</f>
        <v>0.156</v>
      </c>
      <c r="E77" s="46">
        <f t="shared" si="12"/>
        <v>0.36699999999999999</v>
      </c>
      <c r="F77" s="651">
        <f>E77*'Achivable Interventions'!$R$17</f>
        <v>0.36699999999999999</v>
      </c>
      <c r="H77" s="1012">
        <f t="shared" si="13"/>
        <v>0.25</v>
      </c>
      <c r="I77" s="1012">
        <f>H77*(1+D37)*'Achivable Interventions'!$R$17</f>
        <v>0.19650499286733239</v>
      </c>
    </row>
    <row r="78" spans="1:12">
      <c r="A78" t="s">
        <v>76</v>
      </c>
      <c r="B78" s="46">
        <f>'Other Country-Specific Data'!K52</f>
        <v>0</v>
      </c>
      <c r="C78" s="50">
        <f>'Other Country-Specific Data'!K74</f>
        <v>0.25</v>
      </c>
      <c r="D78" s="56">
        <f>'Other Country-Specific Data'!K96</f>
        <v>0.17875000000000002</v>
      </c>
      <c r="E78" s="46">
        <f t="shared" si="12"/>
        <v>0.38406249999999997</v>
      </c>
      <c r="F78" s="651">
        <f>E78*'Achivable Interventions'!$R$17</f>
        <v>0.38406249999999997</v>
      </c>
      <c r="H78" s="1012">
        <f t="shared" si="13"/>
        <v>0.25</v>
      </c>
      <c r="I78" s="1012">
        <f>H78*(1+D38)*'Achivable Interventions'!$R$17</f>
        <v>0.19650499286733239</v>
      </c>
    </row>
    <row r="79" spans="1:12">
      <c r="A79" t="s">
        <v>77</v>
      </c>
      <c r="B79" s="46">
        <f>'Other Country-Specific Data'!K53</f>
        <v>0</v>
      </c>
      <c r="C79" s="50">
        <f>'Other Country-Specific Data'!K75</f>
        <v>0</v>
      </c>
      <c r="D79" s="56">
        <f>'Other Country-Specific Data'!K97</f>
        <v>6.5000000000000002E-2</v>
      </c>
      <c r="E79" s="46">
        <f t="shared" si="12"/>
        <v>6.4999999999999947E-2</v>
      </c>
      <c r="F79" s="651">
        <f>E79*'Achivable Interventions'!$R$17</f>
        <v>6.4999999999999947E-2</v>
      </c>
      <c r="H79" s="1012">
        <f t="shared" si="13"/>
        <v>0</v>
      </c>
      <c r="I79" s="1012">
        <f>H79*(1+D39)*'Achivable Interventions'!$R$17</f>
        <v>0</v>
      </c>
    </row>
    <row r="81" spans="1:14">
      <c r="A81" s="26" t="s">
        <v>440</v>
      </c>
    </row>
    <row r="82" spans="1:14">
      <c r="A82" s="45" t="s">
        <v>441</v>
      </c>
      <c r="B82" s="51"/>
      <c r="C82" s="51"/>
      <c r="D82" s="51"/>
      <c r="E82" s="51"/>
      <c r="F82" s="51"/>
      <c r="G82" s="51"/>
      <c r="H82" s="51"/>
      <c r="I82" s="51"/>
      <c r="J82" s="51"/>
      <c r="K82" s="51"/>
      <c r="L82" s="51"/>
    </row>
    <row r="83" spans="1:14" ht="45">
      <c r="A83" s="36" t="s">
        <v>114</v>
      </c>
      <c r="B83" s="37" t="s">
        <v>40</v>
      </c>
      <c r="C83" s="37" t="s">
        <v>41</v>
      </c>
      <c r="D83" s="37" t="s">
        <v>42</v>
      </c>
      <c r="E83" s="37" t="s">
        <v>43</v>
      </c>
      <c r="F83" s="37" t="s">
        <v>44</v>
      </c>
      <c r="G83" s="37" t="s">
        <v>45</v>
      </c>
      <c r="H83" s="37" t="s">
        <v>46</v>
      </c>
      <c r="I83" s="37" t="s">
        <v>47</v>
      </c>
      <c r="J83" s="37" t="s">
        <v>419</v>
      </c>
      <c r="K83" s="37" t="s">
        <v>49</v>
      </c>
      <c r="L83" s="37" t="s">
        <v>420</v>
      </c>
      <c r="M83" s="54" t="s">
        <v>421</v>
      </c>
      <c r="N83" s="54" t="s">
        <v>422</v>
      </c>
    </row>
    <row r="84" spans="1:14">
      <c r="A84" t="s">
        <v>63</v>
      </c>
      <c r="B84" s="27">
        <f>B44*(1-$F65)</f>
        <v>208.95715123094962</v>
      </c>
      <c r="C84" s="27">
        <f t="shared" ref="C84:I84" si="14">C44*(1-$F65)</f>
        <v>3.5980070339976549</v>
      </c>
      <c r="D84" s="27">
        <f t="shared" si="14"/>
        <v>0.16254396248534583</v>
      </c>
      <c r="E84" s="27">
        <f t="shared" si="14"/>
        <v>20.092086752637751</v>
      </c>
      <c r="F84" s="27">
        <f t="shared" si="14"/>
        <v>330.37473622508799</v>
      </c>
      <c r="G84" s="27">
        <f t="shared" si="14"/>
        <v>0</v>
      </c>
      <c r="H84" s="27">
        <f t="shared" si="14"/>
        <v>372.67749120750295</v>
      </c>
      <c r="I84" s="27">
        <f t="shared" si="14"/>
        <v>536.13335287221582</v>
      </c>
      <c r="J84">
        <v>0</v>
      </c>
      <c r="K84">
        <v>0</v>
      </c>
      <c r="L84">
        <v>0</v>
      </c>
      <c r="M84" s="1201">
        <f>SUM(B84:L84)</f>
        <v>1471.9953692848771</v>
      </c>
      <c r="N84" s="27">
        <f>M84</f>
        <v>1471.9953692848771</v>
      </c>
    </row>
    <row r="85" spans="1:14">
      <c r="A85" t="s">
        <v>64</v>
      </c>
      <c r="B85" s="27">
        <f t="shared" ref="B85:I98" si="15">B45*(1-$F66)</f>
        <v>25.224208675263778</v>
      </c>
      <c r="C85" s="27">
        <f t="shared" si="15"/>
        <v>1.0032239155920279</v>
      </c>
      <c r="D85" s="27">
        <f t="shared" si="15"/>
        <v>2.0515826494724499E-3</v>
      </c>
      <c r="E85" s="27">
        <f t="shared" si="15"/>
        <v>9.6239742086752642</v>
      </c>
      <c r="F85" s="27">
        <f t="shared" si="15"/>
        <v>159.43669402110197</v>
      </c>
      <c r="G85" s="27">
        <f t="shared" si="15"/>
        <v>0</v>
      </c>
      <c r="H85" s="27">
        <f t="shared" si="15"/>
        <v>247.61576787807738</v>
      </c>
      <c r="I85" s="27">
        <f t="shared" si="15"/>
        <v>549.94929660023456</v>
      </c>
      <c r="J85">
        <v>0</v>
      </c>
      <c r="K85">
        <v>0</v>
      </c>
      <c r="L85">
        <v>0</v>
      </c>
      <c r="M85" s="1201">
        <f t="shared" ref="M85:M99" si="16">SUM(B85:L85)</f>
        <v>992.85521688159452</v>
      </c>
      <c r="N85" s="27">
        <f t="shared" ref="N85:N98" si="17">M85</f>
        <v>992.85521688159452</v>
      </c>
    </row>
    <row r="86" spans="1:14">
      <c r="A86" t="s">
        <v>65</v>
      </c>
      <c r="B86" s="27">
        <f t="shared" si="15"/>
        <v>1.9735638921453691</v>
      </c>
      <c r="C86" s="27">
        <f t="shared" si="15"/>
        <v>2.5498241500586166E-3</v>
      </c>
      <c r="D86" s="27">
        <f t="shared" si="15"/>
        <v>0</v>
      </c>
      <c r="E86" s="27">
        <f t="shared" si="15"/>
        <v>5.8594958968347006</v>
      </c>
      <c r="F86" s="27">
        <f t="shared" si="15"/>
        <v>19.921776084407973</v>
      </c>
      <c r="G86" s="27">
        <f t="shared" si="15"/>
        <v>0</v>
      </c>
      <c r="H86" s="27">
        <f t="shared" si="15"/>
        <v>7.7744138335287216</v>
      </c>
      <c r="I86" s="27">
        <f t="shared" si="15"/>
        <v>139.00621336459554</v>
      </c>
      <c r="J86">
        <v>0</v>
      </c>
      <c r="K86">
        <v>0</v>
      </c>
      <c r="L86">
        <v>0</v>
      </c>
      <c r="M86" s="1201">
        <f t="shared" si="16"/>
        <v>174.53801289566235</v>
      </c>
      <c r="N86" s="27">
        <f t="shared" si="17"/>
        <v>174.53801289566235</v>
      </c>
    </row>
    <row r="87" spans="1:14">
      <c r="A87" t="s">
        <v>66</v>
      </c>
      <c r="B87" s="27">
        <f t="shared" si="15"/>
        <v>68.490767878077392</v>
      </c>
      <c r="C87" s="27">
        <f t="shared" si="15"/>
        <v>0.34789712778429077</v>
      </c>
      <c r="D87" s="27">
        <f t="shared" si="15"/>
        <v>0</v>
      </c>
      <c r="E87" s="27">
        <f t="shared" si="15"/>
        <v>13.442555685814774</v>
      </c>
      <c r="F87" s="27">
        <f t="shared" si="15"/>
        <v>71.17927901524034</v>
      </c>
      <c r="G87" s="27">
        <f t="shared" si="15"/>
        <v>0</v>
      </c>
      <c r="H87" s="27">
        <f t="shared" si="15"/>
        <v>289.67050849941381</v>
      </c>
      <c r="I87" s="27">
        <f t="shared" si="15"/>
        <v>303.49646101992971</v>
      </c>
      <c r="J87">
        <v>0</v>
      </c>
      <c r="K87">
        <v>0</v>
      </c>
      <c r="L87">
        <v>0</v>
      </c>
      <c r="M87" s="1201">
        <f t="shared" si="16"/>
        <v>746.62746922626025</v>
      </c>
      <c r="N87" s="27">
        <f t="shared" si="17"/>
        <v>746.62746922626025</v>
      </c>
    </row>
    <row r="88" spans="1:14">
      <c r="A88" t="s">
        <v>67</v>
      </c>
      <c r="B88" s="27">
        <f t="shared" si="15"/>
        <v>652.41867660907508</v>
      </c>
      <c r="C88" s="27">
        <f t="shared" si="15"/>
        <v>23.526646551227106</v>
      </c>
      <c r="D88" s="27">
        <f t="shared" si="15"/>
        <v>535.86666154171394</v>
      </c>
      <c r="E88" s="27">
        <f t="shared" si="15"/>
        <v>5356.9133626736875</v>
      </c>
      <c r="F88" s="27">
        <f t="shared" si="15"/>
        <v>420.07068591086426</v>
      </c>
      <c r="G88" s="27">
        <f t="shared" si="15"/>
        <v>0</v>
      </c>
      <c r="H88" s="27">
        <f t="shared" si="15"/>
        <v>859.24830396094785</v>
      </c>
      <c r="I88" s="27">
        <f t="shared" si="15"/>
        <v>532.25718294159481</v>
      </c>
      <c r="J88">
        <v>0</v>
      </c>
      <c r="K88">
        <v>0</v>
      </c>
      <c r="L88">
        <v>0</v>
      </c>
      <c r="M88" s="1201">
        <f t="shared" si="16"/>
        <v>8380.3015201891103</v>
      </c>
      <c r="N88" s="27">
        <f t="shared" si="17"/>
        <v>8380.3015201891103</v>
      </c>
    </row>
    <row r="89" spans="1:14">
      <c r="A89" t="s">
        <v>68</v>
      </c>
      <c r="B89" s="27">
        <f t="shared" si="15"/>
        <v>2578.2390837851563</v>
      </c>
      <c r="C89" s="27">
        <f t="shared" si="15"/>
        <v>1057.2997548294375</v>
      </c>
      <c r="D89" s="27">
        <f t="shared" si="15"/>
        <v>351.86825027558774</v>
      </c>
      <c r="E89" s="27">
        <f t="shared" si="15"/>
        <v>3635.5778940063606</v>
      </c>
      <c r="F89" s="27">
        <f t="shared" si="15"/>
        <v>1755.3549977249522</v>
      </c>
      <c r="G89" s="27">
        <f t="shared" si="15"/>
        <v>0</v>
      </c>
      <c r="H89" s="27">
        <f t="shared" si="15"/>
        <v>2835.4084237976622</v>
      </c>
      <c r="I89" s="27">
        <f t="shared" si="15"/>
        <v>2443.9249878067308</v>
      </c>
      <c r="J89">
        <v>0</v>
      </c>
      <c r="K89">
        <v>0</v>
      </c>
      <c r="L89">
        <v>0</v>
      </c>
      <c r="M89" s="1201">
        <f t="shared" si="16"/>
        <v>14657.673392225888</v>
      </c>
      <c r="N89" s="540">
        <f>M89+SUM($B$315:$L$315)</f>
        <v>19820.185835772914</v>
      </c>
    </row>
    <row r="90" spans="1:14">
      <c r="A90" t="s">
        <v>69</v>
      </c>
      <c r="B90" s="27">
        <f t="shared" si="15"/>
        <v>70.175309984779375</v>
      </c>
      <c r="C90" s="27">
        <f t="shared" si="15"/>
        <v>3.0938901073324994</v>
      </c>
      <c r="D90" s="27">
        <f t="shared" si="15"/>
        <v>5.7692283537095967</v>
      </c>
      <c r="E90" s="27">
        <f t="shared" si="15"/>
        <v>40.904960249046859</v>
      </c>
      <c r="F90" s="27">
        <f t="shared" si="15"/>
        <v>139.96034863974899</v>
      </c>
      <c r="G90" s="27">
        <f t="shared" si="15"/>
        <v>0</v>
      </c>
      <c r="H90" s="27">
        <f t="shared" si="15"/>
        <v>85.056525473612666</v>
      </c>
      <c r="I90" s="27">
        <f t="shared" si="15"/>
        <v>1118.1612965423567</v>
      </c>
      <c r="J90">
        <v>0</v>
      </c>
      <c r="K90">
        <v>0</v>
      </c>
      <c r="L90">
        <v>0</v>
      </c>
      <c r="M90" s="1201">
        <f t="shared" si="16"/>
        <v>1463.1215593505867</v>
      </c>
      <c r="N90" s="27">
        <f t="shared" si="17"/>
        <v>1463.1215593505867</v>
      </c>
    </row>
    <row r="91" spans="1:14">
      <c r="A91" t="s">
        <v>70</v>
      </c>
      <c r="B91" s="27">
        <f t="shared" si="15"/>
        <v>1659.5511299447435</v>
      </c>
      <c r="C91" s="27">
        <f t="shared" si="15"/>
        <v>103.17019665732717</v>
      </c>
      <c r="D91" s="27">
        <f t="shared" si="15"/>
        <v>74.068706836361542</v>
      </c>
      <c r="E91" s="27">
        <f t="shared" si="15"/>
        <v>491.70915105630655</v>
      </c>
      <c r="F91" s="27">
        <f t="shared" si="15"/>
        <v>336.39731829266088</v>
      </c>
      <c r="G91" s="27">
        <f t="shared" si="15"/>
        <v>0</v>
      </c>
      <c r="H91" s="27">
        <f t="shared" si="15"/>
        <v>22.701564232714428</v>
      </c>
      <c r="I91" s="27">
        <f t="shared" si="15"/>
        <v>511.38832687418432</v>
      </c>
      <c r="J91">
        <v>0</v>
      </c>
      <c r="K91">
        <v>0</v>
      </c>
      <c r="L91">
        <v>0</v>
      </c>
      <c r="M91" s="1201">
        <f t="shared" si="16"/>
        <v>3198.9863938942981</v>
      </c>
      <c r="N91" s="27">
        <f t="shared" si="17"/>
        <v>3198.9863938942981</v>
      </c>
    </row>
    <row r="92" spans="1:14">
      <c r="A92" t="s">
        <v>71</v>
      </c>
      <c r="B92" s="27">
        <f t="shared" si="15"/>
        <v>1063.2963907907476</v>
      </c>
      <c r="C92" s="27">
        <f t="shared" si="15"/>
        <v>4637.7658696628323</v>
      </c>
      <c r="D92" s="27">
        <f t="shared" si="15"/>
        <v>1787.9055705256098</v>
      </c>
      <c r="E92" s="27">
        <f t="shared" si="15"/>
        <v>15.737236392325151</v>
      </c>
      <c r="F92" s="27">
        <f t="shared" si="15"/>
        <v>221.88739075228327</v>
      </c>
      <c r="G92" s="27">
        <f t="shared" si="15"/>
        <v>0</v>
      </c>
      <c r="H92" s="27">
        <f t="shared" si="15"/>
        <v>76.035610658362771</v>
      </c>
      <c r="I92" s="27">
        <f t="shared" si="15"/>
        <v>1022.8439417061207</v>
      </c>
      <c r="J92">
        <v>0</v>
      </c>
      <c r="K92">
        <v>0</v>
      </c>
      <c r="L92">
        <v>0</v>
      </c>
      <c r="M92" s="1201">
        <f t="shared" si="16"/>
        <v>8825.4720104882817</v>
      </c>
      <c r="N92" s="27">
        <f t="shared" si="17"/>
        <v>8825.4720104882817</v>
      </c>
    </row>
    <row r="93" spans="1:14">
      <c r="A93" t="s">
        <v>72</v>
      </c>
      <c r="B93" s="27">
        <f t="shared" si="15"/>
        <v>226.53099904747944</v>
      </c>
      <c r="C93" s="27">
        <f t="shared" si="15"/>
        <v>70.473011979777255</v>
      </c>
      <c r="D93" s="27">
        <f t="shared" si="15"/>
        <v>111.77310657239155</v>
      </c>
      <c r="E93" s="27">
        <f t="shared" si="15"/>
        <v>71.486414089976549</v>
      </c>
      <c r="F93" s="27">
        <f t="shared" si="15"/>
        <v>188.55415082796014</v>
      </c>
      <c r="G93" s="27">
        <f t="shared" si="15"/>
        <v>0</v>
      </c>
      <c r="H93" s="27">
        <f t="shared" si="15"/>
        <v>208.79646211899177</v>
      </c>
      <c r="I93" s="27">
        <f t="shared" si="15"/>
        <v>1893.0707692702226</v>
      </c>
      <c r="J93">
        <v>0</v>
      </c>
      <c r="K93">
        <v>0</v>
      </c>
      <c r="L93">
        <v>0</v>
      </c>
      <c r="M93" s="1201">
        <f t="shared" si="16"/>
        <v>2770.684913906799</v>
      </c>
      <c r="N93" s="27">
        <f t="shared" si="17"/>
        <v>2770.684913906799</v>
      </c>
    </row>
    <row r="94" spans="1:14">
      <c r="A94" t="s">
        <v>73</v>
      </c>
      <c r="B94" s="27">
        <f t="shared" si="15"/>
        <v>3.2792928290350587</v>
      </c>
      <c r="C94" s="27">
        <f t="shared" si="15"/>
        <v>28.985933166988048</v>
      </c>
      <c r="D94" s="27">
        <f t="shared" si="15"/>
        <v>1.8720867108284436</v>
      </c>
      <c r="E94" s="27">
        <f t="shared" si="15"/>
        <v>23.462335044518561</v>
      </c>
      <c r="F94" s="27">
        <f t="shared" si="15"/>
        <v>135.87391753407044</v>
      </c>
      <c r="G94" s="27">
        <f t="shared" si="15"/>
        <v>0</v>
      </c>
      <c r="H94" s="27">
        <f t="shared" si="15"/>
        <v>20.778277839144554</v>
      </c>
      <c r="I94" s="27">
        <f t="shared" si="15"/>
        <v>611.81270019863609</v>
      </c>
      <c r="J94">
        <v>0</v>
      </c>
      <c r="K94">
        <v>0</v>
      </c>
      <c r="L94">
        <v>0</v>
      </c>
      <c r="M94" s="1201">
        <f t="shared" si="16"/>
        <v>826.06454332322119</v>
      </c>
      <c r="N94" s="27">
        <f t="shared" si="17"/>
        <v>826.06454332322119</v>
      </c>
    </row>
    <row r="95" spans="1:14">
      <c r="A95" t="s">
        <v>74</v>
      </c>
      <c r="B95" s="27">
        <f t="shared" si="15"/>
        <v>5.6804191278411515</v>
      </c>
      <c r="C95" s="27">
        <f t="shared" si="15"/>
        <v>2.3001468060616812</v>
      </c>
      <c r="D95" s="27">
        <f t="shared" si="15"/>
        <v>0.61001064517194503</v>
      </c>
      <c r="E95" s="27">
        <f t="shared" si="15"/>
        <v>14.819191940043785</v>
      </c>
      <c r="F95" s="27">
        <f t="shared" si="15"/>
        <v>134.32109067675469</v>
      </c>
      <c r="G95" s="27">
        <f t="shared" si="15"/>
        <v>0</v>
      </c>
      <c r="H95" s="27">
        <f t="shared" si="15"/>
        <v>16.242550112111658</v>
      </c>
      <c r="I95" s="27">
        <f t="shared" si="15"/>
        <v>316.48978966574299</v>
      </c>
      <c r="J95">
        <v>0</v>
      </c>
      <c r="K95">
        <v>0</v>
      </c>
      <c r="L95">
        <v>0</v>
      </c>
      <c r="M95" s="1201">
        <f t="shared" si="16"/>
        <v>490.46319897372791</v>
      </c>
      <c r="N95" s="27">
        <f t="shared" si="17"/>
        <v>490.46319897372791</v>
      </c>
    </row>
    <row r="96" spans="1:14">
      <c r="A96" t="s">
        <v>75</v>
      </c>
      <c r="B96" s="27">
        <f t="shared" si="15"/>
        <v>2.3856765832766125</v>
      </c>
      <c r="C96" s="27">
        <f t="shared" si="15"/>
        <v>8.7494251220413648E-3</v>
      </c>
      <c r="D96" s="27">
        <f t="shared" si="15"/>
        <v>1.0032674139940765</v>
      </c>
      <c r="E96" s="27">
        <f t="shared" si="15"/>
        <v>7.2591063762536514</v>
      </c>
      <c r="F96" s="27">
        <f t="shared" si="15"/>
        <v>96.038064852087047</v>
      </c>
      <c r="G96" s="27">
        <f t="shared" si="15"/>
        <v>0</v>
      </c>
      <c r="H96" s="27">
        <f t="shared" si="15"/>
        <v>17.175121514567198</v>
      </c>
      <c r="I96" s="27">
        <f t="shared" si="15"/>
        <v>372.98799295262342</v>
      </c>
      <c r="J96">
        <v>0</v>
      </c>
      <c r="K96">
        <v>0</v>
      </c>
      <c r="L96">
        <v>0</v>
      </c>
      <c r="M96" s="1201">
        <f t="shared" si="16"/>
        <v>496.85797911792406</v>
      </c>
      <c r="N96" s="27">
        <f t="shared" si="17"/>
        <v>496.85797911792406</v>
      </c>
    </row>
    <row r="97" spans="1:14">
      <c r="A97" t="s">
        <v>76</v>
      </c>
      <c r="B97" s="27">
        <f t="shared" si="15"/>
        <v>23.785536372371663</v>
      </c>
      <c r="C97" s="27">
        <f t="shared" si="15"/>
        <v>62.766402280729011</v>
      </c>
      <c r="D97" s="27">
        <f t="shared" si="15"/>
        <v>17.623120070682816</v>
      </c>
      <c r="E97" s="27">
        <f t="shared" si="15"/>
        <v>8.5859500440983663</v>
      </c>
      <c r="F97" s="27">
        <f t="shared" si="15"/>
        <v>128.31674671755141</v>
      </c>
      <c r="G97" s="27">
        <f t="shared" si="15"/>
        <v>0</v>
      </c>
      <c r="H97" s="27">
        <f t="shared" si="15"/>
        <v>3.8197616127438114</v>
      </c>
      <c r="I97" s="27">
        <f t="shared" si="15"/>
        <v>287.61300877352613</v>
      </c>
      <c r="J97">
        <v>0</v>
      </c>
      <c r="K97">
        <v>0</v>
      </c>
      <c r="L97">
        <v>0</v>
      </c>
      <c r="M97" s="1201">
        <f t="shared" si="16"/>
        <v>532.51052587170318</v>
      </c>
      <c r="N97" s="27">
        <f t="shared" si="17"/>
        <v>532.51052587170318</v>
      </c>
    </row>
    <row r="98" spans="1:14">
      <c r="A98" t="s">
        <v>77</v>
      </c>
      <c r="B98" s="27">
        <f t="shared" si="15"/>
        <v>1.274252637749121</v>
      </c>
      <c r="C98" s="27">
        <f t="shared" si="15"/>
        <v>1.0961313012895662E-2</v>
      </c>
      <c r="D98" s="27">
        <f t="shared" si="15"/>
        <v>0.21100527549824152</v>
      </c>
      <c r="E98" s="27">
        <f t="shared" si="15"/>
        <v>7.8592614302461898</v>
      </c>
      <c r="F98" s="27">
        <f t="shared" si="15"/>
        <v>46.393757327080891</v>
      </c>
      <c r="G98" s="27">
        <f t="shared" si="15"/>
        <v>0</v>
      </c>
      <c r="H98" s="27">
        <f t="shared" si="15"/>
        <v>2.7540298944900354</v>
      </c>
      <c r="I98" s="27">
        <f t="shared" si="15"/>
        <v>293.72482415005862</v>
      </c>
      <c r="J98">
        <v>0</v>
      </c>
      <c r="K98">
        <v>0</v>
      </c>
      <c r="L98">
        <v>0</v>
      </c>
      <c r="M98" s="1201">
        <f t="shared" si="16"/>
        <v>352.22809202813602</v>
      </c>
      <c r="N98" s="27">
        <f t="shared" si="17"/>
        <v>352.22809202813602</v>
      </c>
    </row>
    <row r="99" spans="1:14">
      <c r="A99" s="52" t="s">
        <v>125</v>
      </c>
      <c r="B99" s="53">
        <f t="shared" ref="B99:F99" si="18">SUM(B84:B98)</f>
        <v>6591.2624593886922</v>
      </c>
      <c r="C99" s="53">
        <f t="shared" si="18"/>
        <v>5994.3532406813711</v>
      </c>
      <c r="D99" s="53">
        <f t="shared" si="18"/>
        <v>2888.7356097666843</v>
      </c>
      <c r="E99" s="53">
        <f t="shared" si="18"/>
        <v>9723.3329758468262</v>
      </c>
      <c r="F99" s="53">
        <f t="shared" si="18"/>
        <v>4184.0809546018527</v>
      </c>
      <c r="G99" s="53">
        <f t="shared" ref="G99" si="19">SUM(G84:G98)</f>
        <v>0</v>
      </c>
      <c r="H99" s="53">
        <f t="shared" ref="H99:L99" si="20">SUM(H84:H98)</f>
        <v>5065.7548126338725</v>
      </c>
      <c r="I99" s="53">
        <f t="shared" si="20"/>
        <v>10932.86014473877</v>
      </c>
      <c r="J99" s="53">
        <f t="shared" si="20"/>
        <v>0</v>
      </c>
      <c r="K99" s="53">
        <f t="shared" si="20"/>
        <v>0</v>
      </c>
      <c r="L99" s="53">
        <f t="shared" si="20"/>
        <v>0</v>
      </c>
      <c r="M99" s="1201">
        <f t="shared" si="16"/>
        <v>45380.380197658065</v>
      </c>
      <c r="N99" s="1201">
        <f>SUM(N84:N98)</f>
        <v>50542.892641205079</v>
      </c>
    </row>
    <row r="101" spans="1:14">
      <c r="A101" s="106" t="s">
        <v>442</v>
      </c>
      <c r="B101" s="107"/>
      <c r="C101" s="107"/>
      <c r="D101" s="107"/>
      <c r="E101" s="107"/>
      <c r="F101" s="107"/>
      <c r="G101" s="107"/>
      <c r="H101" s="107"/>
      <c r="I101" s="107"/>
      <c r="J101" s="107"/>
      <c r="K101" s="107"/>
      <c r="L101" s="107"/>
    </row>
    <row r="102" spans="1:14">
      <c r="A102" s="535" t="s">
        <v>443</v>
      </c>
      <c r="B102" s="536"/>
      <c r="C102" s="536"/>
      <c r="D102" s="536"/>
      <c r="E102" s="536"/>
      <c r="F102" s="536"/>
      <c r="G102" s="536"/>
      <c r="H102" s="536"/>
      <c r="I102" s="536"/>
      <c r="J102" s="536"/>
      <c r="K102" s="536"/>
      <c r="L102" s="536"/>
    </row>
    <row r="104" spans="1:14">
      <c r="A104" s="45" t="s">
        <v>444</v>
      </c>
      <c r="B104" s="51"/>
      <c r="C104" s="51"/>
      <c r="D104" s="51"/>
      <c r="E104" s="51"/>
      <c r="F104" s="51"/>
      <c r="G104" s="51"/>
      <c r="H104" s="51"/>
      <c r="I104" s="51"/>
      <c r="J104" s="51"/>
    </row>
    <row r="105" spans="1:14">
      <c r="A105" s="58" t="s">
        <v>445</v>
      </c>
    </row>
    <row r="106" spans="1:14" s="33" customFormat="1" ht="30">
      <c r="A106" s="36" t="s">
        <v>114</v>
      </c>
      <c r="B106" s="37" t="s">
        <v>446</v>
      </c>
      <c r="D106" s="37" t="s">
        <v>447</v>
      </c>
      <c r="E106" s="57" t="s">
        <v>448</v>
      </c>
      <c r="F106" s="57" t="s">
        <v>449</v>
      </c>
      <c r="G106" s="57" t="s">
        <v>450</v>
      </c>
      <c r="H106" s="57" t="s">
        <v>451</v>
      </c>
      <c r="I106" s="57" t="s">
        <v>452</v>
      </c>
      <c r="J106" s="57" t="s">
        <v>453</v>
      </c>
    </row>
    <row r="107" spans="1:14">
      <c r="A107" t="s">
        <v>63</v>
      </c>
      <c r="B107" s="27">
        <f t="shared" ref="B107:B121" si="21">SUM(B84:F84)</f>
        <v>563.18452520515837</v>
      </c>
      <c r="D107" s="27">
        <f>B107*'Temperature Breakdown'!B25</f>
        <v>28.203293906987586</v>
      </c>
      <c r="E107" s="27">
        <f>($B107-$D107)*'Temperature Breakdown'!D25</f>
        <v>294.23967721399396</v>
      </c>
      <c r="F107" s="27">
        <f>($B107-$D107)*'Temperature Breakdown'!E25</f>
        <v>230.04192945821342</v>
      </c>
      <c r="G107" s="27">
        <f>($B107-$D107)*'Temperature Breakdown'!F25</f>
        <v>0</v>
      </c>
      <c r="H107" s="27">
        <f>($B107-$D107)*'Temperature Breakdown'!G25</f>
        <v>10.699624625963416</v>
      </c>
      <c r="I107" s="27">
        <f>($B107-$D107)*'Temperature Breakdown'!H25</f>
        <v>0</v>
      </c>
      <c r="J107" s="27">
        <f>($B107-$D107)*'Temperature Breakdown'!I25</f>
        <v>0</v>
      </c>
    </row>
    <row r="108" spans="1:14">
      <c r="A108" t="s">
        <v>64</v>
      </c>
      <c r="B108" s="27">
        <f t="shared" si="21"/>
        <v>195.29015240328252</v>
      </c>
      <c r="D108" s="27">
        <f>B108*'Temperature Breakdown'!B26</f>
        <v>8.4908761914470663</v>
      </c>
      <c r="E108" s="27">
        <f>($B108-$D108)*'Temperature Breakdown'!D26</f>
        <v>70.64408991283959</v>
      </c>
      <c r="F108" s="27">
        <f>($B108-$D108)*'Temperature Breakdown'!E26</f>
        <v>34.076716448340889</v>
      </c>
      <c r="G108" s="27">
        <f>($B108-$D108)*'Temperature Breakdown'!F26</f>
        <v>49.247081910392978</v>
      </c>
      <c r="H108" s="27">
        <f>($B108-$D108)*'Temperature Breakdown'!G26</f>
        <v>32.831387940261983</v>
      </c>
      <c r="I108" s="27">
        <f>($B108-$D108)*'Temperature Breakdown'!H26</f>
        <v>0</v>
      </c>
      <c r="J108" s="27">
        <f>($B108-$D108)*'Temperature Breakdown'!I26</f>
        <v>0</v>
      </c>
    </row>
    <row r="109" spans="1:14">
      <c r="A109" t="s">
        <v>65</v>
      </c>
      <c r="B109" s="27">
        <f t="shared" si="21"/>
        <v>27.757385697538101</v>
      </c>
      <c r="D109" s="27">
        <f>B109*'Temperature Breakdown'!B27</f>
        <v>3.2383616647127784</v>
      </c>
      <c r="E109" s="27">
        <f>($B109-$D109)*'Temperature Breakdown'!D27</f>
        <v>2.3076728501482657</v>
      </c>
      <c r="F109" s="27">
        <f>($B109-$D109)*'Temperature Breakdown'!E27</f>
        <v>4.1826570408937309</v>
      </c>
      <c r="G109" s="27">
        <f>($B109-$D109)*'Temperature Breakdown'!F27</f>
        <v>10.817216485069995</v>
      </c>
      <c r="H109" s="27">
        <f>($B109-$D109)*'Temperature Breakdown'!G27</f>
        <v>7.2114776567133303</v>
      </c>
      <c r="I109" s="27">
        <f>($B109-$D109)*'Temperature Breakdown'!H27</f>
        <v>0</v>
      </c>
      <c r="J109" s="27">
        <f>($B109-$D109)*'Temperature Breakdown'!I27</f>
        <v>0</v>
      </c>
    </row>
    <row r="110" spans="1:14">
      <c r="A110" t="s">
        <v>66</v>
      </c>
      <c r="B110" s="27">
        <f t="shared" si="21"/>
        <v>153.46049970691678</v>
      </c>
      <c r="D110" s="27">
        <f>B110*'Temperature Breakdown'!B28</f>
        <v>3.7922693502532976</v>
      </c>
      <c r="E110" s="27">
        <f>($B110-$D110)*'Temperature Breakdown'!D28</f>
        <v>49.39051601769895</v>
      </c>
      <c r="F110" s="27">
        <f>($B110-$D110)*'Temperature Breakdown'!E28</f>
        <v>14.96682303566635</v>
      </c>
      <c r="G110" s="27">
        <f>($B110-$D110)*'Temperature Breakdown'!F28</f>
        <v>22.450234553499524</v>
      </c>
      <c r="H110" s="27">
        <f>($B110-$D110)*'Temperature Breakdown'!G28</f>
        <v>0</v>
      </c>
      <c r="I110" s="27">
        <f>($B110-$D110)*'Temperature Breakdown'!H28</f>
        <v>62.860656749798665</v>
      </c>
      <c r="J110" s="27">
        <f>($B110-$D110)*'Temperature Breakdown'!I28</f>
        <v>0</v>
      </c>
    </row>
    <row r="111" spans="1:14">
      <c r="A111" t="s">
        <v>67</v>
      </c>
      <c r="B111" s="27">
        <f t="shared" si="21"/>
        <v>6988.7960332865678</v>
      </c>
      <c r="D111" s="27">
        <f>B111*'Temperature Breakdown'!B29</f>
        <v>235.57739438044609</v>
      </c>
      <c r="E111" s="27">
        <f>($B111-$D111)*'Temperature Breakdown'!D29</f>
        <v>540.25749111248979</v>
      </c>
      <c r="F111" s="27">
        <f>($B111-$D111)*'Temperature Breakdown'!E29</f>
        <v>1215.5793550031019</v>
      </c>
      <c r="G111" s="27">
        <f>($B111-$D111)*'Temperature Breakdown'!F29</f>
        <v>3106.4805738968162</v>
      </c>
      <c r="H111" s="27">
        <f>($B111-$D111)*'Temperature Breakdown'!G29</f>
        <v>1823.369032504653</v>
      </c>
      <c r="I111" s="27">
        <f>($B111-$D111)*'Temperature Breakdown'!H29</f>
        <v>0</v>
      </c>
      <c r="J111" s="27">
        <f>($B111-$D111)*'Temperature Breakdown'!I29</f>
        <v>67.532186389061224</v>
      </c>
    </row>
    <row r="112" spans="1:14">
      <c r="A112" t="s">
        <v>68</v>
      </c>
      <c r="B112" s="27">
        <f t="shared" si="21"/>
        <v>9378.3399806214948</v>
      </c>
      <c r="D112" s="27">
        <f>B112*'Temperature Breakdown'!B30</f>
        <v>1049.4902965272686</v>
      </c>
      <c r="E112" s="27">
        <f>($B112-$D112)*'Temperature Breakdown'!D30</f>
        <v>249.86549052282678</v>
      </c>
      <c r="F112" s="27">
        <f>($B112-$D112)*'Temperature Breakdown'!E30</f>
        <v>4747.4443199337084</v>
      </c>
      <c r="G112" s="27">
        <f>($B112-$D112)*'Temperature Breakdown'!F30</f>
        <v>1249.3274526141338</v>
      </c>
      <c r="H112" s="27">
        <f>($B112-$D112)*'Temperature Breakdown'!G30</f>
        <v>166.57699368188452</v>
      </c>
      <c r="I112" s="27">
        <f>($B112-$D112)*'Temperature Breakdown'!H30</f>
        <v>1915.6354273416721</v>
      </c>
      <c r="J112" s="27">
        <f>($B112-$D112)*'Temperature Breakdown'!I30</f>
        <v>0</v>
      </c>
    </row>
    <row r="113" spans="1:10">
      <c r="A113" t="s">
        <v>69</v>
      </c>
      <c r="B113" s="27">
        <f t="shared" si="21"/>
        <v>259.90373733461729</v>
      </c>
      <c r="D113" s="27">
        <f>B113*'Temperature Breakdown'!B31</f>
        <v>0</v>
      </c>
      <c r="E113" s="27">
        <f>($B113-$D113)*'Temperature Breakdown'!D31</f>
        <v>10.396149493384693</v>
      </c>
      <c r="F113" s="27">
        <f>($B113-$D113)*'Temperature Breakdown'!E31</f>
        <v>98.763420187154566</v>
      </c>
      <c r="G113" s="27">
        <f>($B113-$D113)*'Temperature Breakdown'!F31</f>
        <v>150.74416765407801</v>
      </c>
      <c r="H113" s="27">
        <f>($B113-$D113)*'Temperature Breakdown'!G31</f>
        <v>0</v>
      </c>
      <c r="I113" s="27">
        <f>($B113-$D113)*'Temperature Breakdown'!H31</f>
        <v>0</v>
      </c>
      <c r="J113" s="27">
        <f>($B113-$D113)*'Temperature Breakdown'!I31</f>
        <v>0</v>
      </c>
    </row>
    <row r="114" spans="1:10">
      <c r="A114" t="s">
        <v>70</v>
      </c>
      <c r="B114" s="27">
        <f t="shared" si="21"/>
        <v>2664.8965027873992</v>
      </c>
      <c r="D114" s="27">
        <f>B114*'Temperature Breakdown'!B32</f>
        <v>271.81944328431467</v>
      </c>
      <c r="E114" s="27">
        <f>($B114-$D114)*'Temperature Breakdown'!D32</f>
        <v>0</v>
      </c>
      <c r="F114" s="27">
        <f>($B114-$D114)*'Temperature Breakdown'!E32</f>
        <v>0</v>
      </c>
      <c r="G114" s="27">
        <f>($B114-$D114)*'Temperature Breakdown'!F32</f>
        <v>382.89232952049355</v>
      </c>
      <c r="H114" s="27">
        <f>($B114-$D114)*'Temperature Breakdown'!G32</f>
        <v>0</v>
      </c>
      <c r="I114" s="27">
        <f>($B114-$D114)*'Temperature Breakdown'!H32</f>
        <v>0</v>
      </c>
      <c r="J114" s="27">
        <f>($B114-$D114)*'Temperature Breakdown'!I32</f>
        <v>2010.1847299825909</v>
      </c>
    </row>
    <row r="115" spans="1:10">
      <c r="A115" t="s">
        <v>71</v>
      </c>
      <c r="B115" s="27">
        <f t="shared" si="21"/>
        <v>7726.5924581237978</v>
      </c>
      <c r="D115" s="27">
        <f>B115*'Temperature Breakdown'!B33</f>
        <v>1019.0949285295178</v>
      </c>
      <c r="E115" s="27">
        <f>($B115-$D115)*'Temperature Breakdown'!D33</f>
        <v>30.316373015115392</v>
      </c>
      <c r="F115" s="27">
        <f>($B115-$D115)*'Temperature Breakdown'!E33</f>
        <v>20.21091534341026</v>
      </c>
      <c r="G115" s="27">
        <f>($B115-$D115)*'Temperature Breakdown'!F33</f>
        <v>37.895466268894239</v>
      </c>
      <c r="H115" s="27">
        <f>($B115-$D115)*'Temperature Breakdown'!G33</f>
        <v>63.159110448157065</v>
      </c>
      <c r="I115" s="27">
        <f>($B115-$D115)*'Temperature Breakdown'!H33</f>
        <v>113.68639880668272</v>
      </c>
      <c r="J115" s="27">
        <f>($B115-$D115)*'Temperature Breakdown'!I33</f>
        <v>6442.2292657120206</v>
      </c>
    </row>
    <row r="116" spans="1:10">
      <c r="A116" t="s">
        <v>72</v>
      </c>
      <c r="B116" s="27">
        <f t="shared" si="21"/>
        <v>668.8176825175849</v>
      </c>
      <c r="D116" s="27">
        <f>B116*'Temperature Breakdown'!B34</f>
        <v>19.865871757948064</v>
      </c>
      <c r="E116" s="27">
        <f>($B116-$D116)*'Temperature Breakdown'!D34</f>
        <v>194.68554322789103</v>
      </c>
      <c r="F116" s="27">
        <f>($B116-$D116)*'Temperature Breakdown'!E34</f>
        <v>0</v>
      </c>
      <c r="G116" s="27">
        <f>($B116-$D116)*'Temperature Breakdown'!F34</f>
        <v>0</v>
      </c>
      <c r="H116" s="27">
        <f>($B116-$D116)*'Temperature Breakdown'!G34</f>
        <v>38.937108645578206</v>
      </c>
      <c r="I116" s="27">
        <f>($B116-$D116)*'Temperature Breakdown'!H34</f>
        <v>97.342771613945516</v>
      </c>
      <c r="J116" s="27">
        <f>($B116-$D116)*'Temperature Breakdown'!I34</f>
        <v>317.98638727222203</v>
      </c>
    </row>
    <row r="117" spans="1:10">
      <c r="A117" t="s">
        <v>73</v>
      </c>
      <c r="B117" s="27">
        <f t="shared" si="21"/>
        <v>193.47356528544054</v>
      </c>
      <c r="D117" s="27">
        <f>B117*'Temperature Breakdown'!B35</f>
        <v>36.276293491020098</v>
      </c>
      <c r="E117" s="27">
        <f>($B117-$D117)*'Temperature Breakdown'!D35</f>
        <v>40.944405676686259</v>
      </c>
      <c r="F117" s="27">
        <f>($B117-$D117)*'Temperature Breakdown'!E35</f>
        <v>15.719727179442044</v>
      </c>
      <c r="G117" s="27">
        <f>($B117-$D117)*'Temperature Breakdown'!F35</f>
        <v>16.45087728081144</v>
      </c>
      <c r="H117" s="27">
        <f>($B117-$D117)*'Temperature Breakdown'!G35</f>
        <v>19.192690160946679</v>
      </c>
      <c r="I117" s="27">
        <f>($B117-$D117)*'Temperature Breakdown'!H35</f>
        <v>24.67631592121716</v>
      </c>
      <c r="J117" s="27">
        <f>($B117-$D117)*'Temperature Breakdown'!I35</f>
        <v>40.213255575316857</v>
      </c>
    </row>
    <row r="118" spans="1:10">
      <c r="A118" t="s">
        <v>74</v>
      </c>
      <c r="B118" s="27">
        <f t="shared" si="21"/>
        <v>157.73085919587325</v>
      </c>
      <c r="D118" s="27">
        <f>B118*'Temperature Breakdown'!B36</f>
        <v>12.875988505785571</v>
      </c>
      <c r="E118" s="27">
        <f>($B118-$D118)*'Temperature Breakdown'!D36</f>
        <v>48.509538091564252</v>
      </c>
      <c r="F118" s="27">
        <f>($B118-$D118)*'Temperature Breakdown'!E36</f>
        <v>21.672085304796063</v>
      </c>
      <c r="G118" s="27">
        <f>($B118-$D118)*'Temperature Breakdown'!F36</f>
        <v>28.634102345715011</v>
      </c>
      <c r="H118" s="27">
        <f>($B118-$D118)*'Temperature Breakdown'!G36</f>
        <v>19.089401563810007</v>
      </c>
      <c r="I118" s="27">
        <f>($B118-$D118)*'Temperature Breakdown'!H36</f>
        <v>0</v>
      </c>
      <c r="J118" s="27">
        <f>($B118-$D118)*'Temperature Breakdown'!I36</f>
        <v>26.94974338420236</v>
      </c>
    </row>
    <row r="119" spans="1:10">
      <c r="A119" t="s">
        <v>75</v>
      </c>
      <c r="B119" s="27">
        <f t="shared" si="21"/>
        <v>106.69486465073342</v>
      </c>
      <c r="D119" s="27">
        <f>B119*'Temperature Breakdown'!B37</f>
        <v>8.2072972808256477</v>
      </c>
      <c r="E119" s="27">
        <f>($B119-$D119)*'Temperature Breakdown'!D37</f>
        <v>32.981883026201672</v>
      </c>
      <c r="F119" s="27">
        <f>($B119-$D119)*'Temperature Breakdown'!E37</f>
        <v>14.734961629761393</v>
      </c>
      <c r="G119" s="27">
        <f>($B119-$D119)*'Temperature Breakdown'!F37</f>
        <v>19.468472619632934</v>
      </c>
      <c r="H119" s="27">
        <f>($B119-$D119)*'Temperature Breakdown'!G37</f>
        <v>12.978981746421956</v>
      </c>
      <c r="I119" s="27">
        <f>($B119-$D119)*'Temperature Breakdown'!H37</f>
        <v>0</v>
      </c>
      <c r="J119" s="27">
        <f>($B119-$D119)*'Temperature Breakdown'!I37</f>
        <v>18.323268347889819</v>
      </c>
    </row>
    <row r="120" spans="1:10">
      <c r="A120" t="s">
        <v>76</v>
      </c>
      <c r="B120" s="27">
        <f t="shared" si="21"/>
        <v>241.07775548543327</v>
      </c>
      <c r="D120" s="27">
        <f>B120*'Temperature Breakdown'!B38</f>
        <v>0</v>
      </c>
      <c r="E120" s="27">
        <f>($B120-$D120)*'Temperature Breakdown'!D38</f>
        <v>80.733015790470674</v>
      </c>
      <c r="F120" s="27">
        <f>($B120-$D120)*'Temperature Breakdown'!E38</f>
        <v>36.068222332316758</v>
      </c>
      <c r="G120" s="27">
        <f>($B120-$D120)*'Temperature Breakdown'!F38</f>
        <v>47.654905154097278</v>
      </c>
      <c r="H120" s="27">
        <f>($B120-$D120)*'Temperature Breakdown'!G38</f>
        <v>31.769936769398186</v>
      </c>
      <c r="I120" s="27">
        <f>($B120-$D120)*'Temperature Breakdown'!H38</f>
        <v>0</v>
      </c>
      <c r="J120" s="27">
        <f>($B120-$D120)*'Temperature Breakdown'!I38</f>
        <v>44.851675439150377</v>
      </c>
    </row>
    <row r="121" spans="1:10">
      <c r="A121" t="s">
        <v>77</v>
      </c>
      <c r="B121" s="27">
        <f t="shared" si="21"/>
        <v>55.749237983587335</v>
      </c>
      <c r="D121" s="27">
        <f>B121*'Temperature Breakdown'!B39</f>
        <v>3.9820884273990953</v>
      </c>
      <c r="E121" s="27">
        <f>($B121-$D121)*'Temperature Breakdown'!D39</f>
        <v>17.335975665328153</v>
      </c>
      <c r="F121" s="27">
        <f>($B121-$D121)*'Temperature Breakdown'!E39</f>
        <v>7.7450076467785491</v>
      </c>
      <c r="G121" s="27">
        <f>($B121-$D121)*'Temperature Breakdown'!F39</f>
        <v>10.233041191339536</v>
      </c>
      <c r="H121" s="27">
        <f>($B121-$D121)*'Temperature Breakdown'!G39</f>
        <v>6.8220274608930245</v>
      </c>
      <c r="I121" s="27">
        <f>($B121-$D121)*'Temperature Breakdown'!H39</f>
        <v>0</v>
      </c>
      <c r="J121" s="27">
        <f>($B121-$D121)*'Temperature Breakdown'!I39</f>
        <v>9.6310975918489738</v>
      </c>
    </row>
    <row r="124" spans="1:10" ht="60">
      <c r="A124" s="36" t="s">
        <v>114</v>
      </c>
      <c r="B124" s="36" t="s">
        <v>454</v>
      </c>
      <c r="C124" s="37" t="s">
        <v>455</v>
      </c>
      <c r="E124" s="37" t="s">
        <v>456</v>
      </c>
      <c r="G124" s="37" t="s">
        <v>457</v>
      </c>
      <c r="H124" s="37" t="s">
        <v>458</v>
      </c>
      <c r="I124" s="37" t="s">
        <v>459</v>
      </c>
      <c r="J124" s="101"/>
    </row>
    <row r="125" spans="1:10">
      <c r="A125" t="s">
        <v>63</v>
      </c>
      <c r="B125" t="s">
        <v>460</v>
      </c>
      <c r="C125" s="50">
        <f>INDEX('Electrification Potential'!$B$41:$B$53,MATCH(B125,'Electrification Potential'!$A$41:$A$53,0))</f>
        <v>1</v>
      </c>
      <c r="E125" s="27">
        <f t="shared" ref="E125:E139" si="22">D107</f>
        <v>28.203293906987586</v>
      </c>
      <c r="G125" s="27">
        <f t="shared" ref="G125:G139" si="23">SUM(E107:J107)</f>
        <v>534.98123129817077</v>
      </c>
      <c r="H125" s="27">
        <f>C125*G125</f>
        <v>534.98123129817077</v>
      </c>
      <c r="I125" s="27">
        <f>G125-H125</f>
        <v>0</v>
      </c>
      <c r="J125" s="27"/>
    </row>
    <row r="126" spans="1:10">
      <c r="A126" t="s">
        <v>64</v>
      </c>
      <c r="B126" t="s">
        <v>461</v>
      </c>
      <c r="C126" s="50">
        <f>INDEX('Electrification Potential'!$B$41:$B$53,MATCH(B126,'Electrification Potential'!$A$41:$A$53,0))</f>
        <v>1</v>
      </c>
      <c r="E126" s="27">
        <f t="shared" si="22"/>
        <v>8.4908761914470663</v>
      </c>
      <c r="G126" s="27">
        <f t="shared" si="23"/>
        <v>186.79927621183543</v>
      </c>
      <c r="H126" s="27">
        <f t="shared" ref="H126:H139" si="24">C126*G126</f>
        <v>186.79927621183543</v>
      </c>
      <c r="I126" s="27">
        <f t="shared" ref="I126:I139" si="25">G126-H126</f>
        <v>0</v>
      </c>
      <c r="J126" s="27"/>
    </row>
    <row r="127" spans="1:10">
      <c r="A127" t="s">
        <v>65</v>
      </c>
      <c r="B127" t="s">
        <v>462</v>
      </c>
      <c r="C127" s="50">
        <f>INDEX('Electrification Potential'!$B$41:$B$53,MATCH(B127,'Electrification Potential'!$A$41:$A$53,0))</f>
        <v>1</v>
      </c>
      <c r="E127" s="27">
        <f t="shared" si="22"/>
        <v>3.2383616647127784</v>
      </c>
      <c r="G127" s="27">
        <f t="shared" si="23"/>
        <v>24.519024032825325</v>
      </c>
      <c r="H127" s="27">
        <f t="shared" si="24"/>
        <v>24.519024032825325</v>
      </c>
      <c r="I127" s="27">
        <f t="shared" si="25"/>
        <v>0</v>
      </c>
      <c r="J127" s="27"/>
    </row>
    <row r="128" spans="1:10">
      <c r="A128" t="s">
        <v>66</v>
      </c>
      <c r="B128" t="s">
        <v>463</v>
      </c>
      <c r="C128" s="50">
        <f>INDEX('Electrification Potential'!$B$41:$B$53,MATCH(B128,'Electrification Potential'!$A$41:$A$53,0))</f>
        <v>1</v>
      </c>
      <c r="E128" s="27">
        <f t="shared" si="22"/>
        <v>3.7922693502532976</v>
      </c>
      <c r="G128" s="27">
        <f t="shared" si="23"/>
        <v>149.66823035666349</v>
      </c>
      <c r="H128" s="27">
        <f t="shared" si="24"/>
        <v>149.66823035666349</v>
      </c>
      <c r="I128" s="27">
        <f t="shared" si="25"/>
        <v>0</v>
      </c>
      <c r="J128" s="27"/>
    </row>
    <row r="129" spans="1:10">
      <c r="A129" t="s">
        <v>67</v>
      </c>
      <c r="B129" t="s">
        <v>464</v>
      </c>
      <c r="C129" s="50">
        <f>INDEX('Electrification Potential'!$B$41:$B$53,MATCH(B129,'Electrification Potential'!$A$41:$A$53,0))</f>
        <v>0.3</v>
      </c>
      <c r="E129" s="27">
        <f t="shared" si="22"/>
        <v>235.57739438044609</v>
      </c>
      <c r="G129" s="27">
        <f t="shared" si="23"/>
        <v>6753.2186389061217</v>
      </c>
      <c r="H129" s="27">
        <f t="shared" si="24"/>
        <v>2025.9655916718364</v>
      </c>
      <c r="I129" s="27">
        <f t="shared" si="25"/>
        <v>4727.2530472342851</v>
      </c>
      <c r="J129" s="27"/>
    </row>
    <row r="130" spans="1:10">
      <c r="A130" t="s">
        <v>68</v>
      </c>
      <c r="B130" t="s">
        <v>68</v>
      </c>
      <c r="C130" s="50">
        <f>INDEX('Electrification Potential'!$B$41:$B$53,MATCH(B130,'Electrification Potential'!$A$41:$A$53,0))</f>
        <v>0.83291267036850081</v>
      </c>
      <c r="E130" s="27">
        <f t="shared" si="22"/>
        <v>1049.4902965272686</v>
      </c>
      <c r="G130" s="27">
        <f t="shared" si="23"/>
        <v>8328.8496840942262</v>
      </c>
      <c r="H130" s="27">
        <f t="shared" si="24"/>
        <v>6937.2044314767663</v>
      </c>
      <c r="I130" s="27">
        <f t="shared" si="25"/>
        <v>1391.6452526174598</v>
      </c>
      <c r="J130" s="27"/>
    </row>
    <row r="131" spans="1:10">
      <c r="A131" t="s">
        <v>69</v>
      </c>
      <c r="B131" t="s">
        <v>462</v>
      </c>
      <c r="C131" s="50">
        <f>INDEX('Electrification Potential'!$B$41:$B$53,MATCH(B131,'Electrification Potential'!$A$41:$A$53,0))</f>
        <v>1</v>
      </c>
      <c r="E131" s="27">
        <f t="shared" si="22"/>
        <v>0</v>
      </c>
      <c r="G131" s="27">
        <f t="shared" si="23"/>
        <v>259.90373733461729</v>
      </c>
      <c r="H131" s="27">
        <f t="shared" si="24"/>
        <v>259.90373733461729</v>
      </c>
      <c r="I131" s="27">
        <f t="shared" si="25"/>
        <v>0</v>
      </c>
      <c r="J131" s="27"/>
    </row>
    <row r="132" spans="1:10">
      <c r="A132" t="s">
        <v>70</v>
      </c>
      <c r="B132" t="s">
        <v>465</v>
      </c>
      <c r="C132" s="50">
        <f>INDEX('Electrification Potential'!$B$41:$B$53,MATCH(B132,'Electrification Potential'!$A$41:$A$53,0))</f>
        <v>0.29652173913043478</v>
      </c>
      <c r="E132" s="27">
        <f t="shared" si="22"/>
        <v>271.81944328431467</v>
      </c>
      <c r="G132" s="27">
        <f t="shared" si="23"/>
        <v>2393.0770595030845</v>
      </c>
      <c r="H132" s="27">
        <f t="shared" si="24"/>
        <v>709.59937155700152</v>
      </c>
      <c r="I132" s="27">
        <f t="shared" si="25"/>
        <v>1683.4776879460828</v>
      </c>
      <c r="J132" s="27"/>
    </row>
    <row r="133" spans="1:10">
      <c r="A133" t="s">
        <v>71</v>
      </c>
      <c r="B133" t="s">
        <v>466</v>
      </c>
      <c r="C133" s="50">
        <f>INDEX('Electrification Potential'!$B$41:$B$53,MATCH(B133,'Electrification Potential'!$A$41:$A$53,0))</f>
        <v>0.11333333333333333</v>
      </c>
      <c r="E133" s="27">
        <f t="shared" si="22"/>
        <v>1019.0949285295178</v>
      </c>
      <c r="G133" s="27">
        <f t="shared" si="23"/>
        <v>6707.4975295942804</v>
      </c>
      <c r="H133" s="27">
        <f t="shared" si="24"/>
        <v>760.1830533540184</v>
      </c>
      <c r="I133" s="27">
        <f t="shared" si="25"/>
        <v>5947.3144762402617</v>
      </c>
      <c r="J133" s="27"/>
    </row>
    <row r="134" spans="1:10">
      <c r="A134" t="s">
        <v>72</v>
      </c>
      <c r="B134" t="s">
        <v>467</v>
      </c>
      <c r="C134" s="50">
        <f>INDEX('Electrification Potential'!$B$41:$B$53,MATCH(B134,'Electrification Potential'!$A$41:$A$53,0))</f>
        <v>0.91594827586206895</v>
      </c>
      <c r="E134" s="27">
        <f t="shared" si="22"/>
        <v>19.865871757948064</v>
      </c>
      <c r="G134" s="27">
        <f t="shared" si="23"/>
        <v>648.95181075963683</v>
      </c>
      <c r="H134" s="27">
        <f t="shared" si="24"/>
        <v>594.40629218285699</v>
      </c>
      <c r="I134" s="27">
        <f t="shared" si="25"/>
        <v>54.545518576779841</v>
      </c>
      <c r="J134" s="27"/>
    </row>
    <row r="135" spans="1:10">
      <c r="A135" t="s">
        <v>73</v>
      </c>
      <c r="B135" t="s">
        <v>73</v>
      </c>
      <c r="C135" s="50">
        <f>INDEX('Electrification Potential'!$B$41:$B$53,MATCH(B135,'Electrification Potential'!$A$41:$A$53,0))</f>
        <v>1</v>
      </c>
      <c r="E135" s="27">
        <f t="shared" si="22"/>
        <v>36.276293491020098</v>
      </c>
      <c r="G135" s="27">
        <f t="shared" si="23"/>
        <v>157.19727179442043</v>
      </c>
      <c r="H135" s="27">
        <f t="shared" si="24"/>
        <v>157.19727179442043</v>
      </c>
      <c r="I135" s="27">
        <f t="shared" si="25"/>
        <v>0</v>
      </c>
      <c r="J135" s="27"/>
    </row>
    <row r="136" spans="1:10">
      <c r="A136" t="s">
        <v>74</v>
      </c>
      <c r="B136" t="s">
        <v>468</v>
      </c>
      <c r="C136" s="50">
        <f>INDEX('Electrification Potential'!$B$41:$B$53,MATCH(B136,'Electrification Potential'!$A$41:$A$53,0))</f>
        <v>1</v>
      </c>
      <c r="E136" s="27">
        <f t="shared" si="22"/>
        <v>12.875988505785571</v>
      </c>
      <c r="G136" s="27">
        <f t="shared" si="23"/>
        <v>144.85487069008769</v>
      </c>
      <c r="H136" s="27">
        <f t="shared" si="24"/>
        <v>144.85487069008769</v>
      </c>
      <c r="I136" s="27">
        <f t="shared" si="25"/>
        <v>0</v>
      </c>
      <c r="J136" s="27"/>
    </row>
    <row r="137" spans="1:10">
      <c r="A137" t="s">
        <v>75</v>
      </c>
      <c r="B137" t="s">
        <v>73</v>
      </c>
      <c r="C137" s="50">
        <f>INDEX('Electrification Potential'!$B$41:$B$53,MATCH(B137,'Electrification Potential'!$A$41:$A$53,0))</f>
        <v>1</v>
      </c>
      <c r="E137" s="27">
        <f t="shared" si="22"/>
        <v>8.2072972808256477</v>
      </c>
      <c r="G137" s="27">
        <f t="shared" si="23"/>
        <v>98.487567369907765</v>
      </c>
      <c r="H137" s="27">
        <f t="shared" si="24"/>
        <v>98.487567369907765</v>
      </c>
      <c r="I137" s="27">
        <f t="shared" si="25"/>
        <v>0</v>
      </c>
      <c r="J137" s="27"/>
    </row>
    <row r="138" spans="1:10">
      <c r="A138" t="s">
        <v>76</v>
      </c>
      <c r="B138" t="s">
        <v>73</v>
      </c>
      <c r="C138" s="50">
        <f>INDEX('Electrification Potential'!$B$41:$B$53,MATCH(B138,'Electrification Potential'!$A$41:$A$53,0))</f>
        <v>1</v>
      </c>
      <c r="E138" s="27">
        <f t="shared" si="22"/>
        <v>0</v>
      </c>
      <c r="G138" s="27">
        <f t="shared" si="23"/>
        <v>241.07775548543324</v>
      </c>
      <c r="H138" s="27">
        <f t="shared" si="24"/>
        <v>241.07775548543324</v>
      </c>
      <c r="I138" s="27">
        <f t="shared" si="25"/>
        <v>0</v>
      </c>
      <c r="J138" s="27"/>
    </row>
    <row r="139" spans="1:10">
      <c r="A139" t="s">
        <v>77</v>
      </c>
      <c r="B139" t="s">
        <v>73</v>
      </c>
      <c r="C139" s="50">
        <f>INDEX('Electrification Potential'!$B$41:$B$53,MATCH(B139,'Electrification Potential'!$A$41:$A$53,0))</f>
        <v>1</v>
      </c>
      <c r="E139" s="27">
        <f t="shared" si="22"/>
        <v>3.9820884273990953</v>
      </c>
      <c r="G139" s="27">
        <f t="shared" si="23"/>
        <v>51.767149556188244</v>
      </c>
      <c r="H139" s="27">
        <f t="shared" si="24"/>
        <v>51.767149556188244</v>
      </c>
      <c r="I139" s="27">
        <f t="shared" si="25"/>
        <v>0</v>
      </c>
      <c r="J139" s="27"/>
    </row>
    <row r="141" spans="1:10">
      <c r="A141" s="24" t="s">
        <v>469</v>
      </c>
      <c r="B141" s="25"/>
    </row>
    <row r="142" spans="1:10">
      <c r="A142" s="58" t="s">
        <v>470</v>
      </c>
    </row>
    <row r="144" spans="1:10">
      <c r="A144" t="s">
        <v>471</v>
      </c>
      <c r="B144" s="27">
        <f>I133</f>
        <v>5947.3144762402617</v>
      </c>
    </row>
    <row r="145" spans="1:12">
      <c r="A145" t="s">
        <v>472</v>
      </c>
      <c r="B145" s="50">
        <f>'Other Country-Specific Data'!$K188</f>
        <v>0.60120240480961917</v>
      </c>
      <c r="C145" t="s">
        <v>473</v>
      </c>
    </row>
    <row r="146" spans="1:12">
      <c r="A146" t="s">
        <v>474</v>
      </c>
      <c r="B146" s="27">
        <f>B144*B145</f>
        <v>3575.539765274706</v>
      </c>
      <c r="C146" t="s">
        <v>473</v>
      </c>
    </row>
    <row r="147" spans="1:12">
      <c r="B147" s="27"/>
    </row>
    <row r="149" spans="1:12">
      <c r="A149" s="45" t="s">
        <v>475</v>
      </c>
      <c r="B149" s="51"/>
      <c r="C149" s="51"/>
      <c r="D149" s="51"/>
      <c r="E149" s="51"/>
      <c r="F149" s="51"/>
      <c r="G149" s="51"/>
      <c r="H149" s="51"/>
      <c r="I149" s="51"/>
    </row>
    <row r="150" spans="1:12">
      <c r="A150" s="23"/>
      <c r="B150" s="106" t="s">
        <v>118</v>
      </c>
      <c r="C150" s="106"/>
      <c r="D150" s="106"/>
      <c r="E150" s="785"/>
      <c r="F150" s="535" t="s">
        <v>119</v>
      </c>
      <c r="G150" s="535"/>
      <c r="H150" s="535"/>
      <c r="I150" s="535"/>
      <c r="K150" s="45" t="s">
        <v>476</v>
      </c>
      <c r="L150" s="51"/>
    </row>
    <row r="151" spans="1:12">
      <c r="A151" s="36" t="s">
        <v>114</v>
      </c>
      <c r="B151" s="36" t="s">
        <v>132</v>
      </c>
      <c r="C151" s="37" t="s">
        <v>447</v>
      </c>
      <c r="D151" s="57" t="s">
        <v>448</v>
      </c>
      <c r="E151" s="786" t="s">
        <v>449</v>
      </c>
      <c r="F151" s="57" t="s">
        <v>450</v>
      </c>
      <c r="G151" s="57" t="s">
        <v>451</v>
      </c>
      <c r="H151" s="57" t="s">
        <v>452</v>
      </c>
      <c r="I151" s="57" t="s">
        <v>453</v>
      </c>
      <c r="K151" s="789" t="s">
        <v>118</v>
      </c>
      <c r="L151" s="788" t="s">
        <v>119</v>
      </c>
    </row>
    <row r="152" spans="1:12">
      <c r="A152" t="s">
        <v>63</v>
      </c>
      <c r="C152" s="27">
        <f>E125*'Achivable Interventions'!$R$18</f>
        <v>28.203293906987586</v>
      </c>
      <c r="D152" s="27">
        <f>MIN(E107,H125)*'Achivable Interventions'!$R$18</f>
        <v>294.23967721399396</v>
      </c>
      <c r="E152" s="787">
        <f>MIN(F107,$H125-SUM($D152:D152))*'Achivable Interventions'!$R$18</f>
        <v>230.04192945821342</v>
      </c>
      <c r="F152" s="27">
        <f>MIN(G107,$H125-SUM($D152:E152))*'Achivable Interventions'!$R$19</f>
        <v>0</v>
      </c>
      <c r="G152" s="27">
        <f>MIN(H107,$H125-SUM($D152:F152))*'Achivable Interventions'!$R$19</f>
        <v>10.699624625963416</v>
      </c>
      <c r="H152" s="27">
        <f>MIN(I107,$H125-SUM($D152:G152))*'Achivable Interventions'!$R$19</f>
        <v>0</v>
      </c>
      <c r="I152" s="27">
        <f>MIN(J107,$H125-SUM($D152:H152))*'Achivable Interventions'!$R$19</f>
        <v>0</v>
      </c>
      <c r="K152" s="678">
        <f t="shared" ref="K152:K166" si="26">IFERROR(SUM(B152:E152)/$B107,0)</f>
        <v>0.98100156494522706</v>
      </c>
      <c r="L152" s="678">
        <f t="shared" ref="L152:L166" si="27">IFERROR(SUM(F152:I152)/$B107,0)</f>
        <v>1.8998435054773083E-2</v>
      </c>
    </row>
    <row r="153" spans="1:12">
      <c r="A153" t="s">
        <v>64</v>
      </c>
      <c r="C153" s="27">
        <f>E126*'Achivable Interventions'!$R$18</f>
        <v>8.4908761914470663</v>
      </c>
      <c r="D153" s="27">
        <f>MIN(E108,H126)*'Achivable Interventions'!$R$18</f>
        <v>70.64408991283959</v>
      </c>
      <c r="E153" s="787">
        <f>MIN(F108,$H126-SUM($D153:D153))*'Achivable Interventions'!$R$18</f>
        <v>34.076716448340889</v>
      </c>
      <c r="F153" s="27">
        <f>MIN(G108,$H126-SUM($D153:E153))*'Achivable Interventions'!$R$19</f>
        <v>49.247081910392978</v>
      </c>
      <c r="G153" s="27">
        <f>MIN(H108,$H126-SUM($D153:F153))*'Achivable Interventions'!$R$19</f>
        <v>32.831387940261976</v>
      </c>
      <c r="H153" s="27">
        <f>MIN(I108,$H126-SUM($D153:G153))*'Achivable Interventions'!$R$19</f>
        <v>0</v>
      </c>
      <c r="I153" s="27">
        <f>MIN(J108,$H126-SUM($D153:H153))*'Achivable Interventions'!$R$19</f>
        <v>0</v>
      </c>
      <c r="K153" s="678">
        <f t="shared" si="26"/>
        <v>0.57971014492753625</v>
      </c>
      <c r="L153" s="678">
        <f t="shared" si="27"/>
        <v>0.42028985507246369</v>
      </c>
    </row>
    <row r="154" spans="1:12">
      <c r="A154" t="s">
        <v>65</v>
      </c>
      <c r="C154" s="27">
        <f>E127*'Achivable Interventions'!$R$18</f>
        <v>3.2383616647127784</v>
      </c>
      <c r="D154" s="27">
        <f>MIN(E109,H127)*'Achivable Interventions'!$R$18</f>
        <v>2.3076728501482657</v>
      </c>
      <c r="E154" s="787">
        <f>MIN(F109,$H127-SUM($D154:D154))*'Achivable Interventions'!$R$18</f>
        <v>4.1826570408937309</v>
      </c>
      <c r="F154" s="27">
        <f>MIN(G109,$H127-SUM($D154:E154))*'Achivable Interventions'!$R$19</f>
        <v>10.817216485069995</v>
      </c>
      <c r="G154" s="27">
        <f>MIN(H109,$H127-SUM($D154:F154))*'Achivable Interventions'!$R$19</f>
        <v>7.2114776567133303</v>
      </c>
      <c r="H154" s="27">
        <f>MIN(I109,$H127-SUM($D154:G154))*'Achivable Interventions'!$R$19</f>
        <v>0</v>
      </c>
      <c r="I154" s="27">
        <f>MIN(J109,$H127-SUM($D154:H154))*'Achivable Interventions'!$R$19</f>
        <v>0</v>
      </c>
      <c r="K154" s="678">
        <f t="shared" si="26"/>
        <v>0.35049019607843135</v>
      </c>
      <c r="L154" s="678">
        <f t="shared" si="27"/>
        <v>0.64950980392156865</v>
      </c>
    </row>
    <row r="155" spans="1:12">
      <c r="A155" t="s">
        <v>66</v>
      </c>
      <c r="C155" s="27">
        <f>E128*'Achivable Interventions'!$R$18</f>
        <v>3.7922693502532976</v>
      </c>
      <c r="D155" s="27">
        <f>MIN(E110,H128)*'Achivable Interventions'!$R$18</f>
        <v>49.39051601769895</v>
      </c>
      <c r="E155" s="787">
        <f>MIN(F110,$H128-SUM($D155:D155))*'Achivable Interventions'!$R$18</f>
        <v>14.96682303566635</v>
      </c>
      <c r="F155" s="27">
        <f>MIN(G110,$H128-SUM($D155:E155))*'Achivable Interventions'!$R$19</f>
        <v>22.450234553499524</v>
      </c>
      <c r="G155" s="27">
        <f>MIN(H110,$H128-SUM($D155:F155))*'Achivable Interventions'!$R$19</f>
        <v>0</v>
      </c>
      <c r="H155" s="27">
        <f>MIN(I110,$H128-SUM($D155:G155))*'Achivable Interventions'!$R$19</f>
        <v>62.860656749798665</v>
      </c>
      <c r="I155" s="27">
        <f>MIN(J110,$H128-SUM($D155:H155))*'Achivable Interventions'!$R$19</f>
        <v>0</v>
      </c>
      <c r="K155" s="678">
        <f t="shared" si="26"/>
        <v>0.44408566721581555</v>
      </c>
      <c r="L155" s="678">
        <f t="shared" si="27"/>
        <v>0.55591433278418456</v>
      </c>
    </row>
    <row r="156" spans="1:12">
      <c r="A156" t="s">
        <v>67</v>
      </c>
      <c r="C156" s="27">
        <f>E129*'Achivable Interventions'!$R$18</f>
        <v>235.57739438044609</v>
      </c>
      <c r="D156" s="27">
        <f>MIN(E111,H129)*'Achivable Interventions'!$R$18</f>
        <v>540.25749111248979</v>
      </c>
      <c r="E156" s="787">
        <f>MIN(F111,$H129-SUM($D156:D156))*'Achivable Interventions'!$R$18</f>
        <v>1215.5793550031019</v>
      </c>
      <c r="F156" s="27">
        <f>MIN(G111,$H129-SUM($D156:E156))*'Achivable Interventions'!$R$19</f>
        <v>270.12874555624467</v>
      </c>
      <c r="G156" s="27">
        <f>MIN(H111,$H129-SUM($D156:F156))*'Achivable Interventions'!$R$19</f>
        <v>0</v>
      </c>
      <c r="H156" s="27">
        <f>MIN(I111,$H129-SUM($D156:G156))*'Achivable Interventions'!$R$19</f>
        <v>0</v>
      </c>
      <c r="I156" s="27">
        <f>MIN(J111,$H129-SUM($D156:H156))*'Achivable Interventions'!$R$19</f>
        <v>0</v>
      </c>
      <c r="K156" s="678">
        <f t="shared" si="26"/>
        <v>0.28494382022471909</v>
      </c>
      <c r="L156" s="678">
        <f t="shared" si="27"/>
        <v>3.8651685393258396E-2</v>
      </c>
    </row>
    <row r="157" spans="1:12">
      <c r="A157" t="s">
        <v>68</v>
      </c>
      <c r="C157" s="27">
        <f>E130*'Achivable Interventions'!$R$18</f>
        <v>1049.4902965272686</v>
      </c>
      <c r="D157" s="27">
        <f>MIN(E112,H130)*'Achivable Interventions'!$R$18</f>
        <v>249.86549052282678</v>
      </c>
      <c r="E157" s="787">
        <f>MIN(F112,$H130-SUM($D157:D157))*'Achivable Interventions'!$R$18</f>
        <v>4747.4443199337084</v>
      </c>
      <c r="F157" s="27">
        <f>MIN(G112,$H130-SUM($D157:E157))*'Achivable Interventions'!$R$19</f>
        <v>1249.3274526141338</v>
      </c>
      <c r="G157" s="27">
        <f>MIN(H112,$H130-SUM($D157:F157))*'Achivable Interventions'!$R$19</f>
        <v>166.57699368188452</v>
      </c>
      <c r="H157" s="27">
        <f>MIN(I112,$H130-SUM($D157:G157))*'Achivable Interventions'!$R$19</f>
        <v>523.99017472421292</v>
      </c>
      <c r="I157" s="27">
        <f>MIN(J112,$H130-SUM($D157:H157))*'Achivable Interventions'!$R$19</f>
        <v>0</v>
      </c>
      <c r="K157" s="678">
        <f t="shared" si="26"/>
        <v>0.64476230542700874</v>
      </c>
      <c r="L157" s="678">
        <f t="shared" si="27"/>
        <v>0.20684840014636321</v>
      </c>
    </row>
    <row r="158" spans="1:12">
      <c r="A158" t="s">
        <v>69</v>
      </c>
      <c r="C158" s="27">
        <f>E131*'Achivable Interventions'!$R$18</f>
        <v>0</v>
      </c>
      <c r="D158" s="27">
        <f>MIN(E113,H131)*'Achivable Interventions'!$R$18</f>
        <v>10.396149493384693</v>
      </c>
      <c r="E158" s="787">
        <f>MIN(F113,$H131-SUM($D158:D158))*'Achivable Interventions'!$R$18</f>
        <v>98.763420187154566</v>
      </c>
      <c r="F158" s="27">
        <f>MIN(G113,$H131-SUM($D158:E158))*'Achivable Interventions'!$R$19</f>
        <v>150.74416765407801</v>
      </c>
      <c r="G158" s="27">
        <f>MIN(H113,$H131-SUM($D158:F158))*'Achivable Interventions'!$R$19</f>
        <v>0</v>
      </c>
      <c r="H158" s="27">
        <f>MIN(I113,$H131-SUM($D158:G158))*'Achivable Interventions'!$R$19</f>
        <v>0</v>
      </c>
      <c r="I158" s="27">
        <f>MIN(J113,$H131-SUM($D158:H158))*'Achivable Interventions'!$R$19</f>
        <v>0</v>
      </c>
      <c r="K158" s="678">
        <f t="shared" si="26"/>
        <v>0.42</v>
      </c>
      <c r="L158" s="678">
        <f t="shared" si="27"/>
        <v>0.57999999999999996</v>
      </c>
    </row>
    <row r="159" spans="1:12">
      <c r="A159" t="s">
        <v>70</v>
      </c>
      <c r="C159" s="27">
        <f>E132*'Achivable Interventions'!$R$18</f>
        <v>271.81944328431467</v>
      </c>
      <c r="D159" s="27">
        <f>MIN(E114,H132)*'Achivable Interventions'!$R$18</f>
        <v>0</v>
      </c>
      <c r="E159" s="787">
        <f>MIN(F114,$H132-SUM($D159:D159))*'Achivable Interventions'!$R$18</f>
        <v>0</v>
      </c>
      <c r="F159" s="27">
        <f>MIN(G114,$H132-SUM($D159:E159))*'Achivable Interventions'!$R$19</f>
        <v>382.89232952049355</v>
      </c>
      <c r="G159" s="27">
        <f>MIN(H114,$H132-SUM($D159:F159))*'Achivable Interventions'!$R$19</f>
        <v>0</v>
      </c>
      <c r="H159" s="27">
        <f>MIN(I114,$H132-SUM($D159:G159))*'Achivable Interventions'!$R$19</f>
        <v>0</v>
      </c>
      <c r="I159" s="27">
        <f>MIN(J114,$H132-SUM($D159:H159))*'Achivable Interventions'!$R$19</f>
        <v>326.70704203650797</v>
      </c>
      <c r="K159" s="678">
        <f t="shared" si="26"/>
        <v>0.10199999999999998</v>
      </c>
      <c r="L159" s="678">
        <f t="shared" si="27"/>
        <v>0.26627652173913041</v>
      </c>
    </row>
    <row r="160" spans="1:12">
      <c r="A160" t="s">
        <v>71</v>
      </c>
      <c r="B160" s="27">
        <f>B146*'Achivable Interventions'!$R$18</f>
        <v>3575.539765274706</v>
      </c>
      <c r="C160" s="27">
        <f>E133*'Achivable Interventions'!$R$18</f>
        <v>1019.0949285295178</v>
      </c>
      <c r="D160" s="27">
        <f>MIN(E115,H133)*'Achivable Interventions'!$R$18</f>
        <v>30.316373015115392</v>
      </c>
      <c r="E160" s="787">
        <f>MIN(F115,$H133-SUM($D160:D160))*'Achivable Interventions'!$R$18</f>
        <v>20.21091534341026</v>
      </c>
      <c r="F160" s="27">
        <f>MIN(G115,$H133-SUM($D160:E160))*'Achivable Interventions'!$R$19</f>
        <v>37.895466268894239</v>
      </c>
      <c r="G160" s="27">
        <f>MIN(H115,$H133-SUM($D160:F160))*'Achivable Interventions'!$R$19</f>
        <v>63.159110448157065</v>
      </c>
      <c r="H160" s="27">
        <f>MIN(I115,$H133-SUM($D160:G160))*'Achivable Interventions'!$R$19</f>
        <v>113.68639880668272</v>
      </c>
      <c r="I160" s="27">
        <f>MIN(J115,$H133-SUM($D160:H160))*'Achivable Interventions'!$R$19</f>
        <v>494.9147894717587</v>
      </c>
      <c r="K160" s="678">
        <f t="shared" si="26"/>
        <v>0.6011915352515832</v>
      </c>
      <c r="L160" s="678">
        <f t="shared" si="27"/>
        <v>9.1845890519223039E-2</v>
      </c>
    </row>
    <row r="161" spans="1:12">
      <c r="A161" t="s">
        <v>72</v>
      </c>
      <c r="C161" s="27">
        <f>E134*'Achivable Interventions'!$R$18</f>
        <v>19.865871757948064</v>
      </c>
      <c r="D161" s="27">
        <f>MIN(E116,H134)*'Achivable Interventions'!$R$18</f>
        <v>194.68554322789103</v>
      </c>
      <c r="E161" s="787">
        <f>MIN(F116,$H134-SUM($D161:D161))*'Achivable Interventions'!$R$18</f>
        <v>0</v>
      </c>
      <c r="F161" s="27">
        <f>MIN(G116,$H134-SUM($D161:E161))*'Achivable Interventions'!$R$19</f>
        <v>0</v>
      </c>
      <c r="G161" s="27">
        <f>MIN(H116,$H134-SUM($D161:F161))*'Achivable Interventions'!$R$19</f>
        <v>38.937108645578206</v>
      </c>
      <c r="H161" s="27">
        <f>MIN(I116,$H134-SUM($D161:G161))*'Achivable Interventions'!$R$19</f>
        <v>97.342771613945516</v>
      </c>
      <c r="I161" s="27">
        <f>MIN(J116,$H134-SUM($D161:H161))*'Achivable Interventions'!$R$19</f>
        <v>263.44086869544225</v>
      </c>
      <c r="K161" s="678">
        <f t="shared" si="26"/>
        <v>0.32079207920792074</v>
      </c>
      <c r="L161" s="678">
        <f t="shared" si="27"/>
        <v>0.59765278251963128</v>
      </c>
    </row>
    <row r="162" spans="1:12">
      <c r="A162" t="s">
        <v>73</v>
      </c>
      <c r="C162" s="27">
        <f>E135*'Achivable Interventions'!$R$18</f>
        <v>36.276293491020098</v>
      </c>
      <c r="D162" s="27">
        <f>MIN(E117,H135)*'Achivable Interventions'!$R$18</f>
        <v>40.944405676686259</v>
      </c>
      <c r="E162" s="787">
        <f>MIN(F117,$H135-SUM($D162:D162))*'Achivable Interventions'!$R$18</f>
        <v>15.719727179442044</v>
      </c>
      <c r="F162" s="27">
        <f>MIN(G117,$H135-SUM($D162:E162))*'Achivable Interventions'!$R$19</f>
        <v>16.45087728081144</v>
      </c>
      <c r="G162" s="27">
        <f>MIN(H117,$H135-SUM($D162:F162))*'Achivable Interventions'!$R$19</f>
        <v>19.192690160946679</v>
      </c>
      <c r="H162" s="27">
        <f>MIN(I117,$H135-SUM($D162:G162))*'Achivable Interventions'!$R$19</f>
        <v>24.67631592121716</v>
      </c>
      <c r="I162" s="27">
        <f>MIN(J117,$H135-SUM($D162:H162))*'Achivable Interventions'!$R$19</f>
        <v>40.21325557531685</v>
      </c>
      <c r="K162" s="678">
        <f t="shared" si="26"/>
        <v>0.48037790697674421</v>
      </c>
      <c r="L162" s="678">
        <f t="shared" si="27"/>
        <v>0.51962209302325568</v>
      </c>
    </row>
    <row r="163" spans="1:12">
      <c r="A163" t="s">
        <v>74</v>
      </c>
      <c r="C163" s="27">
        <f>E136*'Achivable Interventions'!$R$18</f>
        <v>12.875988505785571</v>
      </c>
      <c r="D163" s="27">
        <f>MIN(E118,H136)*'Achivable Interventions'!$R$18</f>
        <v>48.509538091564252</v>
      </c>
      <c r="E163" s="787">
        <f>MIN(F118,$H136-SUM($D163:D163))*'Achivable Interventions'!$R$18</f>
        <v>21.672085304796063</v>
      </c>
      <c r="F163" s="27">
        <f>MIN(G118,$H136-SUM($D163:E163))*'Achivable Interventions'!$R$19</f>
        <v>28.634102345715011</v>
      </c>
      <c r="G163" s="27">
        <f>MIN(H118,$H136-SUM($D163:F163))*'Achivable Interventions'!$R$19</f>
        <v>19.089401563810007</v>
      </c>
      <c r="H163" s="27">
        <f>MIN(I118,$H136-SUM($D163:G163))*'Achivable Interventions'!$R$19</f>
        <v>0</v>
      </c>
      <c r="I163" s="27">
        <f>MIN(J118,$H136-SUM($D163:H163))*'Achivable Interventions'!$R$19</f>
        <v>26.94974338420235</v>
      </c>
      <c r="K163" s="678">
        <f t="shared" si="26"/>
        <v>0.52657807308970095</v>
      </c>
      <c r="L163" s="678">
        <f t="shared" si="27"/>
        <v>0.473421926910299</v>
      </c>
    </row>
    <row r="164" spans="1:12">
      <c r="A164" t="s">
        <v>75</v>
      </c>
      <c r="C164" s="27">
        <f>E137*'Achivable Interventions'!$R$18</f>
        <v>8.2072972808256477</v>
      </c>
      <c r="D164" s="27">
        <f>MIN(E119,H137)*'Achivable Interventions'!$R$18</f>
        <v>32.981883026201672</v>
      </c>
      <c r="E164" s="787">
        <f>MIN(F119,$H137-SUM($D164:D164))*'Achivable Interventions'!$R$18</f>
        <v>14.734961629761393</v>
      </c>
      <c r="F164" s="27">
        <f>MIN(G119,$H137-SUM($D164:E164))*'Achivable Interventions'!$R$19</f>
        <v>19.468472619632934</v>
      </c>
      <c r="G164" s="27">
        <f>MIN(H119,$H137-SUM($D164:F164))*'Achivable Interventions'!$R$19</f>
        <v>12.978981746421956</v>
      </c>
      <c r="H164" s="27">
        <f>MIN(I119,$H137-SUM($D164:G164))*'Achivable Interventions'!$R$19</f>
        <v>0</v>
      </c>
      <c r="I164" s="27">
        <f>MIN(J119,$H137-SUM($D164:H164))*'Achivable Interventions'!$R$19</f>
        <v>18.323268347889819</v>
      </c>
      <c r="K164" s="678">
        <f t="shared" si="26"/>
        <v>0.52415026833631484</v>
      </c>
      <c r="L164" s="678">
        <f t="shared" si="27"/>
        <v>0.47584973166368516</v>
      </c>
    </row>
    <row r="165" spans="1:12">
      <c r="A165" t="s">
        <v>76</v>
      </c>
      <c r="C165" s="27">
        <f>E138*'Achivable Interventions'!$R$18</f>
        <v>0</v>
      </c>
      <c r="D165" s="27">
        <f>MIN(E120,H138)*'Achivable Interventions'!$R$18</f>
        <v>80.733015790470674</v>
      </c>
      <c r="E165" s="787">
        <f>MIN(F120,$H138-SUM($D165:D165))*'Achivable Interventions'!$R$18</f>
        <v>36.068222332316758</v>
      </c>
      <c r="F165" s="27">
        <f>MIN(G120,$H138-SUM($D165:E165))*'Achivable Interventions'!$R$19</f>
        <v>47.654905154097278</v>
      </c>
      <c r="G165" s="27">
        <f>MIN(H120,$H138-SUM($D165:F165))*'Achivable Interventions'!$R$19</f>
        <v>31.769936769398186</v>
      </c>
      <c r="H165" s="27">
        <f>MIN(I120,$H138-SUM($D165:G165))*'Achivable Interventions'!$R$19</f>
        <v>0</v>
      </c>
      <c r="I165" s="27">
        <f>MIN(J120,$H138-SUM($D165:H165))*'Achivable Interventions'!$R$19</f>
        <v>44.85167543915037</v>
      </c>
      <c r="K165" s="678">
        <f t="shared" si="26"/>
        <v>0.48449612403100767</v>
      </c>
      <c r="L165" s="678">
        <f t="shared" si="27"/>
        <v>0.51550387596899228</v>
      </c>
    </row>
    <row r="166" spans="1:12">
      <c r="A166" t="s">
        <v>77</v>
      </c>
      <c r="C166" s="27">
        <f>E139*'Achivable Interventions'!$R$18</f>
        <v>3.9820884273990953</v>
      </c>
      <c r="D166" s="27">
        <f>MIN(E121,H139)*'Achivable Interventions'!$R$18</f>
        <v>17.335975665328153</v>
      </c>
      <c r="E166" s="787">
        <f>MIN(F121,$H139-SUM($D166:D166))*'Achivable Interventions'!$R$18</f>
        <v>7.7450076467785491</v>
      </c>
      <c r="F166" s="27">
        <f>MIN(G121,$H139-SUM($D166:E166))*'Achivable Interventions'!$R$19</f>
        <v>10.233041191339536</v>
      </c>
      <c r="G166" s="27">
        <f>MIN(H121,$H139-SUM($D166:F166))*'Achivable Interventions'!$R$19</f>
        <v>6.8220274608930245</v>
      </c>
      <c r="H166" s="27">
        <f>MIN(I121,$H139-SUM($D166:G166))*'Achivable Interventions'!$R$19</f>
        <v>0</v>
      </c>
      <c r="I166" s="27">
        <f>MIN(J121,$H139-SUM($D166:H166))*'Achivable Interventions'!$R$19</f>
        <v>9.6310975918489738</v>
      </c>
      <c r="K166" s="678">
        <f t="shared" si="26"/>
        <v>0.52131782945736427</v>
      </c>
      <c r="L166" s="678">
        <f t="shared" si="27"/>
        <v>0.47868217054263562</v>
      </c>
    </row>
    <row r="167" spans="1:12">
      <c r="C167" s="27"/>
      <c r="D167" s="27"/>
      <c r="E167" s="27"/>
      <c r="F167" s="27"/>
      <c r="G167" s="27"/>
      <c r="H167" s="27"/>
      <c r="I167" s="27"/>
    </row>
    <row r="169" spans="1:12">
      <c r="A169" s="45" t="s">
        <v>477</v>
      </c>
      <c r="B169" s="45"/>
      <c r="C169" s="51"/>
      <c r="D169" s="51"/>
      <c r="E169" s="51"/>
      <c r="F169" s="51"/>
      <c r="G169" s="51"/>
      <c r="H169" s="51"/>
      <c r="I169" s="51"/>
    </row>
    <row r="170" spans="1:12">
      <c r="A170" s="23"/>
      <c r="B170" s="106" t="s">
        <v>118</v>
      </c>
      <c r="C170" s="106"/>
      <c r="D170" s="106"/>
      <c r="E170" s="785"/>
      <c r="F170" s="535" t="s">
        <v>119</v>
      </c>
      <c r="G170" s="535"/>
      <c r="H170" s="535"/>
      <c r="I170" s="535"/>
    </row>
    <row r="171" spans="1:12">
      <c r="A171" s="36" t="s">
        <v>114</v>
      </c>
      <c r="B171" s="36" t="s">
        <v>132</v>
      </c>
      <c r="C171" s="37" t="s">
        <v>447</v>
      </c>
      <c r="D171" s="57" t="s">
        <v>448</v>
      </c>
      <c r="E171" s="786" t="s">
        <v>449</v>
      </c>
      <c r="F171" s="57" t="s">
        <v>450</v>
      </c>
      <c r="G171" s="57" t="s">
        <v>451</v>
      </c>
      <c r="H171" s="57" t="s">
        <v>452</v>
      </c>
      <c r="I171" s="57" t="s">
        <v>453</v>
      </c>
      <c r="J171" s="110"/>
    </row>
    <row r="172" spans="1:12">
      <c r="A172" t="s">
        <v>63</v>
      </c>
      <c r="C172" s="27">
        <f>C152*'Equip Efficiency by Temperature'!B$24</f>
        <v>12.63272539583819</v>
      </c>
      <c r="D172" s="27">
        <f>D152*'Equip Efficiency by Temperature'!C$24</f>
        <v>59.688620234838773</v>
      </c>
      <c r="E172" s="787">
        <f>E152*'Equip Efficiency by Temperature'!D$24</f>
        <v>77.776080912062625</v>
      </c>
      <c r="F172" s="27">
        <f>F152*'Equip Efficiency by Temperature'!E$24</f>
        <v>0</v>
      </c>
      <c r="G172" s="27">
        <f>G152*'Equip Efficiency by Temperature'!F$24</f>
        <v>7.2054946849796053</v>
      </c>
      <c r="H172" s="27">
        <f>H152*'Equip Efficiency by Temperature'!G$24</f>
        <v>0</v>
      </c>
      <c r="I172" s="27">
        <f>I152*'Equip Efficiency by Temperature'!H$24</f>
        <v>0</v>
      </c>
      <c r="J172" s="53"/>
    </row>
    <row r="173" spans="1:12">
      <c r="A173" t="s">
        <v>64</v>
      </c>
      <c r="C173" s="27">
        <f>C153*'Equip Efficiency by Temperature'!B$24</f>
        <v>3.8032049607523319</v>
      </c>
      <c r="D173" s="27">
        <f>D153*'Equip Efficiency by Temperature'!C$24</f>
        <v>14.330658239461744</v>
      </c>
      <c r="E173" s="787">
        <f>E153*'Equip Efficiency by Temperature'!D$24</f>
        <v>11.521175561105728</v>
      </c>
      <c r="F173" s="27">
        <f>F153*'Equip Efficiency by Temperature'!E$24</f>
        <v>35.31861429937274</v>
      </c>
      <c r="G173" s="27">
        <f>G153*'Equip Efficiency by Temperature'!F$24</f>
        <v>22.109784181588545</v>
      </c>
      <c r="H173" s="27">
        <f>H153*'Equip Efficiency by Temperature'!G$24</f>
        <v>0</v>
      </c>
      <c r="I173" s="27">
        <f>I153*'Equip Efficiency by Temperature'!H$24</f>
        <v>0</v>
      </c>
      <c r="J173" s="53"/>
    </row>
    <row r="174" spans="1:12">
      <c r="A174" t="s">
        <v>65</v>
      </c>
      <c r="C174" s="27">
        <f>C154*'Equip Efficiency by Temperature'!B$24</f>
        <v>1.4505161623192655</v>
      </c>
      <c r="D174" s="27">
        <f>D154*'Equip Efficiency by Temperature'!C$24</f>
        <v>0.46812792103007672</v>
      </c>
      <c r="E174" s="787">
        <f>E154*'Equip Efficiency by Temperature'!D$24</f>
        <v>1.4141364281116899</v>
      </c>
      <c r="F174" s="27">
        <f>F154*'Equip Efficiency by Temperature'!E$24</f>
        <v>7.7578017216158548</v>
      </c>
      <c r="G174" s="27">
        <f>G154*'Equip Efficiency by Temperature'!F$24</f>
        <v>4.8564567209401783</v>
      </c>
      <c r="H174" s="27">
        <f>H154*'Equip Efficiency by Temperature'!G$24</f>
        <v>0</v>
      </c>
      <c r="I174" s="27">
        <f>I154*'Equip Efficiency by Temperature'!H$24</f>
        <v>0</v>
      </c>
      <c r="J174" s="53"/>
    </row>
    <row r="175" spans="1:12">
      <c r="A175" t="s">
        <v>66</v>
      </c>
      <c r="C175" s="27">
        <f>C155*'Equip Efficiency by Temperature'!B$24</f>
        <v>1.698620646467623</v>
      </c>
      <c r="D175" s="27">
        <f>D155*'Equip Efficiency by Temperature'!C$24</f>
        <v>10.019218963590358</v>
      </c>
      <c r="E175" s="787">
        <f>E155*'Equip Efficiency by Temperature'!D$24</f>
        <v>5.0602115977729083</v>
      </c>
      <c r="F175" s="27">
        <f>F155*'Equip Efficiency by Temperature'!E$24</f>
        <v>16.10067326564107</v>
      </c>
      <c r="G175" s="27">
        <f>G155*'Equip Efficiency by Temperature'!F$24</f>
        <v>0</v>
      </c>
      <c r="H175" s="27">
        <f>H155*'Equip Efficiency by Temperature'!G$24</f>
        <v>32.17322704557877</v>
      </c>
      <c r="I175" s="27">
        <f>I155*'Equip Efficiency by Temperature'!H$24</f>
        <v>0</v>
      </c>
      <c r="J175" s="53"/>
    </row>
    <row r="176" spans="1:12">
      <c r="A176" t="s">
        <v>67</v>
      </c>
      <c r="C176" s="27">
        <f>C156*'Equip Efficiency by Temperature'!B$24</f>
        <v>105.51904123290815</v>
      </c>
      <c r="D176" s="27">
        <f>D156*'Equip Efficiency by Temperature'!C$24</f>
        <v>109.59509105424792</v>
      </c>
      <c r="E176" s="787">
        <f>E156*'Equip Efficiency by Temperature'!D$24</f>
        <v>410.98159145342964</v>
      </c>
      <c r="F176" s="27">
        <f>F156*'Equip Efficiency by Temperature'!E$24</f>
        <v>193.72869630801384</v>
      </c>
      <c r="G176" s="27">
        <f>G156*'Equip Efficiency by Temperature'!F$24</f>
        <v>0</v>
      </c>
      <c r="H176" s="27">
        <f>H156*'Equip Efficiency by Temperature'!G$24</f>
        <v>0</v>
      </c>
      <c r="I176" s="27">
        <f>I156*'Equip Efficiency by Temperature'!H$24</f>
        <v>0</v>
      </c>
      <c r="J176" s="53"/>
    </row>
    <row r="177" spans="1:14">
      <c r="A177" t="s">
        <v>68</v>
      </c>
      <c r="C177" s="27">
        <f>C157*'Equip Efficiency by Temperature'!B$24</f>
        <v>470.08419531950574</v>
      </c>
      <c r="D177" s="27">
        <f>D157*'Equip Efficiency by Temperature'!C$24</f>
        <v>50.686999506059145</v>
      </c>
      <c r="E177" s="787">
        <f>E157*'Equip Efficiency by Temperature'!D$24</f>
        <v>1605.0883176918726</v>
      </c>
      <c r="F177" s="27">
        <f>F157*'Equip Efficiency by Temperature'!E$24</f>
        <v>895.98231450104538</v>
      </c>
      <c r="G177" s="27">
        <f>G157*'Equip Efficiency by Temperature'!F$24</f>
        <v>112.17866837142667</v>
      </c>
      <c r="H177" s="27">
        <f>H157*'Equip Efficiency by Temperature'!G$24</f>
        <v>268.18769851793809</v>
      </c>
      <c r="I177" s="27">
        <f>I157*'Equip Efficiency by Temperature'!H$24</f>
        <v>0</v>
      </c>
      <c r="J177" s="53"/>
    </row>
    <row r="178" spans="1:14">
      <c r="A178" t="s">
        <v>69</v>
      </c>
      <c r="C178" s="27">
        <f>C158*'Equip Efficiency by Temperature'!B$24</f>
        <v>0</v>
      </c>
      <c r="D178" s="27">
        <f>D158*'Equip Efficiency by Temperature'!C$24</f>
        <v>2.1089331829437516</v>
      </c>
      <c r="E178" s="787">
        <f>E158*'Equip Efficiency by Temperature'!D$24</f>
        <v>33.391442063276067</v>
      </c>
      <c r="F178" s="27">
        <f>F158*'Equip Efficiency by Temperature'!E$24</f>
        <v>108.10945357009635</v>
      </c>
      <c r="G178" s="27">
        <f>G158*'Equip Efficiency by Temperature'!F$24</f>
        <v>0</v>
      </c>
      <c r="H178" s="27">
        <f>H158*'Equip Efficiency by Temperature'!G$24</f>
        <v>0</v>
      </c>
      <c r="I178" s="27">
        <f>I158*'Equip Efficiency by Temperature'!H$24</f>
        <v>0</v>
      </c>
      <c r="J178" s="53"/>
    </row>
    <row r="179" spans="1:14">
      <c r="A179" t="s">
        <v>70</v>
      </c>
      <c r="C179" s="27">
        <f>C159*'Equip Efficiency by Temperature'!B$24</f>
        <v>121.75245897109929</v>
      </c>
      <c r="D179" s="27">
        <f>D159*'Equip Efficiency by Temperature'!C$24</f>
        <v>0</v>
      </c>
      <c r="E179" s="787">
        <f>E159*'Equip Efficiency by Temperature'!D$24</f>
        <v>0</v>
      </c>
      <c r="F179" s="27">
        <f>F159*'Equip Efficiency by Temperature'!E$24</f>
        <v>274.59954945409129</v>
      </c>
      <c r="G179" s="27">
        <f>G159*'Equip Efficiency by Temperature'!F$24</f>
        <v>0</v>
      </c>
      <c r="H179" s="27">
        <f>H159*'Equip Efficiency by Temperature'!G$24</f>
        <v>0</v>
      </c>
      <c r="I179" s="27">
        <f>I159*'Equip Efficiency by Temperature'!H$24</f>
        <v>145.20312979400356</v>
      </c>
      <c r="J179" s="53"/>
    </row>
    <row r="180" spans="1:14">
      <c r="A180" t="s">
        <v>71</v>
      </c>
      <c r="B180" s="27">
        <f>B160*('Other Technical Data'!B7/'Other Technical Data'!B4)</f>
        <v>618.32642557382133</v>
      </c>
      <c r="C180" s="27">
        <f>C160*'Equip Efficiency by Temperature'!B$24</f>
        <v>456.46960340384652</v>
      </c>
      <c r="D180" s="27">
        <f>D160*'Equip Efficiency by Temperature'!C$24</f>
        <v>6.1498928116376934</v>
      </c>
      <c r="E180" s="787">
        <f>E160*'Equip Efficiency by Temperature'!D$24</f>
        <v>6.8332142351529921</v>
      </c>
      <c r="F180" s="27">
        <f>F160*'Equip Efficiency by Temperature'!E$24</f>
        <v>27.177556617085767</v>
      </c>
      <c r="G180" s="27">
        <f>G160*'Equip Efficiency by Temperature'!F$24</f>
        <v>42.533514076551832</v>
      </c>
      <c r="H180" s="27">
        <f>H160*'Equip Efficiency by Temperature'!G$24</f>
        <v>58.186765934693064</v>
      </c>
      <c r="I180" s="27">
        <f>I160*'Equip Efficiency by Temperature'!H$24</f>
        <v>219.96212865411499</v>
      </c>
      <c r="J180" s="53"/>
    </row>
    <row r="181" spans="1:14">
      <c r="A181" t="s">
        <v>72</v>
      </c>
      <c r="C181" s="27">
        <f>C161*'Equip Efficiency by Temperature'!B$24</f>
        <v>8.898255058247571</v>
      </c>
      <c r="D181" s="27">
        <f>D161*'Equip Efficiency by Temperature'!C$24</f>
        <v>39.49335305480075</v>
      </c>
      <c r="E181" s="787">
        <f>E161*'Equip Efficiency by Temperature'!D$24</f>
        <v>0</v>
      </c>
      <c r="F181" s="27">
        <f>F161*'Equip Efficiency by Temperature'!E$24</f>
        <v>0</v>
      </c>
      <c r="G181" s="27">
        <f>G161*'Equip Efficiency by Temperature'!F$24</f>
        <v>26.221586195966655</v>
      </c>
      <c r="H181" s="27">
        <f>H161*'Equip Efficiency by Temperature'!G$24</f>
        <v>49.821800380592116</v>
      </c>
      <c r="I181" s="27">
        <f>I161*'Equip Efficiency by Temperature'!H$24</f>
        <v>117.08483053130767</v>
      </c>
      <c r="J181" s="53"/>
    </row>
    <row r="182" spans="1:14">
      <c r="A182" t="s">
        <v>73</v>
      </c>
      <c r="C182" s="27">
        <f>C162*'Equip Efficiency by Temperature'!B$24</f>
        <v>16.24875645951942</v>
      </c>
      <c r="D182" s="27">
        <f>D162*'Equip Efficiency by Temperature'!C$24</f>
        <v>8.3058651515563557</v>
      </c>
      <c r="E182" s="787">
        <f>E162*'Equip Efficiency by Temperature'!D$24</f>
        <v>5.314764903525643</v>
      </c>
      <c r="F182" s="27">
        <f>F162*'Equip Efficiency by Temperature'!E$24</f>
        <v>11.798103908460728</v>
      </c>
      <c r="G182" s="27">
        <f>G162*'Equip Efficiency by Temperature'!F$24</f>
        <v>12.925016697275909</v>
      </c>
      <c r="H182" s="27">
        <f>H162*'Equip Efficiency by Temperature'!G$24</f>
        <v>12.62978714876842</v>
      </c>
      <c r="I182" s="27">
        <f>I162*'Equip Efficiency by Temperature'!H$24</f>
        <v>17.872558033474157</v>
      </c>
      <c r="J182" s="53"/>
    </row>
    <row r="183" spans="1:14">
      <c r="A183" t="s">
        <v>74</v>
      </c>
      <c r="C183" s="27">
        <f>C163*'Equip Efficiency by Temperature'!B$24</f>
        <v>5.7673698515497875</v>
      </c>
      <c r="D183" s="27">
        <f>D163*'Equip Efficiency by Temperature'!C$24</f>
        <v>9.8405062985744625</v>
      </c>
      <c r="E183" s="787">
        <f>E163*'Equip Efficiency by Temperature'!D$24</f>
        <v>7.3272288411453346</v>
      </c>
      <c r="F183" s="27">
        <f>F163*'Equip Efficiency by Temperature'!E$24</f>
        <v>20.535568348947127</v>
      </c>
      <c r="G183" s="27">
        <f>G163*'Equip Efficiency by Temperature'!F$24</f>
        <v>12.855458608678919</v>
      </c>
      <c r="H183" s="27">
        <f>H163*'Equip Efficiency by Temperature'!G$24</f>
        <v>0</v>
      </c>
      <c r="I183" s="27">
        <f>I163*'Equip Efficiency by Temperature'!H$24</f>
        <v>11.977663726312157</v>
      </c>
      <c r="J183" s="53"/>
    </row>
    <row r="184" spans="1:14">
      <c r="A184" t="s">
        <v>75</v>
      </c>
      <c r="C184" s="27">
        <f>C164*'Equip Efficiency by Temperature'!B$24</f>
        <v>3.6761852403698216</v>
      </c>
      <c r="D184" s="27">
        <f>D164*'Equip Efficiency by Temperature'!C$24</f>
        <v>6.690610556743767</v>
      </c>
      <c r="E184" s="787">
        <f>E164*'Equip Efficiency by Temperature'!D$24</f>
        <v>4.9818203605383751</v>
      </c>
      <c r="F184" s="27">
        <f>F164*'Equip Efficiency by Temperature'!E$24</f>
        <v>13.962237939332709</v>
      </c>
      <c r="G184" s="27">
        <f>G164*'Equip Efficiency by Temperature'!F$24</f>
        <v>8.7404920508479975</v>
      </c>
      <c r="H184" s="27">
        <f>H164*'Equip Efficiency by Temperature'!G$24</f>
        <v>0</v>
      </c>
      <c r="I184" s="27">
        <f>I164*'Equip Efficiency by Temperature'!H$24</f>
        <v>8.1436748212843639</v>
      </c>
      <c r="J184" s="53"/>
    </row>
    <row r="185" spans="1:14">
      <c r="A185" t="s">
        <v>76</v>
      </c>
      <c r="C185" s="27">
        <f>C165*'Equip Efficiency by Temperature'!B$24</f>
        <v>0</v>
      </c>
      <c r="D185" s="27">
        <f>D165*'Equip Efficiency by Temperature'!C$24</f>
        <v>16.377268917495478</v>
      </c>
      <c r="E185" s="787">
        <f>E165*'Equip Efficiency by Temperature'!D$24</f>
        <v>12.194494217116617</v>
      </c>
      <c r="F185" s="27">
        <f>F165*'Equip Efficiency by Temperature'!E$24</f>
        <v>34.176750161019257</v>
      </c>
      <c r="G185" s="27">
        <f>G165*'Equip Efficiency by Temperature'!F$24</f>
        <v>21.394966509250271</v>
      </c>
      <c r="H185" s="27">
        <f>H165*'Equip Efficiency by Temperature'!G$24</f>
        <v>0</v>
      </c>
      <c r="I185" s="27">
        <f>I165*'Equip Efficiency by Temperature'!H$24</f>
        <v>19.93407797295572</v>
      </c>
      <c r="J185" s="53"/>
    </row>
    <row r="186" spans="1:14">
      <c r="A186" t="s">
        <v>77</v>
      </c>
      <c r="C186" s="27">
        <f>C166*'Equip Efficiency by Temperature'!B$24</f>
        <v>1.7836437747725116</v>
      </c>
      <c r="D186" s="27">
        <f>D166*'Equip Efficiency by Temperature'!C$24</f>
        <v>3.516726492109425</v>
      </c>
      <c r="E186" s="787">
        <f>E166*'Equip Efficiency by Temperature'!D$24</f>
        <v>2.618550204387033</v>
      </c>
      <c r="F186" s="27">
        <f>F166*'Equip Efficiency by Temperature'!E$24</f>
        <v>7.3388477230818889</v>
      </c>
      <c r="G186" s="27">
        <f>G166*'Equip Efficiency by Temperature'!F$24</f>
        <v>4.594187584017555</v>
      </c>
      <c r="H186" s="27">
        <f>H166*'Equip Efficiency by Temperature'!G$24</f>
        <v>0</v>
      </c>
      <c r="I186" s="27">
        <f>I166*'Equip Efficiency by Temperature'!H$24</f>
        <v>4.2804878185995445</v>
      </c>
      <c r="J186" s="53"/>
    </row>
    <row r="188" spans="1:14">
      <c r="A188" s="26" t="s">
        <v>478</v>
      </c>
    </row>
    <row r="189" spans="1:14">
      <c r="A189" s="45" t="s">
        <v>479</v>
      </c>
      <c r="B189" s="51"/>
      <c r="C189" s="51"/>
      <c r="D189" s="51"/>
      <c r="E189" s="51"/>
      <c r="F189" s="51"/>
      <c r="G189" s="51"/>
      <c r="H189" s="51"/>
      <c r="I189" s="51"/>
      <c r="J189" s="51"/>
      <c r="K189" s="51"/>
      <c r="L189" s="51"/>
    </row>
    <row r="190" spans="1:14" ht="45">
      <c r="A190" s="36" t="s">
        <v>114</v>
      </c>
      <c r="B190" s="37" t="s">
        <v>40</v>
      </c>
      <c r="C190" s="37" t="s">
        <v>41</v>
      </c>
      <c r="D190" s="37" t="s">
        <v>42</v>
      </c>
      <c r="E190" s="37" t="s">
        <v>43</v>
      </c>
      <c r="F190" s="37" t="s">
        <v>44</v>
      </c>
      <c r="G190" s="37" t="s">
        <v>45</v>
      </c>
      <c r="H190" s="37" t="s">
        <v>46</v>
      </c>
      <c r="I190" s="37" t="s">
        <v>47</v>
      </c>
      <c r="J190" s="37" t="s">
        <v>419</v>
      </c>
      <c r="K190" s="37" t="s">
        <v>49</v>
      </c>
      <c r="L190" s="37" t="s">
        <v>420</v>
      </c>
      <c r="M190" s="54" t="s">
        <v>421</v>
      </c>
      <c r="N190" s="54" t="s">
        <v>422</v>
      </c>
    </row>
    <row r="191" spans="1:14">
      <c r="A191" t="s">
        <v>63</v>
      </c>
      <c r="B191" s="27">
        <f t="shared" ref="B191:F205" si="28">B84*(1-$K152)</f>
        <v>3.9698588668915646</v>
      </c>
      <c r="C191" s="27">
        <f t="shared" si="28"/>
        <v>6.8356502962020671E-2</v>
      </c>
      <c r="D191" s="27">
        <f t="shared" si="28"/>
        <v>3.0880809148232926E-3</v>
      </c>
      <c r="E191" s="27">
        <f t="shared" si="28"/>
        <v>0.38171820528485212</v>
      </c>
      <c r="F191" s="27">
        <f t="shared" si="28"/>
        <v>6.2766029699100763</v>
      </c>
      <c r="G191" s="27">
        <f t="shared" ref="G191:H205" si="29">G84</f>
        <v>0</v>
      </c>
      <c r="H191" s="27">
        <f t="shared" si="29"/>
        <v>372.67749120750295</v>
      </c>
      <c r="I191" s="27">
        <f t="shared" ref="I191:I205" si="30">I84+SUM(B172:E172)</f>
        <v>686.23077941495535</v>
      </c>
      <c r="J191">
        <v>0</v>
      </c>
      <c r="K191">
        <v>0</v>
      </c>
      <c r="L191">
        <v>0</v>
      </c>
      <c r="M191" s="1201">
        <f>SUM(B191:L191)</f>
        <v>1069.6078952484218</v>
      </c>
      <c r="N191" s="27">
        <f>M191</f>
        <v>1069.6078952484218</v>
      </c>
    </row>
    <row r="192" spans="1:14">
      <c r="A192" t="s">
        <v>64</v>
      </c>
      <c r="B192" s="27">
        <f t="shared" si="28"/>
        <v>10.601479008444196</v>
      </c>
      <c r="C192" s="27">
        <f t="shared" si="28"/>
        <v>0.42164483408940301</v>
      </c>
      <c r="D192" s="27">
        <f t="shared" si="28"/>
        <v>8.6225937441595721E-4</v>
      </c>
      <c r="E192" s="27">
        <f t="shared" si="28"/>
        <v>4.0448587253852555</v>
      </c>
      <c r="F192" s="27">
        <f t="shared" si="28"/>
        <v>67.009625023361693</v>
      </c>
      <c r="G192" s="27">
        <f t="shared" si="29"/>
        <v>0</v>
      </c>
      <c r="H192" s="27">
        <f t="shared" si="29"/>
        <v>247.61576787807738</v>
      </c>
      <c r="I192" s="27">
        <f t="shared" si="30"/>
        <v>579.60433536155438</v>
      </c>
      <c r="J192">
        <v>0</v>
      </c>
      <c r="K192">
        <v>0</v>
      </c>
      <c r="L192">
        <v>0</v>
      </c>
      <c r="M192" s="1201">
        <f t="shared" ref="M192:M206" si="31">SUM(B192:L192)</f>
        <v>909.29857309028671</v>
      </c>
      <c r="N192" s="27">
        <f t="shared" ref="N192:N205" si="32">M192</f>
        <v>909.29857309028671</v>
      </c>
    </row>
    <row r="193" spans="1:14">
      <c r="A193" t="s">
        <v>65</v>
      </c>
      <c r="B193" s="27">
        <f t="shared" si="28"/>
        <v>1.2818490966140266</v>
      </c>
      <c r="C193" s="27">
        <f t="shared" si="28"/>
        <v>1.6561357837390526E-3</v>
      </c>
      <c r="D193" s="27">
        <f t="shared" si="28"/>
        <v>0</v>
      </c>
      <c r="E193" s="27">
        <f t="shared" si="28"/>
        <v>3.8058000310323425</v>
      </c>
      <c r="F193" s="27">
        <f t="shared" si="28"/>
        <v>12.939388878353219</v>
      </c>
      <c r="G193" s="27">
        <f t="shared" si="29"/>
        <v>0</v>
      </c>
      <c r="H193" s="27">
        <f t="shared" si="29"/>
        <v>7.7744138335287216</v>
      </c>
      <c r="I193" s="27">
        <f t="shared" si="30"/>
        <v>142.33899387605658</v>
      </c>
      <c r="J193">
        <v>0</v>
      </c>
      <c r="K193">
        <v>0</v>
      </c>
      <c r="L193">
        <v>0</v>
      </c>
      <c r="M193" s="1201">
        <f t="shared" si="31"/>
        <v>168.14210185136864</v>
      </c>
      <c r="N193" s="27">
        <f t="shared" si="32"/>
        <v>168.14210185136864</v>
      </c>
    </row>
    <row r="194" spans="1:14">
      <c r="A194" t="s">
        <v>66</v>
      </c>
      <c r="B194" s="27">
        <f t="shared" si="28"/>
        <v>38.074999526817848</v>
      </c>
      <c r="C194" s="27">
        <f t="shared" si="28"/>
        <v>0.19340099966973817</v>
      </c>
      <c r="D194" s="27">
        <f t="shared" si="28"/>
        <v>0</v>
      </c>
      <c r="E194" s="27">
        <f t="shared" si="28"/>
        <v>7.4729093749939652</v>
      </c>
      <c r="F194" s="27">
        <f t="shared" si="28"/>
        <v>39.569581401816635</v>
      </c>
      <c r="G194" s="27">
        <f t="shared" si="29"/>
        <v>0</v>
      </c>
      <c r="H194" s="27">
        <f t="shared" si="29"/>
        <v>289.67050849941381</v>
      </c>
      <c r="I194" s="27">
        <f t="shared" si="30"/>
        <v>320.27451222776062</v>
      </c>
      <c r="J194">
        <v>0</v>
      </c>
      <c r="K194">
        <v>0</v>
      </c>
      <c r="L194">
        <v>0</v>
      </c>
      <c r="M194" s="1201">
        <f t="shared" si="31"/>
        <v>695.2559120304727</v>
      </c>
      <c r="N194" s="27">
        <f t="shared" si="32"/>
        <v>695.2559120304727</v>
      </c>
    </row>
    <row r="195" spans="1:14">
      <c r="A195" t="s">
        <v>67</v>
      </c>
      <c r="B195" s="27">
        <f t="shared" si="28"/>
        <v>466.51600651012967</v>
      </c>
      <c r="C195" s="27">
        <f t="shared" si="28"/>
        <v>16.822874005843744</v>
      </c>
      <c r="D195" s="27">
        <f t="shared" si="28"/>
        <v>383.17476787095143</v>
      </c>
      <c r="E195" s="27">
        <f t="shared" si="28"/>
        <v>3830.494004500601</v>
      </c>
      <c r="F195" s="27">
        <f t="shared" si="28"/>
        <v>300.3741399030045</v>
      </c>
      <c r="G195" s="27">
        <f t="shared" si="29"/>
        <v>0</v>
      </c>
      <c r="H195" s="27">
        <f t="shared" si="29"/>
        <v>859.24830396094785</v>
      </c>
      <c r="I195" s="27">
        <f t="shared" si="30"/>
        <v>1158.3529066821807</v>
      </c>
      <c r="J195">
        <v>0</v>
      </c>
      <c r="K195">
        <v>0</v>
      </c>
      <c r="L195">
        <v>0</v>
      </c>
      <c r="M195" s="1201">
        <f t="shared" si="31"/>
        <v>7014.9830034336592</v>
      </c>
      <c r="N195" s="27">
        <f t="shared" si="32"/>
        <v>7014.9830034336592</v>
      </c>
    </row>
    <row r="196" spans="1:14">
      <c r="A196" t="s">
        <v>68</v>
      </c>
      <c r="B196" s="27">
        <f t="shared" si="28"/>
        <v>915.88770818182013</v>
      </c>
      <c r="C196" s="27">
        <f t="shared" si="28"/>
        <v>375.59272737819822</v>
      </c>
      <c r="D196" s="27">
        <f t="shared" si="28"/>
        <v>124.99686602133208</v>
      </c>
      <c r="E196" s="27">
        <f t="shared" si="28"/>
        <v>1291.4943095073504</v>
      </c>
      <c r="F196" s="27">
        <f t="shared" si="28"/>
        <v>623.56826254899033</v>
      </c>
      <c r="G196" s="27">
        <f t="shared" si="29"/>
        <v>0</v>
      </c>
      <c r="H196" s="27">
        <f t="shared" si="29"/>
        <v>2835.4084237976622</v>
      </c>
      <c r="I196" s="27">
        <f t="shared" si="30"/>
        <v>4569.7845003241682</v>
      </c>
      <c r="J196">
        <v>0</v>
      </c>
      <c r="K196">
        <v>0</v>
      </c>
      <c r="L196">
        <v>0</v>
      </c>
      <c r="M196" s="1201">
        <f t="shared" si="31"/>
        <v>10736.732797759523</v>
      </c>
      <c r="N196" s="540">
        <f>M196+SUM($B$315:$L$315)</f>
        <v>15899.245241306549</v>
      </c>
    </row>
    <row r="197" spans="1:14">
      <c r="A197" t="s">
        <v>69</v>
      </c>
      <c r="B197" s="27">
        <f t="shared" si="28"/>
        <v>40.70167979117204</v>
      </c>
      <c r="C197" s="27">
        <f t="shared" si="28"/>
        <v>1.7944562622528499</v>
      </c>
      <c r="D197" s="27">
        <f t="shared" si="28"/>
        <v>3.3461524451515667</v>
      </c>
      <c r="E197" s="27">
        <f t="shared" si="28"/>
        <v>23.724876944447182</v>
      </c>
      <c r="F197" s="27">
        <f t="shared" si="28"/>
        <v>81.177002211054429</v>
      </c>
      <c r="G197" s="27">
        <f t="shared" si="29"/>
        <v>0</v>
      </c>
      <c r="H197" s="27">
        <f t="shared" si="29"/>
        <v>85.056525473612666</v>
      </c>
      <c r="I197" s="27">
        <f t="shared" si="30"/>
        <v>1153.6616717885765</v>
      </c>
      <c r="J197">
        <v>0</v>
      </c>
      <c r="K197">
        <v>0</v>
      </c>
      <c r="L197">
        <v>0</v>
      </c>
      <c r="M197" s="1201">
        <f t="shared" si="31"/>
        <v>1389.4623649162672</v>
      </c>
      <c r="N197" s="27">
        <f t="shared" si="32"/>
        <v>1389.4623649162672</v>
      </c>
    </row>
    <row r="198" spans="1:14">
      <c r="A198" t="s">
        <v>70</v>
      </c>
      <c r="B198" s="27">
        <f t="shared" si="28"/>
        <v>1490.2769146903797</v>
      </c>
      <c r="C198" s="27">
        <f t="shared" si="28"/>
        <v>92.646836598279805</v>
      </c>
      <c r="D198" s="27">
        <f t="shared" si="28"/>
        <v>66.513698739052671</v>
      </c>
      <c r="E198" s="27">
        <f t="shared" si="28"/>
        <v>441.5548176485633</v>
      </c>
      <c r="F198" s="27">
        <f t="shared" si="28"/>
        <v>302.08479182680946</v>
      </c>
      <c r="G198" s="27">
        <f t="shared" si="29"/>
        <v>0</v>
      </c>
      <c r="H198" s="27">
        <f t="shared" si="29"/>
        <v>22.701564232714428</v>
      </c>
      <c r="I198" s="27">
        <f t="shared" si="30"/>
        <v>633.14078584528363</v>
      </c>
      <c r="J198">
        <v>0</v>
      </c>
      <c r="K198">
        <v>0</v>
      </c>
      <c r="L198">
        <v>0</v>
      </c>
      <c r="M198" s="1201">
        <f t="shared" si="31"/>
        <v>3048.9194095810831</v>
      </c>
      <c r="N198" s="27">
        <f t="shared" si="32"/>
        <v>3048.9194095810831</v>
      </c>
    </row>
    <row r="199" spans="1:14">
      <c r="A199" t="s">
        <v>71</v>
      </c>
      <c r="B199" s="27">
        <f t="shared" si="28"/>
        <v>424.05160118379069</v>
      </c>
      <c r="C199" s="27">
        <f t="shared" si="28"/>
        <v>1849.5802863428403</v>
      </c>
      <c r="D199" s="27">
        <f t="shared" si="28"/>
        <v>713.0318756964607</v>
      </c>
      <c r="E199" s="27">
        <f t="shared" si="28"/>
        <v>6.2761430850061073</v>
      </c>
      <c r="F199" s="27">
        <f t="shared" si="28"/>
        <v>88.490569652950143</v>
      </c>
      <c r="G199" s="27">
        <f t="shared" si="29"/>
        <v>0</v>
      </c>
      <c r="H199" s="27">
        <f t="shared" si="29"/>
        <v>76.035610658362771</v>
      </c>
      <c r="I199" s="27">
        <f t="shared" si="30"/>
        <v>2110.6230777305796</v>
      </c>
      <c r="J199">
        <v>0</v>
      </c>
      <c r="K199">
        <v>0</v>
      </c>
      <c r="L199">
        <v>0</v>
      </c>
      <c r="M199" s="1201">
        <f t="shared" si="31"/>
        <v>5268.0891643499899</v>
      </c>
      <c r="N199" s="27">
        <f t="shared" si="32"/>
        <v>5268.0891643499899</v>
      </c>
    </row>
    <row r="200" spans="1:14">
      <c r="A200" t="s">
        <v>72</v>
      </c>
      <c r="B200" s="27">
        <f t="shared" si="28"/>
        <v>153.86164885799099</v>
      </c>
      <c r="C200" s="27">
        <f t="shared" si="28"/>
        <v>47.865827938739805</v>
      </c>
      <c r="D200" s="27">
        <f t="shared" si="28"/>
        <v>75.91717931550555</v>
      </c>
      <c r="E200" s="27">
        <f t="shared" si="28"/>
        <v>48.554138678934571</v>
      </c>
      <c r="F200" s="27">
        <f t="shared" si="28"/>
        <v>128.06747274057491</v>
      </c>
      <c r="G200" s="27">
        <f t="shared" si="29"/>
        <v>0</v>
      </c>
      <c r="H200" s="27">
        <f t="shared" si="29"/>
        <v>208.79646211899177</v>
      </c>
      <c r="I200" s="27">
        <f t="shared" si="30"/>
        <v>1941.4623773832709</v>
      </c>
      <c r="J200">
        <v>0</v>
      </c>
      <c r="K200">
        <v>0</v>
      </c>
      <c r="L200">
        <v>0</v>
      </c>
      <c r="M200" s="1201">
        <f t="shared" si="31"/>
        <v>2604.5251070340082</v>
      </c>
      <c r="N200" s="27">
        <f t="shared" si="32"/>
        <v>2604.5251070340082</v>
      </c>
    </row>
    <row r="201" spans="1:14">
      <c r="A201" t="s">
        <v>73</v>
      </c>
      <c r="B201" s="27">
        <f t="shared" si="28"/>
        <v>1.7039930034593509</v>
      </c>
      <c r="C201" s="27">
        <f t="shared" si="28"/>
        <v>15.061731260462539</v>
      </c>
      <c r="D201" s="27">
        <f t="shared" si="28"/>
        <v>0.97277761500169846</v>
      </c>
      <c r="E201" s="27">
        <f t="shared" si="28"/>
        <v>12.191547643045618</v>
      </c>
      <c r="F201" s="27">
        <f t="shared" si="28"/>
        <v>70.603089416322945</v>
      </c>
      <c r="G201" s="27">
        <f t="shared" si="29"/>
        <v>0</v>
      </c>
      <c r="H201" s="27">
        <f t="shared" si="29"/>
        <v>20.778277839144554</v>
      </c>
      <c r="I201" s="27">
        <f t="shared" si="30"/>
        <v>641.68208671323748</v>
      </c>
      <c r="J201">
        <v>0</v>
      </c>
      <c r="K201">
        <v>0</v>
      </c>
      <c r="L201">
        <v>0</v>
      </c>
      <c r="M201" s="1201">
        <f t="shared" si="31"/>
        <v>762.99350349067413</v>
      </c>
      <c r="N201" s="27">
        <f t="shared" si="32"/>
        <v>762.99350349067413</v>
      </c>
    </row>
    <row r="202" spans="1:14">
      <c r="A202" t="s">
        <v>74</v>
      </c>
      <c r="B202" s="27">
        <f t="shared" si="28"/>
        <v>2.6892349691606783</v>
      </c>
      <c r="C202" s="27">
        <f t="shared" si="28"/>
        <v>1.0889399331022911</v>
      </c>
      <c r="D202" s="27">
        <f t="shared" si="28"/>
        <v>0.28879241507309694</v>
      </c>
      <c r="E202" s="27">
        <f t="shared" si="28"/>
        <v>7.0157304035091013</v>
      </c>
      <c r="F202" s="27">
        <f t="shared" si="28"/>
        <v>63.59054957288221</v>
      </c>
      <c r="G202" s="27">
        <f t="shared" si="29"/>
        <v>0</v>
      </c>
      <c r="H202" s="27">
        <f t="shared" si="29"/>
        <v>16.242550112111658</v>
      </c>
      <c r="I202" s="27">
        <f t="shared" si="30"/>
        <v>339.4248946570126</v>
      </c>
      <c r="J202">
        <v>0</v>
      </c>
      <c r="K202">
        <v>0</v>
      </c>
      <c r="L202">
        <v>0</v>
      </c>
      <c r="M202" s="1201">
        <f t="shared" si="31"/>
        <v>430.34069206285164</v>
      </c>
      <c r="N202" s="27">
        <f t="shared" si="32"/>
        <v>430.34069206285164</v>
      </c>
    </row>
    <row r="203" spans="1:14">
      <c r="A203" t="s">
        <v>75</v>
      </c>
      <c r="B203" s="27">
        <f t="shared" si="28"/>
        <v>1.1352235619885134</v>
      </c>
      <c r="C203" s="27">
        <f t="shared" si="28"/>
        <v>4.1634115965348889E-3</v>
      </c>
      <c r="D203" s="27">
        <f t="shared" si="28"/>
        <v>0.47740452973600062</v>
      </c>
      <c r="E203" s="27">
        <f t="shared" si="28"/>
        <v>3.4542438212584461</v>
      </c>
      <c r="F203" s="27">
        <f t="shared" si="28"/>
        <v>45.699687389365216</v>
      </c>
      <c r="G203" s="27">
        <f t="shared" si="29"/>
        <v>0</v>
      </c>
      <c r="H203" s="27">
        <f t="shared" si="29"/>
        <v>17.175121514567198</v>
      </c>
      <c r="I203" s="27">
        <f t="shared" si="30"/>
        <v>388.33660911027539</v>
      </c>
      <c r="J203">
        <v>0</v>
      </c>
      <c r="K203">
        <v>0</v>
      </c>
      <c r="L203">
        <v>0</v>
      </c>
      <c r="M203" s="1201">
        <f t="shared" si="31"/>
        <v>456.28245333878732</v>
      </c>
      <c r="N203" s="27">
        <f t="shared" si="32"/>
        <v>456.28245333878732</v>
      </c>
    </row>
    <row r="204" spans="1:14">
      <c r="A204" t="s">
        <v>76</v>
      </c>
      <c r="B204" s="27">
        <f t="shared" si="28"/>
        <v>12.261536191959037</v>
      </c>
      <c r="C204" s="27">
        <f t="shared" si="28"/>
        <v>32.356323656344799</v>
      </c>
      <c r="D204" s="27">
        <f t="shared" si="28"/>
        <v>9.0847867031039335</v>
      </c>
      <c r="E204" s="27">
        <f t="shared" si="28"/>
        <v>4.4260905266088484</v>
      </c>
      <c r="F204" s="27">
        <f t="shared" si="28"/>
        <v>66.147780284629221</v>
      </c>
      <c r="G204" s="27">
        <f t="shared" si="29"/>
        <v>0</v>
      </c>
      <c r="H204" s="27">
        <f t="shared" si="29"/>
        <v>3.8197616127438114</v>
      </c>
      <c r="I204" s="27">
        <f t="shared" si="30"/>
        <v>316.1847719081382</v>
      </c>
      <c r="J204">
        <v>0</v>
      </c>
      <c r="K204">
        <v>0</v>
      </c>
      <c r="L204">
        <v>0</v>
      </c>
      <c r="M204" s="1201">
        <f t="shared" si="31"/>
        <v>444.28105088352788</v>
      </c>
      <c r="N204" s="27">
        <f t="shared" si="32"/>
        <v>444.28105088352788</v>
      </c>
    </row>
    <row r="205" spans="1:14">
      <c r="A205" t="s">
        <v>77</v>
      </c>
      <c r="B205" s="27">
        <f t="shared" si="28"/>
        <v>0.60996201845742815</v>
      </c>
      <c r="C205" s="27">
        <f t="shared" si="28"/>
        <v>5.2469851050101334E-3</v>
      </c>
      <c r="D205" s="27">
        <f t="shared" si="28"/>
        <v>0.10100446327144509</v>
      </c>
      <c r="E205" s="27">
        <f t="shared" si="28"/>
        <v>3.7620883202922659</v>
      </c>
      <c r="F205" s="27">
        <f t="shared" si="28"/>
        <v>22.207864456955392</v>
      </c>
      <c r="G205" s="27">
        <f t="shared" si="29"/>
        <v>0</v>
      </c>
      <c r="H205" s="27">
        <f t="shared" si="29"/>
        <v>2.7540298944900354</v>
      </c>
      <c r="I205" s="27">
        <f t="shared" si="30"/>
        <v>301.64374462132758</v>
      </c>
      <c r="J205">
        <v>0</v>
      </c>
      <c r="K205">
        <v>0</v>
      </c>
      <c r="L205">
        <v>0</v>
      </c>
      <c r="M205" s="1201">
        <f t="shared" si="31"/>
        <v>331.08394075989918</v>
      </c>
      <c r="N205" s="27">
        <f t="shared" si="32"/>
        <v>331.08394075989918</v>
      </c>
    </row>
    <row r="206" spans="1:14">
      <c r="A206" s="52" t="s">
        <v>125</v>
      </c>
      <c r="B206" s="53">
        <f t="shared" ref="B206:G206" si="33">SUM(B191:B205)</f>
        <v>3563.6236954590754</v>
      </c>
      <c r="C206" s="53">
        <f t="shared" si="33"/>
        <v>2433.5044722452703</v>
      </c>
      <c r="D206" s="53">
        <f t="shared" si="33"/>
        <v>1377.9092561549296</v>
      </c>
      <c r="E206" s="53">
        <f t="shared" si="33"/>
        <v>5688.6532774163143</v>
      </c>
      <c r="F206" s="53">
        <f t="shared" si="33"/>
        <v>1917.8064082769808</v>
      </c>
      <c r="G206" s="53">
        <f t="shared" si="33"/>
        <v>0</v>
      </c>
      <c r="H206" s="53">
        <f t="shared" ref="H206:L206" si="34">SUM(H191:H205)</f>
        <v>5065.7548126338725</v>
      </c>
      <c r="I206" s="53">
        <f t="shared" si="34"/>
        <v>15282.746047644379</v>
      </c>
      <c r="J206" s="53">
        <f t="shared" si="34"/>
        <v>0</v>
      </c>
      <c r="K206" s="53">
        <f t="shared" si="34"/>
        <v>0</v>
      </c>
      <c r="L206" s="53">
        <f t="shared" si="34"/>
        <v>0</v>
      </c>
      <c r="M206" s="1201">
        <f t="shared" si="31"/>
        <v>35329.997969830823</v>
      </c>
      <c r="N206" s="1201">
        <f>SUM(N191:N205)</f>
        <v>40492.510413377851</v>
      </c>
    </row>
    <row r="208" spans="1:14">
      <c r="A208" s="26" t="s">
        <v>480</v>
      </c>
    </row>
    <row r="209" spans="1:14">
      <c r="A209" s="45" t="s">
        <v>481</v>
      </c>
      <c r="B209" s="51"/>
      <c r="C209" s="51"/>
      <c r="D209" s="51"/>
      <c r="E209" s="51"/>
      <c r="F209" s="51"/>
      <c r="G209" s="51"/>
      <c r="H209" s="51"/>
      <c r="I209" s="51"/>
      <c r="J209" s="51"/>
      <c r="K209" s="51"/>
      <c r="L209" s="51"/>
    </row>
    <row r="210" spans="1:14" ht="45">
      <c r="A210" s="36" t="s">
        <v>114</v>
      </c>
      <c r="B210" s="37" t="s">
        <v>40</v>
      </c>
      <c r="C210" s="37" t="s">
        <v>41</v>
      </c>
      <c r="D210" s="37" t="s">
        <v>42</v>
      </c>
      <c r="E210" s="37" t="s">
        <v>43</v>
      </c>
      <c r="F210" s="37" t="s">
        <v>44</v>
      </c>
      <c r="G210" s="37" t="s">
        <v>45</v>
      </c>
      <c r="H210" s="37" t="s">
        <v>46</v>
      </c>
      <c r="I210" s="37" t="s">
        <v>47</v>
      </c>
      <c r="J210" s="37" t="s">
        <v>419</v>
      </c>
      <c r="K210" s="37" t="s">
        <v>49</v>
      </c>
      <c r="L210" s="37" t="s">
        <v>420</v>
      </c>
      <c r="M210" s="54" t="s">
        <v>421</v>
      </c>
      <c r="N210" s="54" t="s">
        <v>422</v>
      </c>
    </row>
    <row r="211" spans="1:14">
      <c r="A211" t="s">
        <v>63</v>
      </c>
      <c r="B211" s="27">
        <f t="shared" ref="B211:F225" si="35">B84*(1-SUM($K152:$L152))</f>
        <v>-4.6397808091336228E-14</v>
      </c>
      <c r="C211" s="27">
        <f t="shared" si="35"/>
        <v>-7.9891805038149297E-16</v>
      </c>
      <c r="D211" s="27">
        <f t="shared" si="35"/>
        <v>-3.6092009933007726E-17</v>
      </c>
      <c r="E211" s="27">
        <f t="shared" si="35"/>
        <v>-4.4613394651089047E-15</v>
      </c>
      <c r="F211" s="27">
        <f t="shared" si="35"/>
        <v>-7.3357927782311091E-14</v>
      </c>
      <c r="G211" s="27">
        <f t="shared" ref="G211:H225" si="36">G84</f>
        <v>0</v>
      </c>
      <c r="H211" s="27">
        <f t="shared" si="36"/>
        <v>372.67749120750295</v>
      </c>
      <c r="I211" s="27">
        <f t="shared" ref="I211:I225" si="37">I84+SUM(B172:I172)</f>
        <v>693.43627409993496</v>
      </c>
      <c r="J211">
        <v>0</v>
      </c>
      <c r="K211">
        <v>0</v>
      </c>
      <c r="L211">
        <v>0</v>
      </c>
      <c r="M211" s="1201">
        <f>SUM(B211:L211)</f>
        <v>1066.1137653074379</v>
      </c>
      <c r="N211" s="27">
        <f>M211</f>
        <v>1066.1137653074379</v>
      </c>
    </row>
    <row r="212" spans="1:14">
      <c r="A212" t="s">
        <v>64</v>
      </c>
      <c r="B212" s="27">
        <f t="shared" si="35"/>
        <v>0</v>
      </c>
      <c r="C212" s="27">
        <f t="shared" si="35"/>
        <v>0</v>
      </c>
      <c r="D212" s="27">
        <f t="shared" si="35"/>
        <v>0</v>
      </c>
      <c r="E212" s="27">
        <f t="shared" si="35"/>
        <v>0</v>
      </c>
      <c r="F212" s="27">
        <f t="shared" si="35"/>
        <v>0</v>
      </c>
      <c r="G212" s="27">
        <f t="shared" si="36"/>
        <v>0</v>
      </c>
      <c r="H212" s="27">
        <f t="shared" si="36"/>
        <v>247.61576787807738</v>
      </c>
      <c r="I212" s="27">
        <f t="shared" si="37"/>
        <v>637.03273384251565</v>
      </c>
      <c r="J212">
        <v>0</v>
      </c>
      <c r="K212">
        <v>0</v>
      </c>
      <c r="L212">
        <v>0</v>
      </c>
      <c r="M212" s="1201">
        <f t="shared" ref="M212:M226" si="38">SUM(B212:L212)</f>
        <v>884.648501720593</v>
      </c>
      <c r="N212" s="27">
        <f t="shared" ref="N212:N225" si="39">M212</f>
        <v>884.648501720593</v>
      </c>
    </row>
    <row r="213" spans="1:14">
      <c r="A213" t="s">
        <v>65</v>
      </c>
      <c r="B213" s="27">
        <f t="shared" si="35"/>
        <v>0</v>
      </c>
      <c r="C213" s="27">
        <f t="shared" si="35"/>
        <v>0</v>
      </c>
      <c r="D213" s="27">
        <f t="shared" si="35"/>
        <v>0</v>
      </c>
      <c r="E213" s="27">
        <f t="shared" si="35"/>
        <v>0</v>
      </c>
      <c r="F213" s="27">
        <f t="shared" si="35"/>
        <v>0</v>
      </c>
      <c r="G213" s="27">
        <f t="shared" si="36"/>
        <v>0</v>
      </c>
      <c r="H213" s="27">
        <f t="shared" si="36"/>
        <v>7.7744138335287216</v>
      </c>
      <c r="I213" s="27">
        <f t="shared" si="37"/>
        <v>154.95325231861261</v>
      </c>
      <c r="J213">
        <v>0</v>
      </c>
      <c r="K213">
        <v>0</v>
      </c>
      <c r="L213">
        <v>0</v>
      </c>
      <c r="M213" s="1201">
        <f t="shared" si="38"/>
        <v>162.72766615214132</v>
      </c>
      <c r="N213" s="27">
        <f t="shared" si="39"/>
        <v>162.72766615214132</v>
      </c>
    </row>
    <row r="214" spans="1:14">
      <c r="A214" t="s">
        <v>66</v>
      </c>
      <c r="B214" s="27">
        <f t="shared" si="35"/>
        <v>0</v>
      </c>
      <c r="C214" s="27">
        <f t="shared" si="35"/>
        <v>0</v>
      </c>
      <c r="D214" s="27">
        <f t="shared" si="35"/>
        <v>0</v>
      </c>
      <c r="E214" s="27">
        <f t="shared" si="35"/>
        <v>0</v>
      </c>
      <c r="F214" s="27">
        <f t="shared" si="35"/>
        <v>0</v>
      </c>
      <c r="G214" s="27">
        <f t="shared" si="36"/>
        <v>0</v>
      </c>
      <c r="H214" s="27">
        <f t="shared" si="36"/>
        <v>289.67050849941381</v>
      </c>
      <c r="I214" s="27">
        <f t="shared" si="37"/>
        <v>368.54841253898041</v>
      </c>
      <c r="J214">
        <v>0</v>
      </c>
      <c r="K214">
        <v>0</v>
      </c>
      <c r="L214">
        <v>0</v>
      </c>
      <c r="M214" s="1201">
        <f t="shared" si="38"/>
        <v>658.21892103839423</v>
      </c>
      <c r="N214" s="27">
        <f t="shared" si="39"/>
        <v>658.21892103839423</v>
      </c>
    </row>
    <row r="215" spans="1:14">
      <c r="A215" t="s">
        <v>67</v>
      </c>
      <c r="B215" s="27">
        <f t="shared" si="35"/>
        <v>441.29892507714965</v>
      </c>
      <c r="C215" s="27">
        <f t="shared" si="35"/>
        <v>15.913529464987322</v>
      </c>
      <c r="D215" s="27">
        <f t="shared" si="35"/>
        <v>362.46261825630535</v>
      </c>
      <c r="E215" s="27">
        <f t="shared" si="35"/>
        <v>3623.4402745275952</v>
      </c>
      <c r="F215" s="27">
        <f t="shared" si="35"/>
        <v>284.1376999082475</v>
      </c>
      <c r="G215" s="27">
        <f t="shared" si="36"/>
        <v>0</v>
      </c>
      <c r="H215" s="27">
        <f t="shared" si="36"/>
        <v>859.24830396094785</v>
      </c>
      <c r="I215" s="27">
        <f t="shared" si="37"/>
        <v>1352.0816029901944</v>
      </c>
      <c r="J215">
        <v>0</v>
      </c>
      <c r="K215">
        <v>0</v>
      </c>
      <c r="L215">
        <v>0</v>
      </c>
      <c r="M215" s="1201">
        <f t="shared" si="38"/>
        <v>6938.5829541854273</v>
      </c>
      <c r="N215" s="27">
        <f t="shared" si="39"/>
        <v>6938.5829541854273</v>
      </c>
    </row>
    <row r="216" spans="1:14">
      <c r="A216" t="s">
        <v>68</v>
      </c>
      <c r="B216" s="27">
        <f t="shared" si="35"/>
        <v>382.58307850603535</v>
      </c>
      <c r="C216" s="27">
        <f t="shared" si="35"/>
        <v>156.89196461658707</v>
      </c>
      <c r="D216" s="27">
        <f t="shared" si="35"/>
        <v>52.213481389526642</v>
      </c>
      <c r="E216" s="27">
        <f t="shared" si="35"/>
        <v>539.48083852465027</v>
      </c>
      <c r="F216" s="27">
        <f t="shared" si="35"/>
        <v>260.47588958066098</v>
      </c>
      <c r="G216" s="27">
        <f t="shared" si="36"/>
        <v>0</v>
      </c>
      <c r="H216" s="27">
        <f t="shared" si="36"/>
        <v>2835.4084237976622</v>
      </c>
      <c r="I216" s="27">
        <f t="shared" si="37"/>
        <v>5846.1331817145783</v>
      </c>
      <c r="J216">
        <v>0</v>
      </c>
      <c r="K216">
        <v>0</v>
      </c>
      <c r="L216">
        <v>0</v>
      </c>
      <c r="M216" s="1201">
        <f t="shared" si="38"/>
        <v>10073.186858129702</v>
      </c>
      <c r="N216" s="540">
        <f>M216+SUM($B$315:$L$315)</f>
        <v>15235.699301676728</v>
      </c>
    </row>
    <row r="217" spans="1:14">
      <c r="A217" t="s">
        <v>69</v>
      </c>
      <c r="B217" s="27">
        <f t="shared" si="35"/>
        <v>0</v>
      </c>
      <c r="C217" s="27">
        <f t="shared" si="35"/>
        <v>0</v>
      </c>
      <c r="D217" s="27">
        <f t="shared" si="35"/>
        <v>0</v>
      </c>
      <c r="E217" s="27">
        <f t="shared" si="35"/>
        <v>0</v>
      </c>
      <c r="F217" s="27">
        <f t="shared" si="35"/>
        <v>0</v>
      </c>
      <c r="G217" s="27">
        <f t="shared" si="36"/>
        <v>0</v>
      </c>
      <c r="H217" s="27">
        <f t="shared" si="36"/>
        <v>85.056525473612666</v>
      </c>
      <c r="I217" s="27">
        <f t="shared" si="37"/>
        <v>1261.7711253586729</v>
      </c>
      <c r="J217">
        <v>0</v>
      </c>
      <c r="K217">
        <v>0</v>
      </c>
      <c r="L217">
        <v>0</v>
      </c>
      <c r="M217" s="1201">
        <f t="shared" si="38"/>
        <v>1346.8276508322856</v>
      </c>
      <c r="N217" s="27">
        <f t="shared" si="39"/>
        <v>1346.8276508322856</v>
      </c>
    </row>
    <row r="218" spans="1:14">
      <c r="A218" t="s">
        <v>70</v>
      </c>
      <c r="B218" s="27">
        <f t="shared" si="35"/>
        <v>1048.3774121604497</v>
      </c>
      <c r="C218" s="27">
        <f t="shared" si="35"/>
        <v>65.175035485224655</v>
      </c>
      <c r="D218" s="27">
        <f t="shared" si="35"/>
        <v>46.790941112950968</v>
      </c>
      <c r="E218" s="27">
        <f t="shared" si="35"/>
        <v>310.62421519798932</v>
      </c>
      <c r="F218" s="27">
        <f t="shared" si="35"/>
        <v>212.5100839894686</v>
      </c>
      <c r="G218" s="27">
        <f t="shared" si="36"/>
        <v>0</v>
      </c>
      <c r="H218" s="27">
        <f t="shared" si="36"/>
        <v>22.701564232714428</v>
      </c>
      <c r="I218" s="27">
        <f t="shared" si="37"/>
        <v>1052.9434650933783</v>
      </c>
      <c r="J218">
        <v>0</v>
      </c>
      <c r="K218">
        <v>0</v>
      </c>
      <c r="L218">
        <v>0</v>
      </c>
      <c r="M218" s="1201">
        <f t="shared" si="38"/>
        <v>2759.122717272176</v>
      </c>
      <c r="N218" s="27">
        <f t="shared" si="39"/>
        <v>2759.122717272176</v>
      </c>
    </row>
    <row r="219" spans="1:14">
      <c r="A219" t="s">
        <v>71</v>
      </c>
      <c r="B219" s="27">
        <f t="shared" si="35"/>
        <v>326.39219728573863</v>
      </c>
      <c r="C219" s="27">
        <f t="shared" si="35"/>
        <v>1423.6205500239982</v>
      </c>
      <c r="D219" s="27">
        <f t="shared" si="35"/>
        <v>548.82009640725641</v>
      </c>
      <c r="E219" s="27">
        <f t="shared" si="35"/>
        <v>4.8307425942414781</v>
      </c>
      <c r="F219" s="27">
        <f t="shared" si="35"/>
        <v>68.111124654319866</v>
      </c>
      <c r="G219" s="27">
        <f t="shared" si="36"/>
        <v>0</v>
      </c>
      <c r="H219" s="27">
        <f t="shared" si="36"/>
        <v>76.035610658362771</v>
      </c>
      <c r="I219" s="27">
        <f t="shared" si="37"/>
        <v>2458.4830430130251</v>
      </c>
      <c r="J219">
        <v>0</v>
      </c>
      <c r="K219">
        <v>0</v>
      </c>
      <c r="L219">
        <v>0</v>
      </c>
      <c r="M219" s="1201">
        <f t="shared" si="38"/>
        <v>4906.293364636942</v>
      </c>
      <c r="N219" s="27">
        <f t="shared" si="39"/>
        <v>4906.293364636942</v>
      </c>
    </row>
    <row r="220" spans="1:14">
      <c r="A220" t="s">
        <v>72</v>
      </c>
      <c r="B220" s="27">
        <f t="shared" si="35"/>
        <v>18.474766950312969</v>
      </c>
      <c r="C220" s="27">
        <f t="shared" si="35"/>
        <v>5.7474362364866174</v>
      </c>
      <c r="D220" s="27">
        <f t="shared" si="35"/>
        <v>9.1156711616524575</v>
      </c>
      <c r="E220" s="27">
        <f t="shared" si="35"/>
        <v>5.8300843857095108</v>
      </c>
      <c r="F220" s="27">
        <f t="shared" si="35"/>
        <v>15.377559842618302</v>
      </c>
      <c r="G220" s="27">
        <f t="shared" si="36"/>
        <v>0</v>
      </c>
      <c r="H220" s="27">
        <f t="shared" si="36"/>
        <v>208.79646211899177</v>
      </c>
      <c r="I220" s="27">
        <f t="shared" si="37"/>
        <v>2134.5905944911374</v>
      </c>
      <c r="J220">
        <v>0</v>
      </c>
      <c r="K220">
        <v>0</v>
      </c>
      <c r="L220">
        <v>0</v>
      </c>
      <c r="M220" s="1201">
        <f t="shared" si="38"/>
        <v>2397.9325751869092</v>
      </c>
      <c r="N220" s="27">
        <f t="shared" si="39"/>
        <v>2397.9325751869092</v>
      </c>
    </row>
    <row r="221" spans="1:14">
      <c r="A221" t="s">
        <v>73</v>
      </c>
      <c r="B221" s="27">
        <f t="shared" si="35"/>
        <v>3.6407464032828892E-16</v>
      </c>
      <c r="C221" s="27">
        <f t="shared" si="35"/>
        <v>3.2180850392236113E-15</v>
      </c>
      <c r="D221" s="27">
        <f t="shared" si="35"/>
        <v>2.0784337704565154E-16</v>
      </c>
      <c r="E221" s="27">
        <f t="shared" si="35"/>
        <v>2.6048424577894203E-15</v>
      </c>
      <c r="F221" s="27">
        <f t="shared" si="35"/>
        <v>1.5085035169234478E-14</v>
      </c>
      <c r="G221" s="27">
        <f t="shared" si="36"/>
        <v>0</v>
      </c>
      <c r="H221" s="27">
        <f t="shared" si="36"/>
        <v>20.778277839144554</v>
      </c>
      <c r="I221" s="27">
        <f t="shared" si="37"/>
        <v>696.90755250121674</v>
      </c>
      <c r="J221">
        <v>0</v>
      </c>
      <c r="K221">
        <v>0</v>
      </c>
      <c r="L221">
        <v>0</v>
      </c>
      <c r="M221" s="1201">
        <f t="shared" si="38"/>
        <v>717.68583034036135</v>
      </c>
      <c r="N221" s="27">
        <f t="shared" si="39"/>
        <v>717.68583034036135</v>
      </c>
    </row>
    <row r="222" spans="1:14">
      <c r="A222" t="s">
        <v>74</v>
      </c>
      <c r="B222" s="27">
        <f t="shared" si="35"/>
        <v>0</v>
      </c>
      <c r="C222" s="27">
        <f t="shared" si="35"/>
        <v>0</v>
      </c>
      <c r="D222" s="27">
        <f t="shared" si="35"/>
        <v>0</v>
      </c>
      <c r="E222" s="27">
        <f t="shared" si="35"/>
        <v>0</v>
      </c>
      <c r="F222" s="27">
        <f t="shared" si="35"/>
        <v>0</v>
      </c>
      <c r="G222" s="27">
        <f t="shared" si="36"/>
        <v>0</v>
      </c>
      <c r="H222" s="27">
        <f t="shared" si="36"/>
        <v>16.242550112111658</v>
      </c>
      <c r="I222" s="27">
        <f t="shared" si="37"/>
        <v>384.79358534095076</v>
      </c>
      <c r="J222">
        <v>0</v>
      </c>
      <c r="K222">
        <v>0</v>
      </c>
      <c r="L222">
        <v>0</v>
      </c>
      <c r="M222" s="1201">
        <f t="shared" si="38"/>
        <v>401.0361354530624</v>
      </c>
      <c r="N222" s="27">
        <f t="shared" si="39"/>
        <v>401.0361354530624</v>
      </c>
    </row>
    <row r="223" spans="1:14">
      <c r="A223" t="s">
        <v>75</v>
      </c>
      <c r="B223" s="27">
        <f t="shared" si="35"/>
        <v>0</v>
      </c>
      <c r="C223" s="27">
        <f t="shared" si="35"/>
        <v>0</v>
      </c>
      <c r="D223" s="27">
        <f t="shared" si="35"/>
        <v>0</v>
      </c>
      <c r="E223" s="27">
        <f t="shared" si="35"/>
        <v>0</v>
      </c>
      <c r="F223" s="27">
        <f t="shared" si="35"/>
        <v>0</v>
      </c>
      <c r="G223" s="27">
        <f t="shared" si="36"/>
        <v>0</v>
      </c>
      <c r="H223" s="27">
        <f t="shared" si="36"/>
        <v>17.175121514567198</v>
      </c>
      <c r="I223" s="27">
        <f t="shared" si="37"/>
        <v>419.18301392174044</v>
      </c>
      <c r="J223">
        <v>0</v>
      </c>
      <c r="K223">
        <v>0</v>
      </c>
      <c r="L223">
        <v>0</v>
      </c>
      <c r="M223" s="1201">
        <f t="shared" si="38"/>
        <v>436.35813543630763</v>
      </c>
      <c r="N223" s="27">
        <f t="shared" si="39"/>
        <v>436.35813543630763</v>
      </c>
    </row>
    <row r="224" spans="1:14">
      <c r="A224" t="s">
        <v>76</v>
      </c>
      <c r="B224" s="27">
        <f t="shared" si="35"/>
        <v>0</v>
      </c>
      <c r="C224" s="27">
        <f t="shared" si="35"/>
        <v>0</v>
      </c>
      <c r="D224" s="27">
        <f t="shared" si="35"/>
        <v>0</v>
      </c>
      <c r="E224" s="27">
        <f t="shared" si="35"/>
        <v>0</v>
      </c>
      <c r="F224" s="27">
        <f t="shared" si="35"/>
        <v>0</v>
      </c>
      <c r="G224" s="27">
        <f t="shared" si="36"/>
        <v>0</v>
      </c>
      <c r="H224" s="27">
        <f t="shared" si="36"/>
        <v>3.8197616127438114</v>
      </c>
      <c r="I224" s="27">
        <f t="shared" si="37"/>
        <v>391.69056655136347</v>
      </c>
      <c r="J224">
        <v>0</v>
      </c>
      <c r="K224">
        <v>0</v>
      </c>
      <c r="L224">
        <v>0</v>
      </c>
      <c r="M224" s="1201">
        <f t="shared" si="38"/>
        <v>395.51032816410731</v>
      </c>
      <c r="N224" s="27">
        <f t="shared" si="39"/>
        <v>395.51032816410731</v>
      </c>
    </row>
    <row r="225" spans="1:14">
      <c r="A225" t="s">
        <v>77</v>
      </c>
      <c r="B225" s="27">
        <f t="shared" si="35"/>
        <v>1.4147046176184131E-16</v>
      </c>
      <c r="C225" s="27">
        <f t="shared" si="35"/>
        <v>1.216950208704011E-18</v>
      </c>
      <c r="D225" s="27">
        <f t="shared" si="35"/>
        <v>2.3426291517552214E-17</v>
      </c>
      <c r="E225" s="27">
        <f t="shared" si="35"/>
        <v>8.7255329964077586E-16</v>
      </c>
      <c r="F225" s="27">
        <f t="shared" si="35"/>
        <v>5.1507417583397265E-15</v>
      </c>
      <c r="G225" s="27">
        <f t="shared" si="36"/>
        <v>0</v>
      </c>
      <c r="H225" s="27">
        <f t="shared" si="36"/>
        <v>2.7540298944900354</v>
      </c>
      <c r="I225" s="27">
        <f t="shared" si="37"/>
        <v>317.85726774702658</v>
      </c>
      <c r="J225">
        <v>0</v>
      </c>
      <c r="K225">
        <v>0</v>
      </c>
      <c r="L225">
        <v>0</v>
      </c>
      <c r="M225" s="1201">
        <f t="shared" si="38"/>
        <v>320.61129764151661</v>
      </c>
      <c r="N225" s="27">
        <f t="shared" si="39"/>
        <v>320.61129764151661</v>
      </c>
    </row>
    <row r="226" spans="1:14">
      <c r="A226" s="52" t="s">
        <v>125</v>
      </c>
      <c r="B226" s="53">
        <f t="shared" ref="B226:G226" si="40">SUM(B211:B225)</f>
        <v>2217.1263799796866</v>
      </c>
      <c r="C226" s="53">
        <f t="shared" si="40"/>
        <v>1667.348515827284</v>
      </c>
      <c r="D226" s="53">
        <f t="shared" si="40"/>
        <v>1019.4028083276919</v>
      </c>
      <c r="E226" s="53">
        <f t="shared" si="40"/>
        <v>4484.2061552301857</v>
      </c>
      <c r="F226" s="53">
        <f t="shared" si="40"/>
        <v>840.61235797531526</v>
      </c>
      <c r="G226" s="53">
        <f t="shared" si="40"/>
        <v>0</v>
      </c>
      <c r="H226" s="53">
        <f t="shared" ref="H226:L226" si="41">SUM(H211:H225)</f>
        <v>5065.7548126338725</v>
      </c>
      <c r="I226" s="53">
        <f t="shared" si="41"/>
        <v>18170.405671523327</v>
      </c>
      <c r="J226" s="53">
        <f t="shared" si="41"/>
        <v>0</v>
      </c>
      <c r="K226" s="53">
        <f t="shared" si="41"/>
        <v>0</v>
      </c>
      <c r="L226" s="53">
        <f t="shared" si="41"/>
        <v>0</v>
      </c>
      <c r="M226" s="1201">
        <f t="shared" si="38"/>
        <v>33464.856701497367</v>
      </c>
      <c r="N226" s="1201">
        <f>SUM(N211:N225)</f>
        <v>38627.369145044395</v>
      </c>
    </row>
    <row r="228" spans="1:14">
      <c r="A228" s="106" t="s">
        <v>482</v>
      </c>
      <c r="B228" s="107"/>
      <c r="C228" s="107"/>
      <c r="D228" s="107"/>
      <c r="E228" s="107"/>
      <c r="F228" s="107"/>
      <c r="G228" s="107"/>
      <c r="H228" s="107"/>
      <c r="I228" s="107"/>
      <c r="J228" s="107"/>
      <c r="K228" s="107"/>
      <c r="L228" s="107"/>
    </row>
    <row r="230" spans="1:14" ht="75">
      <c r="A230" s="36" t="s">
        <v>114</v>
      </c>
      <c r="B230" s="36" t="s">
        <v>483</v>
      </c>
      <c r="C230" s="36" t="s">
        <v>484</v>
      </c>
      <c r="D230" s="36" t="s">
        <v>485</v>
      </c>
      <c r="E230" s="36" t="s">
        <v>486</v>
      </c>
      <c r="G230" s="36" t="s">
        <v>487</v>
      </c>
    </row>
    <row r="231" spans="1:14">
      <c r="A231" t="s">
        <v>63</v>
      </c>
      <c r="B231" s="27">
        <f>SUM(B211:F211)</f>
        <v>-1.2505208539907073E-13</v>
      </c>
    </row>
    <row r="232" spans="1:14">
      <c r="A232" t="s">
        <v>64</v>
      </c>
      <c r="B232" s="27">
        <f t="shared" ref="B232:B245" si="42">SUM(B212:F212)</f>
        <v>0</v>
      </c>
    </row>
    <row r="233" spans="1:14">
      <c r="A233" t="s">
        <v>65</v>
      </c>
      <c r="B233" s="27">
        <f t="shared" si="42"/>
        <v>0</v>
      </c>
    </row>
    <row r="234" spans="1:14">
      <c r="A234" t="s">
        <v>66</v>
      </c>
      <c r="B234" s="27">
        <f t="shared" si="42"/>
        <v>0</v>
      </c>
    </row>
    <row r="235" spans="1:14">
      <c r="A235" t="s">
        <v>67</v>
      </c>
      <c r="B235" s="27">
        <f t="shared" si="42"/>
        <v>4727.2530472342851</v>
      </c>
      <c r="C235" s="46">
        <f>'Other Country-Specific Data'!K191*'Achivable Interventions'!$R$20</f>
        <v>0</v>
      </c>
      <c r="D235" s="27">
        <f>B235*C235</f>
        <v>0</v>
      </c>
      <c r="E235">
        <f>D235*'Other Technical Data'!$B$19</f>
        <v>0</v>
      </c>
    </row>
    <row r="236" spans="1:14">
      <c r="A236" t="s">
        <v>68</v>
      </c>
      <c r="B236" s="27">
        <f t="shared" si="42"/>
        <v>1391.6452526174605</v>
      </c>
      <c r="C236" s="46">
        <f>'Other Country-Specific Data'!K192*'Achivable Interventions'!$R$20</f>
        <v>0</v>
      </c>
      <c r="D236" s="27">
        <f>B236*C236</f>
        <v>0</v>
      </c>
      <c r="E236">
        <f>D236*'Other Technical Data'!$B$19</f>
        <v>0</v>
      </c>
    </row>
    <row r="237" spans="1:14">
      <c r="A237" t="s">
        <v>69</v>
      </c>
      <c r="B237" s="27">
        <f t="shared" si="42"/>
        <v>0</v>
      </c>
    </row>
    <row r="238" spans="1:14">
      <c r="A238" t="s">
        <v>70</v>
      </c>
      <c r="B238" s="27">
        <f>SUM(B218:F218)</f>
        <v>1683.4776879460833</v>
      </c>
      <c r="C238" s="46">
        <f>'Other Country-Specific Data'!K193*'Achivable Interventions'!$R$20</f>
        <v>0.67280453257790362</v>
      </c>
      <c r="D238" s="27">
        <f>B238*C238</f>
        <v>1132.6514189438944</v>
      </c>
      <c r="E238" s="540">
        <f>D238*'Other Technical Data'!$B$19+G238</f>
        <v>1207.0728673008393</v>
      </c>
      <c r="G238" s="540">
        <f>B632*'Achivable Interventions'!$R$20</f>
        <v>980.54258351206045</v>
      </c>
    </row>
    <row r="239" spans="1:14">
      <c r="A239" t="s">
        <v>71</v>
      </c>
      <c r="B239" s="27">
        <f t="shared" si="42"/>
        <v>2371.7747109655547</v>
      </c>
      <c r="C239" s="50">
        <f>'Other Country-Specific Data'!K194*'Achivable Interventions'!$R$20</f>
        <v>0.65463917525773196</v>
      </c>
      <c r="D239" s="27">
        <f>B239*C239</f>
        <v>1552.6566406836364</v>
      </c>
      <c r="E239" s="27">
        <f>D239*'Other Technical Data'!$B$19</f>
        <v>310.53132813672732</v>
      </c>
    </row>
    <row r="240" spans="1:14">
      <c r="A240" t="s">
        <v>72</v>
      </c>
      <c r="B240" s="27">
        <f t="shared" si="42"/>
        <v>54.545518576779862</v>
      </c>
      <c r="C240" s="46">
        <f>'Other Country-Specific Data'!K195*'Achivable Interventions'!$R$20</f>
        <v>1</v>
      </c>
      <c r="D240" s="27">
        <f>B240*C240</f>
        <v>54.545518576779862</v>
      </c>
      <c r="E240" s="27">
        <f>D240*'Other Technical Data'!$B$19</f>
        <v>10.909103715355974</v>
      </c>
    </row>
    <row r="241" spans="1:14">
      <c r="A241" t="s">
        <v>73</v>
      </c>
      <c r="B241" s="27">
        <f t="shared" si="42"/>
        <v>2.1479880683621449E-14</v>
      </c>
    </row>
    <row r="242" spans="1:14">
      <c r="A242" t="s">
        <v>74</v>
      </c>
      <c r="B242" s="27">
        <f t="shared" si="42"/>
        <v>0</v>
      </c>
    </row>
    <row r="243" spans="1:14">
      <c r="A243" t="s">
        <v>75</v>
      </c>
      <c r="B243" s="27">
        <f t="shared" si="42"/>
        <v>0</v>
      </c>
    </row>
    <row r="244" spans="1:14">
      <c r="A244" t="s">
        <v>76</v>
      </c>
      <c r="B244" s="27">
        <f t="shared" si="42"/>
        <v>0</v>
      </c>
    </row>
    <row r="245" spans="1:14">
      <c r="A245" t="s">
        <v>77</v>
      </c>
      <c r="B245" s="27">
        <f t="shared" si="42"/>
        <v>6.1894087614685994E-15</v>
      </c>
    </row>
    <row r="247" spans="1:14">
      <c r="A247" s="26" t="s">
        <v>488</v>
      </c>
    </row>
    <row r="248" spans="1:14">
      <c r="A248" s="45" t="s">
        <v>489</v>
      </c>
      <c r="B248" s="51"/>
      <c r="C248" s="51"/>
      <c r="D248" s="51"/>
      <c r="E248" s="51"/>
      <c r="F248" s="51"/>
      <c r="G248" s="51"/>
      <c r="H248" s="51"/>
      <c r="I248" s="51"/>
      <c r="J248" s="51"/>
      <c r="K248" s="51"/>
      <c r="L248" s="51"/>
    </row>
    <row r="249" spans="1:14" ht="45">
      <c r="A249" s="36" t="s">
        <v>114</v>
      </c>
      <c r="B249" s="37" t="s">
        <v>40</v>
      </c>
      <c r="C249" s="37" t="s">
        <v>41</v>
      </c>
      <c r="D249" s="37" t="s">
        <v>42</v>
      </c>
      <c r="E249" s="37" t="s">
        <v>43</v>
      </c>
      <c r="F249" s="37" t="s">
        <v>44</v>
      </c>
      <c r="G249" s="37" t="s">
        <v>45</v>
      </c>
      <c r="H249" s="37" t="s">
        <v>46</v>
      </c>
      <c r="I249" s="37" t="s">
        <v>47</v>
      </c>
      <c r="J249" s="37" t="s">
        <v>419</v>
      </c>
      <c r="K249" s="37" t="s">
        <v>49</v>
      </c>
      <c r="L249" s="37" t="s">
        <v>420</v>
      </c>
      <c r="M249" s="54" t="s">
        <v>421</v>
      </c>
      <c r="N249" s="54" t="s">
        <v>422</v>
      </c>
    </row>
    <row r="250" spans="1:14">
      <c r="A250" t="s">
        <v>63</v>
      </c>
      <c r="B250" s="27">
        <f t="shared" ref="B250:F264" si="43">B211*(1-$C231)</f>
        <v>-4.6397808091336228E-14</v>
      </c>
      <c r="C250" s="27">
        <f t="shared" si="43"/>
        <v>-7.9891805038149297E-16</v>
      </c>
      <c r="D250" s="27">
        <f t="shared" si="43"/>
        <v>-3.6092009933007726E-17</v>
      </c>
      <c r="E250" s="27">
        <f t="shared" si="43"/>
        <v>-4.4613394651089047E-15</v>
      </c>
      <c r="F250" s="27">
        <f t="shared" si="43"/>
        <v>-7.3357927782311091E-14</v>
      </c>
      <c r="G250" s="27">
        <f t="shared" ref="G250:K264" si="44">G211</f>
        <v>0</v>
      </c>
      <c r="H250" s="27">
        <f t="shared" si="44"/>
        <v>372.67749120750295</v>
      </c>
      <c r="I250" s="27">
        <f t="shared" si="44"/>
        <v>693.43627409993496</v>
      </c>
      <c r="J250" s="27">
        <f t="shared" si="44"/>
        <v>0</v>
      </c>
      <c r="K250" s="27">
        <f t="shared" si="44"/>
        <v>0</v>
      </c>
      <c r="L250" s="27">
        <f t="shared" ref="L250:L264" si="45">L211+SUM(D231:E231)</f>
        <v>0</v>
      </c>
      <c r="M250" s="1201">
        <f>SUM(B250:L250)</f>
        <v>1066.1137653074379</v>
      </c>
      <c r="N250" s="27">
        <f>M250</f>
        <v>1066.1137653074379</v>
      </c>
    </row>
    <row r="251" spans="1:14">
      <c r="A251" t="s">
        <v>64</v>
      </c>
      <c r="B251" s="27">
        <f t="shared" si="43"/>
        <v>0</v>
      </c>
      <c r="C251" s="27">
        <f t="shared" si="43"/>
        <v>0</v>
      </c>
      <c r="D251" s="27">
        <f t="shared" si="43"/>
        <v>0</v>
      </c>
      <c r="E251" s="27">
        <f t="shared" si="43"/>
        <v>0</v>
      </c>
      <c r="F251" s="27">
        <f t="shared" si="43"/>
        <v>0</v>
      </c>
      <c r="G251" s="27">
        <f t="shared" si="44"/>
        <v>0</v>
      </c>
      <c r="H251" s="27">
        <f t="shared" si="44"/>
        <v>247.61576787807738</v>
      </c>
      <c r="I251" s="27">
        <f t="shared" si="44"/>
        <v>637.03273384251565</v>
      </c>
      <c r="J251" s="27">
        <f t="shared" si="44"/>
        <v>0</v>
      </c>
      <c r="K251" s="27">
        <f t="shared" si="44"/>
        <v>0</v>
      </c>
      <c r="L251" s="27">
        <f t="shared" si="45"/>
        <v>0</v>
      </c>
      <c r="M251" s="1201">
        <f t="shared" ref="M251:M265" si="46">SUM(B251:L251)</f>
        <v>884.648501720593</v>
      </c>
      <c r="N251" s="27">
        <f t="shared" ref="N251:N264" si="47">M251</f>
        <v>884.648501720593</v>
      </c>
    </row>
    <row r="252" spans="1:14">
      <c r="A252" t="s">
        <v>65</v>
      </c>
      <c r="B252" s="27">
        <f t="shared" si="43"/>
        <v>0</v>
      </c>
      <c r="C252" s="27">
        <f t="shared" si="43"/>
        <v>0</v>
      </c>
      <c r="D252" s="27">
        <f t="shared" si="43"/>
        <v>0</v>
      </c>
      <c r="E252" s="27">
        <f t="shared" si="43"/>
        <v>0</v>
      </c>
      <c r="F252" s="27">
        <f t="shared" si="43"/>
        <v>0</v>
      </c>
      <c r="G252" s="27">
        <f t="shared" si="44"/>
        <v>0</v>
      </c>
      <c r="H252" s="27">
        <f t="shared" si="44"/>
        <v>7.7744138335287216</v>
      </c>
      <c r="I252" s="27">
        <f t="shared" si="44"/>
        <v>154.95325231861261</v>
      </c>
      <c r="J252" s="27">
        <f t="shared" si="44"/>
        <v>0</v>
      </c>
      <c r="K252" s="27">
        <f t="shared" si="44"/>
        <v>0</v>
      </c>
      <c r="L252" s="27">
        <f t="shared" si="45"/>
        <v>0</v>
      </c>
      <c r="M252" s="1201">
        <f t="shared" si="46"/>
        <v>162.72766615214132</v>
      </c>
      <c r="N252" s="27">
        <f t="shared" si="47"/>
        <v>162.72766615214132</v>
      </c>
    </row>
    <row r="253" spans="1:14">
      <c r="A253" t="s">
        <v>66</v>
      </c>
      <c r="B253" s="27">
        <f t="shared" si="43"/>
        <v>0</v>
      </c>
      <c r="C253" s="27">
        <f t="shared" si="43"/>
        <v>0</v>
      </c>
      <c r="D253" s="27">
        <f t="shared" si="43"/>
        <v>0</v>
      </c>
      <c r="E253" s="27">
        <f t="shared" si="43"/>
        <v>0</v>
      </c>
      <c r="F253" s="27">
        <f t="shared" si="43"/>
        <v>0</v>
      </c>
      <c r="G253" s="27">
        <f t="shared" si="44"/>
        <v>0</v>
      </c>
      <c r="H253" s="27">
        <f t="shared" si="44"/>
        <v>289.67050849941381</v>
      </c>
      <c r="I253" s="27">
        <f t="shared" si="44"/>
        <v>368.54841253898041</v>
      </c>
      <c r="J253" s="27">
        <f t="shared" si="44"/>
        <v>0</v>
      </c>
      <c r="K253" s="27">
        <f t="shared" si="44"/>
        <v>0</v>
      </c>
      <c r="L253" s="27">
        <f t="shared" si="45"/>
        <v>0</v>
      </c>
      <c r="M253" s="1201">
        <f t="shared" si="46"/>
        <v>658.21892103839423</v>
      </c>
      <c r="N253" s="27">
        <f t="shared" si="47"/>
        <v>658.21892103839423</v>
      </c>
    </row>
    <row r="254" spans="1:14">
      <c r="A254" t="s">
        <v>67</v>
      </c>
      <c r="B254" s="27">
        <f t="shared" si="43"/>
        <v>441.29892507714965</v>
      </c>
      <c r="C254" s="27">
        <f t="shared" si="43"/>
        <v>15.913529464987322</v>
      </c>
      <c r="D254" s="27">
        <f t="shared" si="43"/>
        <v>362.46261825630535</v>
      </c>
      <c r="E254" s="27">
        <f t="shared" si="43"/>
        <v>3623.4402745275952</v>
      </c>
      <c r="F254" s="27">
        <f t="shared" si="43"/>
        <v>284.1376999082475</v>
      </c>
      <c r="G254" s="27">
        <f t="shared" si="44"/>
        <v>0</v>
      </c>
      <c r="H254" s="27">
        <f t="shared" si="44"/>
        <v>859.24830396094785</v>
      </c>
      <c r="I254" s="27">
        <f t="shared" si="44"/>
        <v>1352.0816029901944</v>
      </c>
      <c r="J254" s="27">
        <f t="shared" si="44"/>
        <v>0</v>
      </c>
      <c r="K254" s="27">
        <f t="shared" si="44"/>
        <v>0</v>
      </c>
      <c r="L254" s="27">
        <f t="shared" si="45"/>
        <v>0</v>
      </c>
      <c r="M254" s="1201">
        <f t="shared" si="46"/>
        <v>6938.5829541854273</v>
      </c>
      <c r="N254" s="27">
        <f t="shared" si="47"/>
        <v>6938.5829541854273</v>
      </c>
    </row>
    <row r="255" spans="1:14">
      <c r="A255" t="s">
        <v>68</v>
      </c>
      <c r="B255" s="27">
        <f t="shared" si="43"/>
        <v>382.58307850603535</v>
      </c>
      <c r="C255" s="27">
        <f t="shared" si="43"/>
        <v>156.89196461658707</v>
      </c>
      <c r="D255" s="27">
        <f t="shared" si="43"/>
        <v>52.213481389526642</v>
      </c>
      <c r="E255" s="27">
        <f t="shared" si="43"/>
        <v>539.48083852465027</v>
      </c>
      <c r="F255" s="27">
        <f t="shared" si="43"/>
        <v>260.47588958066098</v>
      </c>
      <c r="G255" s="27">
        <f t="shared" si="44"/>
        <v>0</v>
      </c>
      <c r="H255" s="27">
        <f t="shared" si="44"/>
        <v>2835.4084237976622</v>
      </c>
      <c r="I255" s="27">
        <f t="shared" si="44"/>
        <v>5846.1331817145783</v>
      </c>
      <c r="J255" s="27">
        <f t="shared" si="44"/>
        <v>0</v>
      </c>
      <c r="K255" s="27">
        <f t="shared" si="44"/>
        <v>0</v>
      </c>
      <c r="L255" s="27">
        <f t="shared" si="45"/>
        <v>0</v>
      </c>
      <c r="M255" s="1201">
        <f t="shared" si="46"/>
        <v>10073.186858129702</v>
      </c>
      <c r="N255" s="540">
        <f>M255+SUM($B$315:$L$315)</f>
        <v>15235.699301676728</v>
      </c>
    </row>
    <row r="256" spans="1:14">
      <c r="A256" t="s">
        <v>69</v>
      </c>
      <c r="B256" s="27">
        <f t="shared" si="43"/>
        <v>0</v>
      </c>
      <c r="C256" s="27">
        <f t="shared" si="43"/>
        <v>0</v>
      </c>
      <c r="D256" s="27">
        <f t="shared" si="43"/>
        <v>0</v>
      </c>
      <c r="E256" s="27">
        <f t="shared" si="43"/>
        <v>0</v>
      </c>
      <c r="F256" s="27">
        <f t="shared" si="43"/>
        <v>0</v>
      </c>
      <c r="G256" s="27">
        <f t="shared" si="44"/>
        <v>0</v>
      </c>
      <c r="H256" s="27">
        <f t="shared" si="44"/>
        <v>85.056525473612666</v>
      </c>
      <c r="I256" s="27">
        <f t="shared" si="44"/>
        <v>1261.7711253586729</v>
      </c>
      <c r="J256" s="27">
        <f t="shared" si="44"/>
        <v>0</v>
      </c>
      <c r="K256" s="27">
        <f t="shared" si="44"/>
        <v>0</v>
      </c>
      <c r="L256" s="27">
        <f t="shared" si="45"/>
        <v>0</v>
      </c>
      <c r="M256" s="1201">
        <f t="shared" si="46"/>
        <v>1346.8276508322856</v>
      </c>
      <c r="N256" s="27">
        <f t="shared" si="47"/>
        <v>1346.8276508322856</v>
      </c>
    </row>
    <row r="257" spans="1:14">
      <c r="A257" t="s">
        <v>70</v>
      </c>
      <c r="B257" s="27">
        <f t="shared" si="43"/>
        <v>343.02433740660615</v>
      </c>
      <c r="C257" s="27">
        <f t="shared" si="43"/>
        <v>21.324976199839799</v>
      </c>
      <c r="D257" s="27">
        <f t="shared" si="43"/>
        <v>15.309783848571778</v>
      </c>
      <c r="E257" s="27">
        <f t="shared" si="43"/>
        <v>101.63483528432796</v>
      </c>
      <c r="F257" s="27">
        <f t="shared" si="43"/>
        <v>69.532336262843131</v>
      </c>
      <c r="G257" s="27">
        <f t="shared" si="44"/>
        <v>0</v>
      </c>
      <c r="H257" s="27">
        <f t="shared" si="44"/>
        <v>22.701564232714428</v>
      </c>
      <c r="I257" s="27">
        <f t="shared" si="44"/>
        <v>1052.9434650933783</v>
      </c>
      <c r="J257" s="27">
        <f t="shared" si="44"/>
        <v>0</v>
      </c>
      <c r="K257" s="27">
        <f t="shared" si="44"/>
        <v>0</v>
      </c>
      <c r="L257" s="27">
        <f t="shared" si="45"/>
        <v>2339.7242862447338</v>
      </c>
      <c r="M257" s="1201">
        <f t="shared" si="46"/>
        <v>3966.1955845730154</v>
      </c>
      <c r="N257" s="27">
        <f t="shared" si="47"/>
        <v>3966.1955845730154</v>
      </c>
    </row>
    <row r="258" spans="1:14">
      <c r="A258" t="s">
        <v>71</v>
      </c>
      <c r="B258" s="27">
        <f t="shared" si="43"/>
        <v>112.72307844404375</v>
      </c>
      <c r="C258" s="27">
        <f t="shared" si="43"/>
        <v>491.6627672763293</v>
      </c>
      <c r="D258" s="27">
        <f t="shared" si="43"/>
        <v>189.54096113034112</v>
      </c>
      <c r="E258" s="27">
        <f t="shared" si="43"/>
        <v>1.6683492464648404</v>
      </c>
      <c r="F258" s="27">
        <f t="shared" si="43"/>
        <v>23.522914184739335</v>
      </c>
      <c r="G258" s="27">
        <f t="shared" si="44"/>
        <v>0</v>
      </c>
      <c r="H258" s="27">
        <f t="shared" si="44"/>
        <v>76.035610658362771</v>
      </c>
      <c r="I258" s="27">
        <f t="shared" si="44"/>
        <v>2458.4830430130251</v>
      </c>
      <c r="J258" s="27">
        <f t="shared" si="44"/>
        <v>0</v>
      </c>
      <c r="K258" s="27">
        <f t="shared" si="44"/>
        <v>0</v>
      </c>
      <c r="L258" s="27">
        <f t="shared" si="45"/>
        <v>1863.1879688203637</v>
      </c>
      <c r="M258" s="1201">
        <f t="shared" si="46"/>
        <v>5216.82469277367</v>
      </c>
      <c r="N258" s="27">
        <f t="shared" si="47"/>
        <v>5216.82469277367</v>
      </c>
    </row>
    <row r="259" spans="1:14">
      <c r="A259" t="s">
        <v>72</v>
      </c>
      <c r="B259" s="27">
        <f t="shared" si="43"/>
        <v>0</v>
      </c>
      <c r="C259" s="27">
        <f t="shared" si="43"/>
        <v>0</v>
      </c>
      <c r="D259" s="27">
        <f t="shared" si="43"/>
        <v>0</v>
      </c>
      <c r="E259" s="27">
        <f t="shared" si="43"/>
        <v>0</v>
      </c>
      <c r="F259" s="27">
        <f t="shared" si="43"/>
        <v>0</v>
      </c>
      <c r="G259" s="27">
        <f t="shared" si="44"/>
        <v>0</v>
      </c>
      <c r="H259" s="27">
        <f t="shared" si="44"/>
        <v>208.79646211899177</v>
      </c>
      <c r="I259" s="27">
        <f t="shared" si="44"/>
        <v>2134.5905944911374</v>
      </c>
      <c r="J259" s="27">
        <f t="shared" si="44"/>
        <v>0</v>
      </c>
      <c r="K259" s="27">
        <f t="shared" si="44"/>
        <v>0</v>
      </c>
      <c r="L259" s="27">
        <f t="shared" si="45"/>
        <v>65.454622292135838</v>
      </c>
      <c r="M259" s="1201">
        <f t="shared" si="46"/>
        <v>2408.8416789022649</v>
      </c>
      <c r="N259" s="27">
        <f t="shared" si="47"/>
        <v>2408.8416789022649</v>
      </c>
    </row>
    <row r="260" spans="1:14">
      <c r="A260" t="s">
        <v>73</v>
      </c>
      <c r="B260" s="27">
        <f t="shared" si="43"/>
        <v>3.6407464032828892E-16</v>
      </c>
      <c r="C260" s="27">
        <f t="shared" si="43"/>
        <v>3.2180850392236113E-15</v>
      </c>
      <c r="D260" s="27">
        <f t="shared" si="43"/>
        <v>2.0784337704565154E-16</v>
      </c>
      <c r="E260" s="27">
        <f t="shared" si="43"/>
        <v>2.6048424577894203E-15</v>
      </c>
      <c r="F260" s="27">
        <f t="shared" si="43"/>
        <v>1.5085035169234478E-14</v>
      </c>
      <c r="G260" s="27">
        <f t="shared" si="44"/>
        <v>0</v>
      </c>
      <c r="H260" s="27">
        <f t="shared" si="44"/>
        <v>20.778277839144554</v>
      </c>
      <c r="I260" s="27">
        <f t="shared" si="44"/>
        <v>696.90755250121674</v>
      </c>
      <c r="J260" s="27">
        <f t="shared" si="44"/>
        <v>0</v>
      </c>
      <c r="K260" s="27">
        <f t="shared" si="44"/>
        <v>0</v>
      </c>
      <c r="L260" s="27">
        <f t="shared" si="45"/>
        <v>0</v>
      </c>
      <c r="M260" s="1201">
        <f t="shared" si="46"/>
        <v>717.68583034036135</v>
      </c>
      <c r="N260" s="27">
        <f t="shared" si="47"/>
        <v>717.68583034036135</v>
      </c>
    </row>
    <row r="261" spans="1:14">
      <c r="A261" t="s">
        <v>74</v>
      </c>
      <c r="B261" s="27">
        <f t="shared" si="43"/>
        <v>0</v>
      </c>
      <c r="C261" s="27">
        <f t="shared" si="43"/>
        <v>0</v>
      </c>
      <c r="D261" s="27">
        <f t="shared" si="43"/>
        <v>0</v>
      </c>
      <c r="E261" s="27">
        <f t="shared" si="43"/>
        <v>0</v>
      </c>
      <c r="F261" s="27">
        <f t="shared" si="43"/>
        <v>0</v>
      </c>
      <c r="G261" s="27">
        <f t="shared" si="44"/>
        <v>0</v>
      </c>
      <c r="H261" s="27">
        <f t="shared" si="44"/>
        <v>16.242550112111658</v>
      </c>
      <c r="I261" s="27">
        <f t="shared" si="44"/>
        <v>384.79358534095076</v>
      </c>
      <c r="J261" s="27">
        <f t="shared" si="44"/>
        <v>0</v>
      </c>
      <c r="K261" s="27">
        <f t="shared" si="44"/>
        <v>0</v>
      </c>
      <c r="L261" s="27">
        <f t="shared" si="45"/>
        <v>0</v>
      </c>
      <c r="M261" s="1201">
        <f t="shared" si="46"/>
        <v>401.0361354530624</v>
      </c>
      <c r="N261" s="27">
        <f t="shared" si="47"/>
        <v>401.0361354530624</v>
      </c>
    </row>
    <row r="262" spans="1:14">
      <c r="A262" t="s">
        <v>75</v>
      </c>
      <c r="B262" s="27">
        <f t="shared" si="43"/>
        <v>0</v>
      </c>
      <c r="C262" s="27">
        <f t="shared" si="43"/>
        <v>0</v>
      </c>
      <c r="D262" s="27">
        <f t="shared" si="43"/>
        <v>0</v>
      </c>
      <c r="E262" s="27">
        <f t="shared" si="43"/>
        <v>0</v>
      </c>
      <c r="F262" s="27">
        <f t="shared" si="43"/>
        <v>0</v>
      </c>
      <c r="G262" s="27">
        <f t="shared" si="44"/>
        <v>0</v>
      </c>
      <c r="H262" s="27">
        <f t="shared" si="44"/>
        <v>17.175121514567198</v>
      </c>
      <c r="I262" s="27">
        <f t="shared" si="44"/>
        <v>419.18301392174044</v>
      </c>
      <c r="J262" s="27">
        <f t="shared" si="44"/>
        <v>0</v>
      </c>
      <c r="K262" s="27">
        <f t="shared" si="44"/>
        <v>0</v>
      </c>
      <c r="L262" s="27">
        <f t="shared" si="45"/>
        <v>0</v>
      </c>
      <c r="M262" s="1201">
        <f t="shared" si="46"/>
        <v>436.35813543630763</v>
      </c>
      <c r="N262" s="27">
        <f t="shared" si="47"/>
        <v>436.35813543630763</v>
      </c>
    </row>
    <row r="263" spans="1:14">
      <c r="A263" t="s">
        <v>76</v>
      </c>
      <c r="B263" s="27">
        <f t="shared" si="43"/>
        <v>0</v>
      </c>
      <c r="C263" s="27">
        <f t="shared" si="43"/>
        <v>0</v>
      </c>
      <c r="D263" s="27">
        <f t="shared" si="43"/>
        <v>0</v>
      </c>
      <c r="E263" s="27">
        <f t="shared" si="43"/>
        <v>0</v>
      </c>
      <c r="F263" s="27">
        <f t="shared" si="43"/>
        <v>0</v>
      </c>
      <c r="G263" s="27">
        <f t="shared" si="44"/>
        <v>0</v>
      </c>
      <c r="H263" s="27">
        <f t="shared" si="44"/>
        <v>3.8197616127438114</v>
      </c>
      <c r="I263" s="27">
        <f t="shared" si="44"/>
        <v>391.69056655136347</v>
      </c>
      <c r="J263" s="27">
        <f t="shared" si="44"/>
        <v>0</v>
      </c>
      <c r="K263" s="27">
        <f t="shared" si="44"/>
        <v>0</v>
      </c>
      <c r="L263" s="27">
        <f t="shared" si="45"/>
        <v>0</v>
      </c>
      <c r="M263" s="1201">
        <f t="shared" si="46"/>
        <v>395.51032816410731</v>
      </c>
      <c r="N263" s="27">
        <f t="shared" si="47"/>
        <v>395.51032816410731</v>
      </c>
    </row>
    <row r="264" spans="1:14">
      <c r="A264" t="s">
        <v>77</v>
      </c>
      <c r="B264" s="27">
        <f t="shared" si="43"/>
        <v>1.4147046176184131E-16</v>
      </c>
      <c r="C264" s="27">
        <f t="shared" si="43"/>
        <v>1.216950208704011E-18</v>
      </c>
      <c r="D264" s="27">
        <f t="shared" si="43"/>
        <v>2.3426291517552214E-17</v>
      </c>
      <c r="E264" s="27">
        <f t="shared" si="43"/>
        <v>8.7255329964077586E-16</v>
      </c>
      <c r="F264" s="27">
        <f t="shared" si="43"/>
        <v>5.1507417583397265E-15</v>
      </c>
      <c r="G264" s="27">
        <f t="shared" si="44"/>
        <v>0</v>
      </c>
      <c r="H264" s="27">
        <f t="shared" si="44"/>
        <v>2.7540298944900354</v>
      </c>
      <c r="I264" s="27">
        <f t="shared" si="44"/>
        <v>317.85726774702658</v>
      </c>
      <c r="J264" s="27">
        <f t="shared" si="44"/>
        <v>0</v>
      </c>
      <c r="K264" s="27">
        <f t="shared" si="44"/>
        <v>0</v>
      </c>
      <c r="L264" s="27">
        <f t="shared" si="45"/>
        <v>0</v>
      </c>
      <c r="M264" s="1201">
        <f t="shared" si="46"/>
        <v>320.61129764151661</v>
      </c>
      <c r="N264" s="27">
        <f t="shared" si="47"/>
        <v>320.61129764151661</v>
      </c>
    </row>
    <row r="265" spans="1:14">
      <c r="A265" s="52" t="s">
        <v>125</v>
      </c>
      <c r="B265" s="53">
        <f t="shared" ref="B265:L265" si="48">SUM(B250:B264)</f>
        <v>1279.629419433835</v>
      </c>
      <c r="C265" s="53">
        <f t="shared" si="48"/>
        <v>685.79323755774351</v>
      </c>
      <c r="D265" s="53">
        <f t="shared" si="48"/>
        <v>619.52684462474485</v>
      </c>
      <c r="E265" s="53">
        <f t="shared" si="48"/>
        <v>4266.2242975830377</v>
      </c>
      <c r="F265" s="53">
        <f t="shared" si="48"/>
        <v>637.66883993649094</v>
      </c>
      <c r="G265" s="53">
        <f t="shared" si="48"/>
        <v>0</v>
      </c>
      <c r="H265" s="53">
        <f t="shared" si="48"/>
        <v>5065.7548126338725</v>
      </c>
      <c r="I265" s="53">
        <f t="shared" si="48"/>
        <v>18170.405671523327</v>
      </c>
      <c r="J265" s="53">
        <f t="shared" si="48"/>
        <v>0</v>
      </c>
      <c r="K265" s="53">
        <f t="shared" si="48"/>
        <v>0</v>
      </c>
      <c r="L265" s="53">
        <f t="shared" si="48"/>
        <v>4268.3668773572335</v>
      </c>
      <c r="M265" s="1201">
        <f t="shared" si="46"/>
        <v>34993.370000650284</v>
      </c>
      <c r="N265" s="1201">
        <f>SUM(N250:N264)</f>
        <v>40155.882444197312</v>
      </c>
    </row>
    <row r="267" spans="1:14">
      <c r="A267" s="106" t="s">
        <v>490</v>
      </c>
      <c r="B267" s="107"/>
      <c r="C267" s="107"/>
      <c r="D267" s="107"/>
      <c r="E267" s="107"/>
      <c r="F267" s="107"/>
      <c r="G267" s="107"/>
      <c r="H267" s="107"/>
      <c r="I267" s="107"/>
      <c r="J267" s="107"/>
      <c r="K267" s="107"/>
      <c r="L267" s="107"/>
    </row>
    <row r="269" spans="1:14" ht="60">
      <c r="A269" s="36" t="s">
        <v>114</v>
      </c>
      <c r="B269" s="36" t="s">
        <v>491</v>
      </c>
      <c r="C269" s="36" t="s">
        <v>492</v>
      </c>
      <c r="D269" s="36" t="s">
        <v>493</v>
      </c>
      <c r="E269" s="36" t="s">
        <v>494</v>
      </c>
    </row>
    <row r="270" spans="1:14">
      <c r="A270" t="s">
        <v>63</v>
      </c>
      <c r="B270" s="27">
        <f>SUM(B250:F250)</f>
        <v>-1.2505208539907073E-13</v>
      </c>
    </row>
    <row r="271" spans="1:14">
      <c r="A271" t="s">
        <v>64</v>
      </c>
      <c r="B271" s="27">
        <f t="shared" ref="B271:B284" si="49">SUM(B251:F251)</f>
        <v>0</v>
      </c>
    </row>
    <row r="272" spans="1:14">
      <c r="A272" t="s">
        <v>65</v>
      </c>
      <c r="B272" s="27">
        <f t="shared" si="49"/>
        <v>0</v>
      </c>
    </row>
    <row r="273" spans="1:14">
      <c r="A273" t="s">
        <v>66</v>
      </c>
      <c r="B273" s="27">
        <f t="shared" si="49"/>
        <v>0</v>
      </c>
    </row>
    <row r="274" spans="1:14">
      <c r="A274" t="s">
        <v>67</v>
      </c>
      <c r="B274" s="27">
        <f>SUM(B254:F254)</f>
        <v>4727.2530472342851</v>
      </c>
      <c r="C274" s="46">
        <f>IF(B274=0,0,'Other Country-Specific Data'!K197*(B235/B274))*'Achivable Interventions'!$R$21</f>
        <v>1</v>
      </c>
      <c r="D274" s="27">
        <f>B274*C274</f>
        <v>4727.2530472342851</v>
      </c>
      <c r="E274" s="27">
        <f>D274/'Other Technical Data'!$B$16</f>
        <v>6220.0697989924802</v>
      </c>
    </row>
    <row r="275" spans="1:14">
      <c r="A275" t="s">
        <v>68</v>
      </c>
      <c r="B275" s="27">
        <f>SUM(B255:F255)</f>
        <v>1391.6452526174605</v>
      </c>
      <c r="C275" s="46">
        <f>IF(B275=0,0,'Other Country-Specific Data'!K198*(B236/B275))*'Achivable Interventions'!$R$21</f>
        <v>1</v>
      </c>
      <c r="D275" s="27">
        <f>B275*C275</f>
        <v>1391.6452526174605</v>
      </c>
      <c r="E275" s="27">
        <f>D275/'Other Technical Data'!$B$16</f>
        <v>1831.1121744966586</v>
      </c>
    </row>
    <row r="276" spans="1:14">
      <c r="A276" t="s">
        <v>69</v>
      </c>
      <c r="B276" s="27">
        <f t="shared" si="49"/>
        <v>0</v>
      </c>
    </row>
    <row r="277" spans="1:14">
      <c r="A277" t="s">
        <v>70</v>
      </c>
      <c r="B277" s="27">
        <f t="shared" si="49"/>
        <v>550.82626900218884</v>
      </c>
      <c r="C277" s="46">
        <f>IF(B277=0,0,'Other Country-Specific Data'!K199*(B238/B277))*'Achivable Interventions'!$R$21</f>
        <v>1</v>
      </c>
      <c r="D277" s="27">
        <f>B277*C277</f>
        <v>550.82626900218884</v>
      </c>
      <c r="E277" s="27">
        <f>D277/'Other Technical Data'!$B$16</f>
        <v>724.77140658182736</v>
      </c>
    </row>
    <row r="278" spans="1:14">
      <c r="A278" t="s">
        <v>71</v>
      </c>
      <c r="B278" s="27">
        <f>SUM(B258:F258)</f>
        <v>819.11807028191822</v>
      </c>
      <c r="C278" s="46">
        <f>IF(B278=0,0,'Other Country-Specific Data'!K200*(B239/B278))*'Achivable Interventions'!$R$21</f>
        <v>1</v>
      </c>
      <c r="D278" s="27">
        <f>B278*C278</f>
        <v>819.11807028191822</v>
      </c>
      <c r="E278" s="27">
        <f>D278/'Other Technical Data'!$B$16</f>
        <v>1077.7869345814713</v>
      </c>
    </row>
    <row r="279" spans="1:14">
      <c r="A279" t="s">
        <v>72</v>
      </c>
      <c r="B279" s="27">
        <f t="shared" si="49"/>
        <v>0</v>
      </c>
      <c r="C279" s="46">
        <f>IF(B279=0,0,'Other Country-Specific Data'!K201*(B240/B279))*'Achivable Interventions'!$R$21</f>
        <v>0</v>
      </c>
      <c r="D279" s="27">
        <f>B279*C279</f>
        <v>0</v>
      </c>
      <c r="E279" s="27">
        <f>D279/'Other Technical Data'!$B$16</f>
        <v>0</v>
      </c>
    </row>
    <row r="280" spans="1:14">
      <c r="A280" t="s">
        <v>73</v>
      </c>
      <c r="B280" s="27">
        <f t="shared" si="49"/>
        <v>2.1479880683621449E-14</v>
      </c>
    </row>
    <row r="281" spans="1:14">
      <c r="A281" t="s">
        <v>74</v>
      </c>
      <c r="B281" s="27">
        <f t="shared" si="49"/>
        <v>0</v>
      </c>
    </row>
    <row r="282" spans="1:14">
      <c r="A282" t="s">
        <v>75</v>
      </c>
      <c r="B282" s="27">
        <f t="shared" si="49"/>
        <v>0</v>
      </c>
    </row>
    <row r="283" spans="1:14">
      <c r="A283" t="s">
        <v>76</v>
      </c>
      <c r="B283" s="27">
        <f t="shared" si="49"/>
        <v>0</v>
      </c>
    </row>
    <row r="284" spans="1:14">
      <c r="A284" t="s">
        <v>77</v>
      </c>
      <c r="B284" s="27">
        <f t="shared" si="49"/>
        <v>6.1894087614685994E-15</v>
      </c>
    </row>
    <row r="286" spans="1:14">
      <c r="A286" s="26" t="s">
        <v>495</v>
      </c>
    </row>
    <row r="287" spans="1:14">
      <c r="A287" s="45" t="s">
        <v>496</v>
      </c>
      <c r="B287" s="51"/>
      <c r="C287" s="51"/>
      <c r="D287" s="51"/>
      <c r="E287" s="51"/>
      <c r="F287" s="51"/>
      <c r="G287" s="51"/>
      <c r="H287" s="51"/>
      <c r="I287" s="51"/>
      <c r="J287" s="51"/>
      <c r="K287" s="51"/>
      <c r="L287" s="51"/>
    </row>
    <row r="288" spans="1:14" ht="45">
      <c r="A288" s="36" t="s">
        <v>114</v>
      </c>
      <c r="B288" s="37" t="s">
        <v>40</v>
      </c>
      <c r="C288" s="37" t="s">
        <v>41</v>
      </c>
      <c r="D288" s="37" t="s">
        <v>42</v>
      </c>
      <c r="E288" s="37" t="s">
        <v>43</v>
      </c>
      <c r="F288" s="37" t="s">
        <v>44</v>
      </c>
      <c r="G288" s="37" t="s">
        <v>45</v>
      </c>
      <c r="H288" s="37" t="s">
        <v>46</v>
      </c>
      <c r="I288" s="37" t="s">
        <v>47</v>
      </c>
      <c r="J288" s="37" t="s">
        <v>419</v>
      </c>
      <c r="K288" s="37" t="s">
        <v>49</v>
      </c>
      <c r="L288" s="37" t="s">
        <v>420</v>
      </c>
      <c r="M288" s="54" t="s">
        <v>421</v>
      </c>
      <c r="N288" s="54" t="s">
        <v>422</v>
      </c>
    </row>
    <row r="289" spans="1:14">
      <c r="A289" t="s">
        <v>63</v>
      </c>
      <c r="B289" s="27">
        <f t="shared" ref="B289:F303" si="50">B250*(1-$C270)</f>
        <v>-4.6397808091336228E-14</v>
      </c>
      <c r="C289" s="27">
        <f t="shared" si="50"/>
        <v>-7.9891805038149297E-16</v>
      </c>
      <c r="D289" s="27">
        <f t="shared" si="50"/>
        <v>-3.6092009933007726E-17</v>
      </c>
      <c r="E289" s="27">
        <f t="shared" si="50"/>
        <v>-4.4613394651089047E-15</v>
      </c>
      <c r="F289" s="27">
        <f t="shared" si="50"/>
        <v>-7.3357927782311091E-14</v>
      </c>
      <c r="G289" s="27">
        <f t="shared" ref="G289:I303" si="51">G250</f>
        <v>0</v>
      </c>
      <c r="H289" s="27">
        <f t="shared" si="51"/>
        <v>372.67749120750295</v>
      </c>
      <c r="I289" s="27">
        <f t="shared" si="51"/>
        <v>693.43627409993496</v>
      </c>
      <c r="J289" s="27">
        <f t="shared" ref="J289:J303" si="52">E270</f>
        <v>0</v>
      </c>
      <c r="K289" s="27">
        <f t="shared" ref="K289:L303" si="53">K250</f>
        <v>0</v>
      </c>
      <c r="L289" s="27">
        <f t="shared" si="53"/>
        <v>0</v>
      </c>
      <c r="M289" s="1201">
        <f>SUM(B289:L289)</f>
        <v>1066.1137653074379</v>
      </c>
      <c r="N289" s="27">
        <f>M289</f>
        <v>1066.1137653074379</v>
      </c>
    </row>
    <row r="290" spans="1:14">
      <c r="A290" t="s">
        <v>64</v>
      </c>
      <c r="B290" s="27">
        <f t="shared" si="50"/>
        <v>0</v>
      </c>
      <c r="C290" s="27">
        <f t="shared" si="50"/>
        <v>0</v>
      </c>
      <c r="D290" s="27">
        <f t="shared" si="50"/>
        <v>0</v>
      </c>
      <c r="E290" s="27">
        <f t="shared" si="50"/>
        <v>0</v>
      </c>
      <c r="F290" s="27">
        <f t="shared" si="50"/>
        <v>0</v>
      </c>
      <c r="G290" s="27">
        <f t="shared" si="51"/>
        <v>0</v>
      </c>
      <c r="H290" s="27">
        <f t="shared" si="51"/>
        <v>247.61576787807738</v>
      </c>
      <c r="I290" s="27">
        <f t="shared" si="51"/>
        <v>637.03273384251565</v>
      </c>
      <c r="J290" s="27">
        <f t="shared" si="52"/>
        <v>0</v>
      </c>
      <c r="K290" s="27">
        <f t="shared" si="53"/>
        <v>0</v>
      </c>
      <c r="L290" s="27">
        <f t="shared" si="53"/>
        <v>0</v>
      </c>
      <c r="M290" s="1201">
        <f t="shared" ref="M290:M304" si="54">SUM(B290:L290)</f>
        <v>884.648501720593</v>
      </c>
      <c r="N290" s="27">
        <f t="shared" ref="N290:N303" si="55">M290</f>
        <v>884.648501720593</v>
      </c>
    </row>
    <row r="291" spans="1:14">
      <c r="A291" t="s">
        <v>65</v>
      </c>
      <c r="B291" s="27">
        <f t="shared" si="50"/>
        <v>0</v>
      </c>
      <c r="C291" s="27">
        <f t="shared" si="50"/>
        <v>0</v>
      </c>
      <c r="D291" s="27">
        <f t="shared" si="50"/>
        <v>0</v>
      </c>
      <c r="E291" s="27">
        <f t="shared" si="50"/>
        <v>0</v>
      </c>
      <c r="F291" s="27">
        <f t="shared" si="50"/>
        <v>0</v>
      </c>
      <c r="G291" s="27">
        <f t="shared" si="51"/>
        <v>0</v>
      </c>
      <c r="H291" s="27">
        <f t="shared" si="51"/>
        <v>7.7744138335287216</v>
      </c>
      <c r="I291" s="27">
        <f t="shared" si="51"/>
        <v>154.95325231861261</v>
      </c>
      <c r="J291" s="27">
        <f t="shared" si="52"/>
        <v>0</v>
      </c>
      <c r="K291" s="27">
        <f t="shared" si="53"/>
        <v>0</v>
      </c>
      <c r="L291" s="27">
        <f t="shared" si="53"/>
        <v>0</v>
      </c>
      <c r="M291" s="1201">
        <f t="shared" si="54"/>
        <v>162.72766615214132</v>
      </c>
      <c r="N291" s="27">
        <f t="shared" si="55"/>
        <v>162.72766615214132</v>
      </c>
    </row>
    <row r="292" spans="1:14">
      <c r="A292" t="s">
        <v>66</v>
      </c>
      <c r="B292" s="27">
        <f t="shared" si="50"/>
        <v>0</v>
      </c>
      <c r="C292" s="27">
        <f t="shared" si="50"/>
        <v>0</v>
      </c>
      <c r="D292" s="27">
        <f t="shared" si="50"/>
        <v>0</v>
      </c>
      <c r="E292" s="27">
        <f t="shared" si="50"/>
        <v>0</v>
      </c>
      <c r="F292" s="27">
        <f t="shared" si="50"/>
        <v>0</v>
      </c>
      <c r="G292" s="27">
        <f t="shared" si="51"/>
        <v>0</v>
      </c>
      <c r="H292" s="27">
        <f t="shared" si="51"/>
        <v>289.67050849941381</v>
      </c>
      <c r="I292" s="27">
        <f t="shared" si="51"/>
        <v>368.54841253898041</v>
      </c>
      <c r="J292" s="27">
        <f t="shared" si="52"/>
        <v>0</v>
      </c>
      <c r="K292" s="27">
        <f t="shared" si="53"/>
        <v>0</v>
      </c>
      <c r="L292" s="27">
        <f t="shared" si="53"/>
        <v>0</v>
      </c>
      <c r="M292" s="1201">
        <f t="shared" si="54"/>
        <v>658.21892103839423</v>
      </c>
      <c r="N292" s="27">
        <f t="shared" si="55"/>
        <v>658.21892103839423</v>
      </c>
    </row>
    <row r="293" spans="1:14">
      <c r="A293" t="s">
        <v>67</v>
      </c>
      <c r="B293" s="27">
        <f t="shared" si="50"/>
        <v>0</v>
      </c>
      <c r="C293" s="27">
        <f t="shared" si="50"/>
        <v>0</v>
      </c>
      <c r="D293" s="27">
        <f t="shared" si="50"/>
        <v>0</v>
      </c>
      <c r="E293" s="27">
        <f t="shared" si="50"/>
        <v>0</v>
      </c>
      <c r="F293" s="27">
        <f t="shared" si="50"/>
        <v>0</v>
      </c>
      <c r="G293" s="27">
        <f t="shared" si="51"/>
        <v>0</v>
      </c>
      <c r="H293" s="27">
        <f t="shared" si="51"/>
        <v>859.24830396094785</v>
      </c>
      <c r="I293" s="27">
        <f t="shared" si="51"/>
        <v>1352.0816029901944</v>
      </c>
      <c r="J293" s="27">
        <f t="shared" si="52"/>
        <v>6220.0697989924802</v>
      </c>
      <c r="K293" s="27">
        <f t="shared" si="53"/>
        <v>0</v>
      </c>
      <c r="L293" s="27">
        <f t="shared" si="53"/>
        <v>0</v>
      </c>
      <c r="M293" s="1201">
        <f t="shared" si="54"/>
        <v>8431.3997059436224</v>
      </c>
      <c r="N293" s="27">
        <f t="shared" si="55"/>
        <v>8431.3997059436224</v>
      </c>
    </row>
    <row r="294" spans="1:14">
      <c r="A294" t="s">
        <v>68</v>
      </c>
      <c r="B294" s="27">
        <f t="shared" si="50"/>
        <v>0</v>
      </c>
      <c r="C294" s="27">
        <f t="shared" si="50"/>
        <v>0</v>
      </c>
      <c r="D294" s="27">
        <f t="shared" si="50"/>
        <v>0</v>
      </c>
      <c r="E294" s="27">
        <f t="shared" si="50"/>
        <v>0</v>
      </c>
      <c r="F294" s="27">
        <f t="shared" si="50"/>
        <v>0</v>
      </c>
      <c r="G294" s="27">
        <f t="shared" si="51"/>
        <v>0</v>
      </c>
      <c r="H294" s="27">
        <f t="shared" si="51"/>
        <v>2835.4084237976622</v>
      </c>
      <c r="I294" s="27">
        <f t="shared" si="51"/>
        <v>5846.1331817145783</v>
      </c>
      <c r="J294" s="27">
        <f t="shared" si="52"/>
        <v>1831.1121744966586</v>
      </c>
      <c r="K294" s="27">
        <f t="shared" si="53"/>
        <v>0</v>
      </c>
      <c r="L294" s="27">
        <f t="shared" si="53"/>
        <v>0</v>
      </c>
      <c r="M294" s="1201">
        <f t="shared" si="54"/>
        <v>10512.653780008899</v>
      </c>
      <c r="N294" s="540">
        <f>M294+SUM($B$315:$L$315)</f>
        <v>15675.166223555925</v>
      </c>
    </row>
    <row r="295" spans="1:14">
      <c r="A295" t="s">
        <v>69</v>
      </c>
      <c r="B295" s="27">
        <f t="shared" si="50"/>
        <v>0</v>
      </c>
      <c r="C295" s="27">
        <f t="shared" si="50"/>
        <v>0</v>
      </c>
      <c r="D295" s="27">
        <f t="shared" si="50"/>
        <v>0</v>
      </c>
      <c r="E295" s="27">
        <f t="shared" si="50"/>
        <v>0</v>
      </c>
      <c r="F295" s="27">
        <f t="shared" si="50"/>
        <v>0</v>
      </c>
      <c r="G295" s="27">
        <f t="shared" si="51"/>
        <v>0</v>
      </c>
      <c r="H295" s="27">
        <f t="shared" si="51"/>
        <v>85.056525473612666</v>
      </c>
      <c r="I295" s="27">
        <f t="shared" si="51"/>
        <v>1261.7711253586729</v>
      </c>
      <c r="J295" s="27">
        <f t="shared" si="52"/>
        <v>0</v>
      </c>
      <c r="K295" s="27">
        <f t="shared" si="53"/>
        <v>0</v>
      </c>
      <c r="L295" s="27">
        <f t="shared" si="53"/>
        <v>0</v>
      </c>
      <c r="M295" s="1201">
        <f t="shared" si="54"/>
        <v>1346.8276508322856</v>
      </c>
      <c r="N295" s="27">
        <f t="shared" si="55"/>
        <v>1346.8276508322856</v>
      </c>
    </row>
    <row r="296" spans="1:14">
      <c r="A296" t="s">
        <v>70</v>
      </c>
      <c r="B296" s="27">
        <f t="shared" si="50"/>
        <v>0</v>
      </c>
      <c r="C296" s="27">
        <f t="shared" si="50"/>
        <v>0</v>
      </c>
      <c r="D296" s="27">
        <f t="shared" si="50"/>
        <v>0</v>
      </c>
      <c r="E296" s="27">
        <f t="shared" si="50"/>
        <v>0</v>
      </c>
      <c r="F296" s="27">
        <f t="shared" si="50"/>
        <v>0</v>
      </c>
      <c r="G296" s="27">
        <f t="shared" si="51"/>
        <v>0</v>
      </c>
      <c r="H296" s="27">
        <f t="shared" si="51"/>
        <v>22.701564232714428</v>
      </c>
      <c r="I296" s="27">
        <f t="shared" si="51"/>
        <v>1052.9434650933783</v>
      </c>
      <c r="J296" s="27">
        <f t="shared" si="52"/>
        <v>724.77140658182736</v>
      </c>
      <c r="K296" s="27">
        <f t="shared" si="53"/>
        <v>0</v>
      </c>
      <c r="L296" s="27">
        <f t="shared" si="53"/>
        <v>2339.7242862447338</v>
      </c>
      <c r="M296" s="1201">
        <f t="shared" si="54"/>
        <v>4140.1407221526533</v>
      </c>
      <c r="N296" s="27">
        <f t="shared" si="55"/>
        <v>4140.1407221526533</v>
      </c>
    </row>
    <row r="297" spans="1:14">
      <c r="A297" t="s">
        <v>71</v>
      </c>
      <c r="B297" s="27">
        <f t="shared" si="50"/>
        <v>0</v>
      </c>
      <c r="C297" s="27">
        <f t="shared" si="50"/>
        <v>0</v>
      </c>
      <c r="D297" s="27">
        <f t="shared" si="50"/>
        <v>0</v>
      </c>
      <c r="E297" s="27">
        <f t="shared" si="50"/>
        <v>0</v>
      </c>
      <c r="F297" s="27">
        <f t="shared" si="50"/>
        <v>0</v>
      </c>
      <c r="G297" s="27">
        <f t="shared" si="51"/>
        <v>0</v>
      </c>
      <c r="H297" s="27">
        <f t="shared" si="51"/>
        <v>76.035610658362771</v>
      </c>
      <c r="I297" s="27">
        <f t="shared" si="51"/>
        <v>2458.4830430130251</v>
      </c>
      <c r="J297" s="27">
        <f t="shared" si="52"/>
        <v>1077.7869345814713</v>
      </c>
      <c r="K297" s="27">
        <f t="shared" si="53"/>
        <v>0</v>
      </c>
      <c r="L297" s="27">
        <f t="shared" si="53"/>
        <v>1863.1879688203637</v>
      </c>
      <c r="M297" s="1201">
        <f t="shared" si="54"/>
        <v>5475.4935570732223</v>
      </c>
      <c r="N297" s="27">
        <f t="shared" si="55"/>
        <v>5475.4935570732223</v>
      </c>
    </row>
    <row r="298" spans="1:14">
      <c r="A298" t="s">
        <v>72</v>
      </c>
      <c r="B298" s="27">
        <f t="shared" si="50"/>
        <v>0</v>
      </c>
      <c r="C298" s="27">
        <f t="shared" si="50"/>
        <v>0</v>
      </c>
      <c r="D298" s="27">
        <f t="shared" si="50"/>
        <v>0</v>
      </c>
      <c r="E298" s="27">
        <f t="shared" si="50"/>
        <v>0</v>
      </c>
      <c r="F298" s="27">
        <f t="shared" si="50"/>
        <v>0</v>
      </c>
      <c r="G298" s="27">
        <f t="shared" si="51"/>
        <v>0</v>
      </c>
      <c r="H298" s="27">
        <f t="shared" si="51"/>
        <v>208.79646211899177</v>
      </c>
      <c r="I298" s="27">
        <f t="shared" si="51"/>
        <v>2134.5905944911374</v>
      </c>
      <c r="J298" s="27">
        <f t="shared" si="52"/>
        <v>0</v>
      </c>
      <c r="K298" s="27">
        <f t="shared" si="53"/>
        <v>0</v>
      </c>
      <c r="L298" s="27">
        <f t="shared" si="53"/>
        <v>65.454622292135838</v>
      </c>
      <c r="M298" s="1201">
        <f t="shared" si="54"/>
        <v>2408.8416789022649</v>
      </c>
      <c r="N298" s="27">
        <f t="shared" si="55"/>
        <v>2408.8416789022649</v>
      </c>
    </row>
    <row r="299" spans="1:14">
      <c r="A299" t="s">
        <v>73</v>
      </c>
      <c r="B299" s="27">
        <f t="shared" si="50"/>
        <v>3.6407464032828892E-16</v>
      </c>
      <c r="C299" s="27">
        <f t="shared" si="50"/>
        <v>3.2180850392236113E-15</v>
      </c>
      <c r="D299" s="27">
        <f t="shared" si="50"/>
        <v>2.0784337704565154E-16</v>
      </c>
      <c r="E299" s="27">
        <f t="shared" si="50"/>
        <v>2.6048424577894203E-15</v>
      </c>
      <c r="F299" s="27">
        <f t="shared" si="50"/>
        <v>1.5085035169234478E-14</v>
      </c>
      <c r="G299" s="27">
        <f t="shared" si="51"/>
        <v>0</v>
      </c>
      <c r="H299" s="27">
        <f t="shared" si="51"/>
        <v>20.778277839144554</v>
      </c>
      <c r="I299" s="27">
        <f t="shared" si="51"/>
        <v>696.90755250121674</v>
      </c>
      <c r="J299" s="27">
        <f t="shared" si="52"/>
        <v>0</v>
      </c>
      <c r="K299" s="27">
        <f t="shared" si="53"/>
        <v>0</v>
      </c>
      <c r="L299" s="27">
        <f t="shared" si="53"/>
        <v>0</v>
      </c>
      <c r="M299" s="1201">
        <f t="shared" si="54"/>
        <v>717.68583034036135</v>
      </c>
      <c r="N299" s="27">
        <f t="shared" si="55"/>
        <v>717.68583034036135</v>
      </c>
    </row>
    <row r="300" spans="1:14">
      <c r="A300" t="s">
        <v>74</v>
      </c>
      <c r="B300" s="27">
        <f t="shared" si="50"/>
        <v>0</v>
      </c>
      <c r="C300" s="27">
        <f t="shared" si="50"/>
        <v>0</v>
      </c>
      <c r="D300" s="27">
        <f t="shared" si="50"/>
        <v>0</v>
      </c>
      <c r="E300" s="27">
        <f t="shared" si="50"/>
        <v>0</v>
      </c>
      <c r="F300" s="27">
        <f t="shared" si="50"/>
        <v>0</v>
      </c>
      <c r="G300" s="27">
        <f t="shared" si="51"/>
        <v>0</v>
      </c>
      <c r="H300" s="27">
        <f t="shared" si="51"/>
        <v>16.242550112111658</v>
      </c>
      <c r="I300" s="27">
        <f t="shared" si="51"/>
        <v>384.79358534095076</v>
      </c>
      <c r="J300" s="27">
        <f t="shared" si="52"/>
        <v>0</v>
      </c>
      <c r="K300" s="27">
        <f t="shared" si="53"/>
        <v>0</v>
      </c>
      <c r="L300" s="27">
        <f t="shared" si="53"/>
        <v>0</v>
      </c>
      <c r="M300" s="1201">
        <f t="shared" si="54"/>
        <v>401.0361354530624</v>
      </c>
      <c r="N300" s="27">
        <f t="shared" si="55"/>
        <v>401.0361354530624</v>
      </c>
    </row>
    <row r="301" spans="1:14">
      <c r="A301" t="s">
        <v>75</v>
      </c>
      <c r="B301" s="27">
        <f t="shared" si="50"/>
        <v>0</v>
      </c>
      <c r="C301" s="27">
        <f t="shared" si="50"/>
        <v>0</v>
      </c>
      <c r="D301" s="27">
        <f t="shared" si="50"/>
        <v>0</v>
      </c>
      <c r="E301" s="27">
        <f t="shared" si="50"/>
        <v>0</v>
      </c>
      <c r="F301" s="27">
        <f t="shared" si="50"/>
        <v>0</v>
      </c>
      <c r="G301" s="27">
        <f t="shared" si="51"/>
        <v>0</v>
      </c>
      <c r="H301" s="27">
        <f t="shared" si="51"/>
        <v>17.175121514567198</v>
      </c>
      <c r="I301" s="27">
        <f t="shared" si="51"/>
        <v>419.18301392174044</v>
      </c>
      <c r="J301" s="27">
        <f t="shared" si="52"/>
        <v>0</v>
      </c>
      <c r="K301" s="27">
        <f t="shared" si="53"/>
        <v>0</v>
      </c>
      <c r="L301" s="27">
        <f t="shared" si="53"/>
        <v>0</v>
      </c>
      <c r="M301" s="1201">
        <f t="shared" si="54"/>
        <v>436.35813543630763</v>
      </c>
      <c r="N301" s="27">
        <f t="shared" si="55"/>
        <v>436.35813543630763</v>
      </c>
    </row>
    <row r="302" spans="1:14">
      <c r="A302" t="s">
        <v>76</v>
      </c>
      <c r="B302" s="27">
        <f t="shared" si="50"/>
        <v>0</v>
      </c>
      <c r="C302" s="27">
        <f t="shared" si="50"/>
        <v>0</v>
      </c>
      <c r="D302" s="27">
        <f t="shared" si="50"/>
        <v>0</v>
      </c>
      <c r="E302" s="27">
        <f t="shared" si="50"/>
        <v>0</v>
      </c>
      <c r="F302" s="27">
        <f t="shared" si="50"/>
        <v>0</v>
      </c>
      <c r="G302" s="27">
        <f t="shared" si="51"/>
        <v>0</v>
      </c>
      <c r="H302" s="27">
        <f t="shared" si="51"/>
        <v>3.8197616127438114</v>
      </c>
      <c r="I302" s="27">
        <f t="shared" si="51"/>
        <v>391.69056655136347</v>
      </c>
      <c r="J302" s="27">
        <f t="shared" si="52"/>
        <v>0</v>
      </c>
      <c r="K302" s="27">
        <f t="shared" si="53"/>
        <v>0</v>
      </c>
      <c r="L302" s="27">
        <f t="shared" si="53"/>
        <v>0</v>
      </c>
      <c r="M302" s="1201">
        <f t="shared" si="54"/>
        <v>395.51032816410731</v>
      </c>
      <c r="N302" s="27">
        <f t="shared" si="55"/>
        <v>395.51032816410731</v>
      </c>
    </row>
    <row r="303" spans="1:14">
      <c r="A303" t="s">
        <v>77</v>
      </c>
      <c r="B303" s="27">
        <f t="shared" si="50"/>
        <v>1.4147046176184131E-16</v>
      </c>
      <c r="C303" s="27">
        <f t="shared" si="50"/>
        <v>1.216950208704011E-18</v>
      </c>
      <c r="D303" s="27">
        <f t="shared" si="50"/>
        <v>2.3426291517552214E-17</v>
      </c>
      <c r="E303" s="27">
        <f t="shared" si="50"/>
        <v>8.7255329964077586E-16</v>
      </c>
      <c r="F303" s="27">
        <f t="shared" si="50"/>
        <v>5.1507417583397265E-15</v>
      </c>
      <c r="G303" s="27">
        <f t="shared" si="51"/>
        <v>0</v>
      </c>
      <c r="H303" s="27">
        <f t="shared" si="51"/>
        <v>2.7540298944900354</v>
      </c>
      <c r="I303" s="27">
        <f t="shared" si="51"/>
        <v>317.85726774702658</v>
      </c>
      <c r="J303" s="27">
        <f t="shared" si="52"/>
        <v>0</v>
      </c>
      <c r="K303" s="27">
        <f t="shared" si="53"/>
        <v>0</v>
      </c>
      <c r="L303" s="27">
        <f t="shared" si="53"/>
        <v>0</v>
      </c>
      <c r="M303" s="1201">
        <f t="shared" si="54"/>
        <v>320.61129764151661</v>
      </c>
      <c r="N303" s="27">
        <f t="shared" si="55"/>
        <v>320.61129764151661</v>
      </c>
    </row>
    <row r="304" spans="1:14">
      <c r="A304" s="52" t="s">
        <v>125</v>
      </c>
      <c r="B304" s="53">
        <f t="shared" ref="B304:L304" si="56">SUM(B289:B303)</f>
        <v>-4.58922629892461E-14</v>
      </c>
      <c r="C304" s="53">
        <f t="shared" si="56"/>
        <v>2.4203839390508222E-15</v>
      </c>
      <c r="D304" s="53">
        <f t="shared" si="56"/>
        <v>1.9517765863019602E-16</v>
      </c>
      <c r="E304" s="53">
        <f t="shared" si="56"/>
        <v>-9.8394370767870864E-16</v>
      </c>
      <c r="F304" s="53">
        <f t="shared" si="56"/>
        <v>-5.312215085473689E-14</v>
      </c>
      <c r="G304" s="53">
        <f t="shared" si="56"/>
        <v>0</v>
      </c>
      <c r="H304" s="53">
        <f t="shared" si="56"/>
        <v>5065.7548126338725</v>
      </c>
      <c r="I304" s="53">
        <f t="shared" si="56"/>
        <v>18170.405671523327</v>
      </c>
      <c r="J304" s="53">
        <f t="shared" si="56"/>
        <v>9853.7403146524375</v>
      </c>
      <c r="K304" s="53">
        <f t="shared" si="56"/>
        <v>0</v>
      </c>
      <c r="L304" s="53">
        <f t="shared" si="56"/>
        <v>4268.3668773572335</v>
      </c>
      <c r="M304" s="1201">
        <f t="shared" si="54"/>
        <v>37358.267676166877</v>
      </c>
      <c r="N304" s="1201">
        <f>SUM(N289:N303)</f>
        <v>42520.780119713898</v>
      </c>
    </row>
    <row r="306" spans="1:12">
      <c r="A306" s="106" t="s">
        <v>497</v>
      </c>
      <c r="B306" s="107"/>
      <c r="C306" s="107"/>
      <c r="D306" s="107"/>
      <c r="E306" s="107"/>
      <c r="F306" s="107"/>
      <c r="G306" s="107"/>
      <c r="H306" s="107"/>
      <c r="I306" s="107"/>
      <c r="J306" s="107"/>
      <c r="K306" s="107"/>
      <c r="L306" s="107"/>
    </row>
    <row r="308" spans="1:12" ht="45">
      <c r="A308" s="25"/>
      <c r="B308" s="37" t="s">
        <v>273</v>
      </c>
      <c r="C308" s="37" t="s">
        <v>275</v>
      </c>
      <c r="D308" s="37" t="s">
        <v>276</v>
      </c>
      <c r="E308" s="37" t="s">
        <v>279</v>
      </c>
      <c r="F308" s="49"/>
    </row>
    <row r="309" spans="1:12">
      <c r="A309" t="s">
        <v>498</v>
      </c>
      <c r="B309" s="27">
        <f t="array" ref="B309:E309">TRANSPOSE('Other Country-Specific Data'!K3:K6)</f>
        <v>1093.2426150548199</v>
      </c>
      <c r="C309" s="27">
        <v>420.22723038100116</v>
      </c>
      <c r="D309" s="27">
        <v>2431.0375860902577</v>
      </c>
      <c r="E309" s="27">
        <v>714.10300803934615</v>
      </c>
      <c r="F309" s="49"/>
    </row>
    <row r="310" spans="1:12">
      <c r="B310" s="27"/>
      <c r="C310" s="27"/>
      <c r="D310" s="27"/>
      <c r="E310" s="27"/>
      <c r="F310" s="49"/>
    </row>
    <row r="311" spans="1:12">
      <c r="A311" s="23" t="s">
        <v>499</v>
      </c>
      <c r="B311" s="27"/>
      <c r="C311" s="27"/>
      <c r="D311" s="27"/>
      <c r="E311" s="27"/>
      <c r="F311" s="49"/>
    </row>
    <row r="312" spans="1:12" ht="45">
      <c r="A312" s="36"/>
      <c r="B312" s="37" t="s">
        <v>40</v>
      </c>
      <c r="C312" s="37" t="s">
        <v>41</v>
      </c>
      <c r="D312" s="37" t="s">
        <v>42</v>
      </c>
      <c r="E312" s="37" t="s">
        <v>43</v>
      </c>
      <c r="F312" s="37" t="s">
        <v>44</v>
      </c>
      <c r="G312" s="37" t="s">
        <v>276</v>
      </c>
      <c r="H312" s="101"/>
      <c r="I312" s="101"/>
      <c r="J312" s="101"/>
      <c r="K312" s="101"/>
      <c r="L312" s="101"/>
    </row>
    <row r="313" spans="1:12">
      <c r="A313" t="s">
        <v>498</v>
      </c>
      <c r="B313" s="27">
        <f>B309</f>
        <v>1093.2426150548199</v>
      </c>
      <c r="C313" s="27"/>
      <c r="D313" s="27"/>
      <c r="E313" s="27">
        <f>E309</f>
        <v>714.10300803934615</v>
      </c>
      <c r="F313" s="792">
        <f>C309</f>
        <v>420.22723038100116</v>
      </c>
      <c r="G313" s="27">
        <f>D309</f>
        <v>2431.0375860902577</v>
      </c>
    </row>
    <row r="314" spans="1:12">
      <c r="A314" t="s">
        <v>500</v>
      </c>
      <c r="B314" s="27">
        <f>B313*(1+'Other Country-Specific Data'!$K$22*$F$24)</f>
        <v>1589.82244887099</v>
      </c>
      <c r="D314" s="27"/>
      <c r="E314" s="27">
        <f>E313*(1+'Other Country-Specific Data'!$K$22*$F$24)</f>
        <v>1038.4675618689862</v>
      </c>
      <c r="F314" s="27">
        <f>F313*(1+'Other Country-Specific Data'!$K$22*$F$24)</f>
        <v>611.10560024509857</v>
      </c>
      <c r="G314" s="27">
        <f>G313*(1+'Other Country-Specific Data'!$K$22*$F$24)</f>
        <v>3535.2794294628093</v>
      </c>
    </row>
    <row r="315" spans="1:12">
      <c r="A315" t="s">
        <v>501</v>
      </c>
      <c r="B315" s="27">
        <f>B314*(1-'Other Country-Specific Data'!$K$44*'Achivable Interventions'!$R$17)</f>
        <v>1211.4940017527811</v>
      </c>
      <c r="D315" s="27"/>
      <c r="E315" s="27">
        <f>E314*(1-'Other Country-Specific Data'!$K$44*'Achivable Interventions'!$R$17)</f>
        <v>791.3444819656105</v>
      </c>
      <c r="F315" s="27">
        <f>F314*(1-'Other Country-Specific Data'!$K$44*'Achivable Interventions'!$R$17)</f>
        <v>465.68141597209728</v>
      </c>
      <c r="G315" s="27">
        <f>G314*(1-'Other Country-Specific Data'!$K$44*'Achivable Interventions'!$R$17)</f>
        <v>2693.9925438565369</v>
      </c>
    </row>
    <row r="316" spans="1:12">
      <c r="A316" t="s">
        <v>502</v>
      </c>
      <c r="B316" s="27">
        <f>B315*(1-'Achivable Interventions'!$R$22)</f>
        <v>0</v>
      </c>
      <c r="D316" s="27"/>
      <c r="E316" s="27">
        <f>E315*(1-'Achivable Interventions'!$R$22)</f>
        <v>0</v>
      </c>
      <c r="F316" s="27">
        <f>F315*(1-'Achivable Interventions'!$R$22)</f>
        <v>0</v>
      </c>
      <c r="G316" s="27">
        <f>G315*(1-'Achivable Interventions'!$R$22)</f>
        <v>0</v>
      </c>
    </row>
    <row r="318" spans="1:12">
      <c r="A318" t="s">
        <v>503</v>
      </c>
      <c r="B318" s="500">
        <f t="array" ref="B318:F318">TRANSPOSE('Other Country-Specific Data'!K105:K109)</f>
        <v>3.3334259280000003E-3</v>
      </c>
      <c r="C318" s="500">
        <v>3.3334259280000003E-3</v>
      </c>
      <c r="D318" s="500">
        <v>3.3334259280000003E-3</v>
      </c>
      <c r="E318" s="500">
        <v>1.5000416676000002E-2</v>
      </c>
      <c r="F318" s="500">
        <v>1.250034723E-2</v>
      </c>
      <c r="G318" s="773">
        <f>B318</f>
        <v>3.3334259280000003E-3</v>
      </c>
      <c r="H318" s="49" t="s">
        <v>203</v>
      </c>
    </row>
    <row r="319" spans="1:12">
      <c r="A319" t="s">
        <v>504</v>
      </c>
      <c r="B319" s="500">
        <f t="array" ref="B319:F319">TRANSPOSE('Other Country-Specific Data'!K114:K118)</f>
        <v>3.8889969160000003E-3</v>
      </c>
      <c r="C319" s="500">
        <v>3.8889969160000003E-3</v>
      </c>
      <c r="D319" s="500">
        <v>3.8889969160000003E-3</v>
      </c>
      <c r="E319" s="500">
        <v>1.9167199086000002E-2</v>
      </c>
      <c r="F319" s="500">
        <v>1.6944915134E-2</v>
      </c>
      <c r="G319" s="773">
        <f>B319</f>
        <v>3.8889969160000003E-3</v>
      </c>
      <c r="H319" s="49" t="s">
        <v>203</v>
      </c>
    </row>
    <row r="320" spans="1:12">
      <c r="G320" s="23" t="s">
        <v>505</v>
      </c>
    </row>
    <row r="321" spans="1:7">
      <c r="G321" t="s">
        <v>506</v>
      </c>
    </row>
    <row r="322" spans="1:7">
      <c r="A322" s="45" t="s">
        <v>507</v>
      </c>
      <c r="B322" s="51"/>
      <c r="C322" s="51"/>
      <c r="G322" t="s">
        <v>508</v>
      </c>
    </row>
    <row r="323" spans="1:7">
      <c r="A323" t="s">
        <v>509</v>
      </c>
      <c r="B323" s="773">
        <f>SUMPRODUCT(B313:G313,B318:G318)/SUM($B$313:$G$313)</f>
        <v>5.9487171818681014E-3</v>
      </c>
      <c r="C323" s="49" t="s">
        <v>203</v>
      </c>
      <c r="G323" t="s">
        <v>510</v>
      </c>
    </row>
    <row r="324" spans="1:7">
      <c r="A324" t="s">
        <v>511</v>
      </c>
      <c r="B324" s="773">
        <f>SUMPRODUCT(B315:G315,B319:G319)/SUM($B$315:$G$315)</f>
        <v>7.4086435343574718E-3</v>
      </c>
      <c r="C324" s="49" t="s">
        <v>203</v>
      </c>
    </row>
    <row r="326" spans="1:7" ht="45">
      <c r="A326" s="24" t="s">
        <v>512</v>
      </c>
      <c r="B326" s="37" t="s">
        <v>513</v>
      </c>
      <c r="C326" s="37" t="s">
        <v>514</v>
      </c>
      <c r="D326" s="98"/>
    </row>
    <row r="327" spans="1:7">
      <c r="A327" t="s">
        <v>400</v>
      </c>
      <c r="B327" s="27">
        <f>SUM($B$315:$G$315)*'Other Country-Specific Data'!K204*'Achivable Interventions'!$R$22</f>
        <v>1548.7537330641078</v>
      </c>
      <c r="D327" s="49"/>
    </row>
    <row r="328" spans="1:7">
      <c r="A328" t="s">
        <v>515</v>
      </c>
      <c r="B328" s="27">
        <f>SUM($B$315:$G$315)*'Other Country-Specific Data'!K205*'Achivable Interventions'!$R$22</f>
        <v>2065.0049774188105</v>
      </c>
      <c r="C328" s="27">
        <f>B328/'Other Technical Data'!$B$16</f>
        <v>2717.1118123931719</v>
      </c>
      <c r="D328" s="49"/>
    </row>
    <row r="329" spans="1:7">
      <c r="A329" t="s">
        <v>516</v>
      </c>
      <c r="B329" s="27">
        <f>SUM($B$315:$G$315)*'Other Country-Specific Data'!K206*'Achivable Interventions'!$R$22</f>
        <v>1548.7537330641078</v>
      </c>
      <c r="D329" s="49"/>
    </row>
    <row r="330" spans="1:7">
      <c r="A330" t="s">
        <v>517</v>
      </c>
      <c r="B330" s="27">
        <f>SUM(B316:G316)</f>
        <v>0</v>
      </c>
      <c r="D330" s="49"/>
    </row>
    <row r="331" spans="1:7">
      <c r="B331" s="27"/>
      <c r="D331" s="49"/>
    </row>
    <row r="332" spans="1:7">
      <c r="B332" s="27"/>
      <c r="D332" s="49"/>
    </row>
    <row r="333" spans="1:7">
      <c r="A333" s="535" t="s">
        <v>518</v>
      </c>
      <c r="B333" s="27"/>
      <c r="D333" s="49"/>
    </row>
    <row r="334" spans="1:7">
      <c r="A334" t="s">
        <v>519</v>
      </c>
      <c r="B334" s="27"/>
      <c r="D334" s="49"/>
    </row>
    <row r="335" spans="1:7">
      <c r="A335" t="s">
        <v>520</v>
      </c>
      <c r="B335" s="27"/>
      <c r="D335" s="49"/>
    </row>
    <row r="336" spans="1:7">
      <c r="A336" t="s">
        <v>521</v>
      </c>
      <c r="B336" s="27"/>
      <c r="D336" s="49"/>
    </row>
    <row r="337" spans="1:15">
      <c r="A337" t="s">
        <v>522</v>
      </c>
      <c r="B337" s="27"/>
      <c r="D337" s="49"/>
    </row>
    <row r="338" spans="1:15">
      <c r="A338" t="s">
        <v>523</v>
      </c>
      <c r="B338" s="27"/>
      <c r="D338" s="49"/>
    </row>
    <row r="339" spans="1:15">
      <c r="A339" t="s">
        <v>524</v>
      </c>
      <c r="B339" s="27"/>
      <c r="D339" s="49"/>
    </row>
    <row r="340" spans="1:15" ht="30">
      <c r="A340" s="36"/>
      <c r="B340" s="37" t="s">
        <v>40</v>
      </c>
      <c r="C340" s="37" t="s">
        <v>41</v>
      </c>
      <c r="D340" s="37" t="s">
        <v>42</v>
      </c>
      <c r="E340" s="37" t="s">
        <v>43</v>
      </c>
      <c r="F340" s="37" t="s">
        <v>44</v>
      </c>
      <c r="G340" s="54" t="s">
        <v>125</v>
      </c>
      <c r="H340" s="55" t="s">
        <v>116</v>
      </c>
    </row>
    <row r="341" spans="1:15">
      <c r="A341" t="s">
        <v>498</v>
      </c>
      <c r="B341" s="27">
        <f t="shared" ref="B341:E344" si="57">B313*B$371</f>
        <v>98.0961073</v>
      </c>
      <c r="C341" s="27">
        <f t="shared" si="57"/>
        <v>0</v>
      </c>
      <c r="D341" s="27">
        <f t="shared" si="57"/>
        <v>0</v>
      </c>
      <c r="E341" s="27">
        <f t="shared" si="57"/>
        <v>50.058820143999995</v>
      </c>
      <c r="F341" s="27">
        <f>SUM(F313:G313)*F$371</f>
        <v>143.39289902000002</v>
      </c>
      <c r="G341" s="793">
        <f>SUM(B341:F341)</f>
        <v>291.54782646400002</v>
      </c>
      <c r="H341" s="49" t="s">
        <v>288</v>
      </c>
    </row>
    <row r="342" spans="1:15">
      <c r="A342" t="s">
        <v>500</v>
      </c>
      <c r="B342" s="27">
        <f t="shared" si="57"/>
        <v>142.65396480595217</v>
      </c>
      <c r="C342" s="27">
        <f t="shared" si="57"/>
        <v>0</v>
      </c>
      <c r="D342" s="27">
        <f t="shared" si="57"/>
        <v>0</v>
      </c>
      <c r="E342" s="27">
        <f t="shared" si="57"/>
        <v>72.796865885927602</v>
      </c>
      <c r="F342" s="27">
        <f>SUM(F314:G314)*F$371</f>
        <v>208.52576247154033</v>
      </c>
      <c r="G342" s="793">
        <f t="shared" ref="G342:G344" si="58">SUM(B342:F342)</f>
        <v>423.97659316342015</v>
      </c>
      <c r="H342" s="49" t="s">
        <v>288</v>
      </c>
    </row>
    <row r="343" spans="1:15">
      <c r="A343" t="s">
        <v>501</v>
      </c>
      <c r="B343" s="27">
        <f t="shared" si="57"/>
        <v>108.70674446155569</v>
      </c>
      <c r="C343" s="27">
        <f t="shared" si="57"/>
        <v>0</v>
      </c>
      <c r="D343" s="27">
        <f t="shared" si="57"/>
        <v>0</v>
      </c>
      <c r="E343" s="27">
        <f t="shared" si="57"/>
        <v>55.473469021545803</v>
      </c>
      <c r="F343" s="27">
        <f>SUM(F315:G315)*F$371</f>
        <v>158.90309677322739</v>
      </c>
      <c r="G343" s="793">
        <f t="shared" si="58"/>
        <v>323.0833102563289</v>
      </c>
      <c r="H343" s="49" t="s">
        <v>288</v>
      </c>
    </row>
    <row r="344" spans="1:15">
      <c r="A344" t="s">
        <v>502</v>
      </c>
      <c r="B344" s="27">
        <f t="shared" si="57"/>
        <v>0</v>
      </c>
      <c r="C344" s="27">
        <f t="shared" si="57"/>
        <v>0</v>
      </c>
      <c r="D344" s="27">
        <f t="shared" si="57"/>
        <v>0</v>
      </c>
      <c r="E344" s="27">
        <f t="shared" si="57"/>
        <v>0</v>
      </c>
      <c r="F344" s="27">
        <f>SUM(F316:G316)*F$371</f>
        <v>0</v>
      </c>
      <c r="G344" s="27">
        <f t="shared" si="58"/>
        <v>0</v>
      </c>
      <c r="H344" s="49" t="s">
        <v>288</v>
      </c>
    </row>
    <row r="346" spans="1:15">
      <c r="A346" s="26" t="s">
        <v>525</v>
      </c>
    </row>
    <row r="347" spans="1:15">
      <c r="A347" s="45" t="s">
        <v>526</v>
      </c>
      <c r="B347" s="51"/>
      <c r="C347" s="51"/>
      <c r="D347" s="51"/>
      <c r="E347" s="51"/>
      <c r="F347" s="51"/>
      <c r="G347" s="51"/>
      <c r="H347" s="51"/>
      <c r="I347" s="51"/>
      <c r="J347" s="51"/>
      <c r="K347" s="51"/>
      <c r="L347" s="51"/>
    </row>
    <row r="348" spans="1:15" ht="45">
      <c r="A348" s="36" t="s">
        <v>114</v>
      </c>
      <c r="B348" s="37" t="s">
        <v>40</v>
      </c>
      <c r="C348" s="37" t="s">
        <v>41</v>
      </c>
      <c r="D348" s="37" t="s">
        <v>42</v>
      </c>
      <c r="E348" s="37" t="s">
        <v>43</v>
      </c>
      <c r="F348" s="37" t="s">
        <v>44</v>
      </c>
      <c r="G348" s="37" t="s">
        <v>45</v>
      </c>
      <c r="H348" s="37" t="s">
        <v>46</v>
      </c>
      <c r="I348" s="37" t="s">
        <v>47</v>
      </c>
      <c r="J348" s="37" t="s">
        <v>419</v>
      </c>
      <c r="K348" s="37" t="s">
        <v>49</v>
      </c>
      <c r="L348" s="37" t="s">
        <v>420</v>
      </c>
      <c r="M348" s="825" t="s">
        <v>527</v>
      </c>
      <c r="N348" s="54" t="s">
        <v>422</v>
      </c>
      <c r="O348" s="101" t="s">
        <v>87</v>
      </c>
    </row>
    <row r="349" spans="1:15">
      <c r="A349" t="s">
        <v>63</v>
      </c>
      <c r="B349" s="27">
        <f t="shared" ref="B349:L349" si="59">B289</f>
        <v>-4.6397808091336228E-14</v>
      </c>
      <c r="C349" s="27">
        <f t="shared" si="59"/>
        <v>-7.9891805038149297E-16</v>
      </c>
      <c r="D349" s="27">
        <f t="shared" si="59"/>
        <v>-3.6092009933007726E-17</v>
      </c>
      <c r="E349" s="27">
        <f t="shared" si="59"/>
        <v>-4.4613394651089047E-15</v>
      </c>
      <c r="F349" s="27">
        <f t="shared" si="59"/>
        <v>-7.3357927782311091E-14</v>
      </c>
      <c r="G349" s="27">
        <f t="shared" si="59"/>
        <v>0</v>
      </c>
      <c r="H349" s="27">
        <f t="shared" si="59"/>
        <v>372.67749120750295</v>
      </c>
      <c r="I349" s="27">
        <f t="shared" si="59"/>
        <v>693.43627409993496</v>
      </c>
      <c r="J349" s="27">
        <f t="shared" si="59"/>
        <v>0</v>
      </c>
      <c r="K349" s="27">
        <f t="shared" si="59"/>
        <v>0</v>
      </c>
      <c r="L349" s="27">
        <f t="shared" si="59"/>
        <v>0</v>
      </c>
      <c r="N349" s="1202">
        <f t="shared" ref="N349:N364" si="60">SUM(B349:L349)</f>
        <v>1066.1137653074379</v>
      </c>
      <c r="O349">
        <f>IF(N349=0,"",_xlfn.RANK.EQ($N349,$N$349:$N$362,0))</f>
        <v>7</v>
      </c>
    </row>
    <row r="350" spans="1:15">
      <c r="A350" t="s">
        <v>64</v>
      </c>
      <c r="B350" s="27">
        <f t="shared" ref="B350:L350" si="61">B290</f>
        <v>0</v>
      </c>
      <c r="C350" s="27">
        <f t="shared" si="61"/>
        <v>0</v>
      </c>
      <c r="D350" s="27">
        <f t="shared" si="61"/>
        <v>0</v>
      </c>
      <c r="E350" s="27">
        <f t="shared" si="61"/>
        <v>0</v>
      </c>
      <c r="F350" s="27">
        <f t="shared" si="61"/>
        <v>0</v>
      </c>
      <c r="G350" s="27">
        <f t="shared" si="61"/>
        <v>0</v>
      </c>
      <c r="H350" s="27">
        <f t="shared" si="61"/>
        <v>247.61576787807738</v>
      </c>
      <c r="I350" s="27">
        <f t="shared" si="61"/>
        <v>637.03273384251565</v>
      </c>
      <c r="J350" s="27">
        <f t="shared" si="61"/>
        <v>0</v>
      </c>
      <c r="K350" s="27">
        <f t="shared" si="61"/>
        <v>0</v>
      </c>
      <c r="L350" s="27">
        <f t="shared" si="61"/>
        <v>0</v>
      </c>
      <c r="N350" s="1202">
        <f t="shared" si="60"/>
        <v>884.648501720593</v>
      </c>
      <c r="O350">
        <f t="shared" ref="O350:O362" si="62">IF(N350=0,"",_xlfn.RANK.EQ($N350,$N$349:$N$362,0))</f>
        <v>8</v>
      </c>
    </row>
    <row r="351" spans="1:15">
      <c r="A351" t="s">
        <v>65</v>
      </c>
      <c r="B351" s="27">
        <f t="shared" ref="B351:L351" si="63">B291</f>
        <v>0</v>
      </c>
      <c r="C351" s="27">
        <f t="shared" si="63"/>
        <v>0</v>
      </c>
      <c r="D351" s="27">
        <f t="shared" si="63"/>
        <v>0</v>
      </c>
      <c r="E351" s="27">
        <f t="shared" si="63"/>
        <v>0</v>
      </c>
      <c r="F351" s="27">
        <f t="shared" si="63"/>
        <v>0</v>
      </c>
      <c r="G351" s="27">
        <f t="shared" si="63"/>
        <v>0</v>
      </c>
      <c r="H351" s="27">
        <f t="shared" si="63"/>
        <v>7.7744138335287216</v>
      </c>
      <c r="I351" s="27">
        <f t="shared" si="63"/>
        <v>154.95325231861261</v>
      </c>
      <c r="J351" s="27">
        <f t="shared" si="63"/>
        <v>0</v>
      </c>
      <c r="K351" s="27">
        <f t="shared" si="63"/>
        <v>0</v>
      </c>
      <c r="L351" s="27">
        <f t="shared" si="63"/>
        <v>0</v>
      </c>
      <c r="N351" s="1202">
        <f t="shared" si="60"/>
        <v>162.72766615214132</v>
      </c>
      <c r="O351">
        <f t="shared" si="62"/>
        <v>14</v>
      </c>
    </row>
    <row r="352" spans="1:15">
      <c r="A352" t="s">
        <v>66</v>
      </c>
      <c r="B352" s="27">
        <f t="shared" ref="B352:L352" si="64">B292</f>
        <v>0</v>
      </c>
      <c r="C352" s="27">
        <f t="shared" si="64"/>
        <v>0</v>
      </c>
      <c r="D352" s="27">
        <f t="shared" si="64"/>
        <v>0</v>
      </c>
      <c r="E352" s="27">
        <f t="shared" si="64"/>
        <v>0</v>
      </c>
      <c r="F352" s="27">
        <f t="shared" si="64"/>
        <v>0</v>
      </c>
      <c r="G352" s="27">
        <f t="shared" si="64"/>
        <v>0</v>
      </c>
      <c r="H352" s="27">
        <f t="shared" si="64"/>
        <v>289.67050849941381</v>
      </c>
      <c r="I352" s="27">
        <f t="shared" si="64"/>
        <v>368.54841253898041</v>
      </c>
      <c r="J352" s="27">
        <f t="shared" si="64"/>
        <v>0</v>
      </c>
      <c r="K352" s="27">
        <f t="shared" si="64"/>
        <v>0</v>
      </c>
      <c r="L352" s="27">
        <f t="shared" si="64"/>
        <v>0</v>
      </c>
      <c r="N352" s="1202">
        <f t="shared" si="60"/>
        <v>658.21892103839423</v>
      </c>
      <c r="O352">
        <f t="shared" si="62"/>
        <v>10</v>
      </c>
    </row>
    <row r="353" spans="1:15">
      <c r="A353" t="s">
        <v>67</v>
      </c>
      <c r="B353" s="27">
        <f t="shared" ref="B353:L353" si="65">B293</f>
        <v>0</v>
      </c>
      <c r="C353" s="27">
        <f t="shared" si="65"/>
        <v>0</v>
      </c>
      <c r="D353" s="27">
        <f t="shared" si="65"/>
        <v>0</v>
      </c>
      <c r="E353" s="27">
        <f t="shared" si="65"/>
        <v>0</v>
      </c>
      <c r="F353" s="27">
        <f t="shared" si="65"/>
        <v>0</v>
      </c>
      <c r="G353" s="27">
        <f t="shared" si="65"/>
        <v>0</v>
      </c>
      <c r="H353" s="27">
        <f t="shared" si="65"/>
        <v>859.24830396094785</v>
      </c>
      <c r="I353" s="27">
        <f t="shared" si="65"/>
        <v>1352.0816029901944</v>
      </c>
      <c r="J353" s="27">
        <f t="shared" si="65"/>
        <v>6220.0697989924802</v>
      </c>
      <c r="K353" s="27">
        <f t="shared" si="65"/>
        <v>0</v>
      </c>
      <c r="L353" s="27">
        <f t="shared" si="65"/>
        <v>0</v>
      </c>
      <c r="N353" s="1202">
        <f t="shared" si="60"/>
        <v>8431.3997059436224</v>
      </c>
      <c r="O353">
        <f t="shared" si="62"/>
        <v>2</v>
      </c>
    </row>
    <row r="354" spans="1:15">
      <c r="A354" t="s">
        <v>68</v>
      </c>
      <c r="B354" s="27">
        <f t="shared" ref="B354:F363" si="66">B294</f>
        <v>0</v>
      </c>
      <c r="C354" s="27">
        <f t="shared" si="66"/>
        <v>0</v>
      </c>
      <c r="D354" s="27">
        <f t="shared" si="66"/>
        <v>0</v>
      </c>
      <c r="E354" s="27">
        <f t="shared" si="66"/>
        <v>0</v>
      </c>
      <c r="F354" s="27">
        <f t="shared" si="66"/>
        <v>0</v>
      </c>
      <c r="G354" s="540">
        <f>G294+B327</f>
        <v>1548.7537330641078</v>
      </c>
      <c r="H354" s="27">
        <f t="shared" ref="H354:I363" si="67">H294</f>
        <v>2835.4084237976622</v>
      </c>
      <c r="I354" s="27">
        <f t="shared" si="67"/>
        <v>5846.1331817145783</v>
      </c>
      <c r="J354" s="540">
        <f>J294+C328</f>
        <v>4548.2239868898305</v>
      </c>
      <c r="K354" s="540">
        <f>K294+B329</f>
        <v>1548.7537330641078</v>
      </c>
      <c r="L354" s="27">
        <f t="shared" ref="L354:L363" si="68">L294</f>
        <v>0</v>
      </c>
      <c r="N354" s="1202">
        <f>SUM(B354:L354,B330)</f>
        <v>16327.273058530287</v>
      </c>
      <c r="O354">
        <f t="shared" si="62"/>
        <v>1</v>
      </c>
    </row>
    <row r="355" spans="1:15">
      <c r="A355" t="s">
        <v>69</v>
      </c>
      <c r="B355" s="27">
        <f t="shared" si="66"/>
        <v>0</v>
      </c>
      <c r="C355" s="27">
        <f t="shared" si="66"/>
        <v>0</v>
      </c>
      <c r="D355" s="27">
        <f t="shared" si="66"/>
        <v>0</v>
      </c>
      <c r="E355" s="27">
        <f t="shared" si="66"/>
        <v>0</v>
      </c>
      <c r="F355" s="27">
        <f t="shared" si="66"/>
        <v>0</v>
      </c>
      <c r="G355" s="27">
        <f t="shared" ref="G355:G363" si="69">G295</f>
        <v>0</v>
      </c>
      <c r="H355" s="27">
        <f t="shared" si="67"/>
        <v>85.056525473612666</v>
      </c>
      <c r="I355" s="27">
        <f t="shared" si="67"/>
        <v>1261.7711253586729</v>
      </c>
      <c r="J355" s="27">
        <f t="shared" ref="J355:K363" si="70">J295</f>
        <v>0</v>
      </c>
      <c r="K355" s="27">
        <f t="shared" si="70"/>
        <v>0</v>
      </c>
      <c r="L355" s="27">
        <f t="shared" si="68"/>
        <v>0</v>
      </c>
      <c r="N355" s="1202">
        <f t="shared" si="60"/>
        <v>1346.8276508322856</v>
      </c>
      <c r="O355">
        <f t="shared" si="62"/>
        <v>6</v>
      </c>
    </row>
    <row r="356" spans="1:15">
      <c r="A356" t="s">
        <v>70</v>
      </c>
      <c r="B356" s="27">
        <f t="shared" si="66"/>
        <v>0</v>
      </c>
      <c r="C356" s="27">
        <f t="shared" si="66"/>
        <v>0</v>
      </c>
      <c r="D356" s="27">
        <f t="shared" si="66"/>
        <v>0</v>
      </c>
      <c r="E356" s="27">
        <f t="shared" si="66"/>
        <v>0</v>
      </c>
      <c r="F356" s="27">
        <f t="shared" si="66"/>
        <v>0</v>
      </c>
      <c r="G356" s="27">
        <f t="shared" si="69"/>
        <v>0</v>
      </c>
      <c r="H356" s="27">
        <f t="shared" si="67"/>
        <v>22.701564232714428</v>
      </c>
      <c r="I356" s="27">
        <f t="shared" si="67"/>
        <v>1052.9434650933783</v>
      </c>
      <c r="J356" s="27">
        <f t="shared" si="70"/>
        <v>724.77140658182736</v>
      </c>
      <c r="K356" s="27">
        <f t="shared" si="70"/>
        <v>0</v>
      </c>
      <c r="L356" s="27">
        <f t="shared" si="68"/>
        <v>2339.7242862447338</v>
      </c>
      <c r="N356" s="1202">
        <f t="shared" si="60"/>
        <v>4140.1407221526533</v>
      </c>
      <c r="O356">
        <f t="shared" si="62"/>
        <v>4</v>
      </c>
    </row>
    <row r="357" spans="1:15">
      <c r="A357" t="s">
        <v>71</v>
      </c>
      <c r="B357" s="27">
        <f t="shared" si="66"/>
        <v>0</v>
      </c>
      <c r="C357" s="27">
        <f t="shared" si="66"/>
        <v>0</v>
      </c>
      <c r="D357" s="27">
        <f t="shared" si="66"/>
        <v>0</v>
      </c>
      <c r="E357" s="27">
        <f t="shared" si="66"/>
        <v>0</v>
      </c>
      <c r="F357" s="27">
        <f t="shared" si="66"/>
        <v>0</v>
      </c>
      <c r="G357" s="27">
        <f t="shared" si="69"/>
        <v>0</v>
      </c>
      <c r="H357" s="27">
        <f t="shared" si="67"/>
        <v>76.035610658362771</v>
      </c>
      <c r="I357" s="27">
        <f t="shared" si="67"/>
        <v>2458.4830430130251</v>
      </c>
      <c r="J357" s="27">
        <f t="shared" si="70"/>
        <v>1077.7869345814713</v>
      </c>
      <c r="K357" s="27">
        <f t="shared" si="70"/>
        <v>0</v>
      </c>
      <c r="L357" s="27">
        <f t="shared" si="68"/>
        <v>1863.1879688203637</v>
      </c>
      <c r="N357" s="1202">
        <f t="shared" si="60"/>
        <v>5475.4935570732223</v>
      </c>
      <c r="O357">
        <f t="shared" si="62"/>
        <v>3</v>
      </c>
    </row>
    <row r="358" spans="1:15">
      <c r="A358" t="s">
        <v>72</v>
      </c>
      <c r="B358" s="27">
        <f t="shared" si="66"/>
        <v>0</v>
      </c>
      <c r="C358" s="27">
        <f t="shared" si="66"/>
        <v>0</v>
      </c>
      <c r="D358" s="27">
        <f t="shared" si="66"/>
        <v>0</v>
      </c>
      <c r="E358" s="27">
        <f t="shared" si="66"/>
        <v>0</v>
      </c>
      <c r="F358" s="27">
        <f t="shared" si="66"/>
        <v>0</v>
      </c>
      <c r="G358" s="27">
        <f t="shared" si="69"/>
        <v>0</v>
      </c>
      <c r="H358" s="27">
        <f t="shared" si="67"/>
        <v>208.79646211899177</v>
      </c>
      <c r="I358" s="27">
        <f t="shared" si="67"/>
        <v>2134.5905944911374</v>
      </c>
      <c r="J358" s="27">
        <f t="shared" si="70"/>
        <v>0</v>
      </c>
      <c r="K358" s="27">
        <f t="shared" si="70"/>
        <v>0</v>
      </c>
      <c r="L358" s="27">
        <f t="shared" si="68"/>
        <v>65.454622292135838</v>
      </c>
      <c r="N358" s="1202">
        <f t="shared" si="60"/>
        <v>2408.8416789022649</v>
      </c>
      <c r="O358">
        <f t="shared" si="62"/>
        <v>5</v>
      </c>
    </row>
    <row r="359" spans="1:15">
      <c r="A359" t="s">
        <v>73</v>
      </c>
      <c r="B359" s="27">
        <f t="shared" si="66"/>
        <v>3.6407464032828892E-16</v>
      </c>
      <c r="C359" s="27">
        <f t="shared" si="66"/>
        <v>3.2180850392236113E-15</v>
      </c>
      <c r="D359" s="27">
        <f t="shared" si="66"/>
        <v>2.0784337704565154E-16</v>
      </c>
      <c r="E359" s="27">
        <f t="shared" si="66"/>
        <v>2.6048424577894203E-15</v>
      </c>
      <c r="F359" s="27">
        <f t="shared" si="66"/>
        <v>1.5085035169234478E-14</v>
      </c>
      <c r="G359" s="27">
        <f t="shared" si="69"/>
        <v>0</v>
      </c>
      <c r="H359" s="27">
        <f t="shared" si="67"/>
        <v>20.778277839144554</v>
      </c>
      <c r="I359" s="27">
        <f t="shared" si="67"/>
        <v>696.90755250121674</v>
      </c>
      <c r="J359" s="27">
        <f t="shared" si="70"/>
        <v>0</v>
      </c>
      <c r="K359" s="27">
        <f t="shared" si="70"/>
        <v>0</v>
      </c>
      <c r="L359" s="27">
        <f t="shared" si="68"/>
        <v>0</v>
      </c>
      <c r="N359" s="1202">
        <f t="shared" si="60"/>
        <v>717.68583034036135</v>
      </c>
      <c r="O359">
        <f t="shared" si="62"/>
        <v>9</v>
      </c>
    </row>
    <row r="360" spans="1:15">
      <c r="A360" t="s">
        <v>74</v>
      </c>
      <c r="B360" s="27">
        <f t="shared" si="66"/>
        <v>0</v>
      </c>
      <c r="C360" s="27">
        <f t="shared" si="66"/>
        <v>0</v>
      </c>
      <c r="D360" s="27">
        <f t="shared" si="66"/>
        <v>0</v>
      </c>
      <c r="E360" s="27">
        <f t="shared" si="66"/>
        <v>0</v>
      </c>
      <c r="F360" s="27">
        <f t="shared" si="66"/>
        <v>0</v>
      </c>
      <c r="G360" s="27">
        <f t="shared" si="69"/>
        <v>0</v>
      </c>
      <c r="H360" s="27">
        <f t="shared" si="67"/>
        <v>16.242550112111658</v>
      </c>
      <c r="I360" s="27">
        <f t="shared" si="67"/>
        <v>384.79358534095076</v>
      </c>
      <c r="J360" s="27">
        <f t="shared" si="70"/>
        <v>0</v>
      </c>
      <c r="K360" s="27">
        <f t="shared" si="70"/>
        <v>0</v>
      </c>
      <c r="L360" s="27">
        <f t="shared" si="68"/>
        <v>0</v>
      </c>
      <c r="N360" s="1202">
        <f t="shared" si="60"/>
        <v>401.0361354530624</v>
      </c>
      <c r="O360">
        <f t="shared" si="62"/>
        <v>12</v>
      </c>
    </row>
    <row r="361" spans="1:15">
      <c r="A361" t="s">
        <v>75</v>
      </c>
      <c r="B361" s="27">
        <f t="shared" si="66"/>
        <v>0</v>
      </c>
      <c r="C361" s="27">
        <f t="shared" si="66"/>
        <v>0</v>
      </c>
      <c r="D361" s="27">
        <f t="shared" si="66"/>
        <v>0</v>
      </c>
      <c r="E361" s="27">
        <f t="shared" si="66"/>
        <v>0</v>
      </c>
      <c r="F361" s="27">
        <f t="shared" si="66"/>
        <v>0</v>
      </c>
      <c r="G361" s="27">
        <f t="shared" si="69"/>
        <v>0</v>
      </c>
      <c r="H361" s="27">
        <f t="shared" si="67"/>
        <v>17.175121514567198</v>
      </c>
      <c r="I361" s="27">
        <f t="shared" si="67"/>
        <v>419.18301392174044</v>
      </c>
      <c r="J361" s="27">
        <f t="shared" si="70"/>
        <v>0</v>
      </c>
      <c r="K361" s="27">
        <f t="shared" si="70"/>
        <v>0</v>
      </c>
      <c r="L361" s="27">
        <f t="shared" si="68"/>
        <v>0</v>
      </c>
      <c r="N361" s="1202">
        <f t="shared" si="60"/>
        <v>436.35813543630763</v>
      </c>
      <c r="O361">
        <f t="shared" si="62"/>
        <v>11</v>
      </c>
    </row>
    <row r="362" spans="1:15">
      <c r="A362" t="s">
        <v>76</v>
      </c>
      <c r="B362" s="27">
        <f t="shared" si="66"/>
        <v>0</v>
      </c>
      <c r="C362" s="27">
        <f t="shared" si="66"/>
        <v>0</v>
      </c>
      <c r="D362" s="27">
        <f t="shared" si="66"/>
        <v>0</v>
      </c>
      <c r="E362" s="27">
        <f t="shared" si="66"/>
        <v>0</v>
      </c>
      <c r="F362" s="27">
        <f t="shared" si="66"/>
        <v>0</v>
      </c>
      <c r="G362" s="27">
        <f t="shared" si="69"/>
        <v>0</v>
      </c>
      <c r="H362" s="27">
        <f t="shared" si="67"/>
        <v>3.8197616127438114</v>
      </c>
      <c r="I362" s="27">
        <f t="shared" si="67"/>
        <v>391.69056655136347</v>
      </c>
      <c r="J362" s="27">
        <f t="shared" si="70"/>
        <v>0</v>
      </c>
      <c r="K362" s="27">
        <f t="shared" si="70"/>
        <v>0</v>
      </c>
      <c r="L362" s="27">
        <f t="shared" si="68"/>
        <v>0</v>
      </c>
      <c r="N362" s="1202">
        <f t="shared" si="60"/>
        <v>395.51032816410731</v>
      </c>
      <c r="O362">
        <f t="shared" si="62"/>
        <v>13</v>
      </c>
    </row>
    <row r="363" spans="1:15">
      <c r="A363" t="s">
        <v>77</v>
      </c>
      <c r="B363" s="27">
        <f t="shared" si="66"/>
        <v>1.4147046176184131E-16</v>
      </c>
      <c r="C363" s="27">
        <f t="shared" si="66"/>
        <v>1.216950208704011E-18</v>
      </c>
      <c r="D363" s="27">
        <f t="shared" si="66"/>
        <v>2.3426291517552214E-17</v>
      </c>
      <c r="E363" s="27">
        <f t="shared" si="66"/>
        <v>8.7255329964077586E-16</v>
      </c>
      <c r="F363" s="27">
        <f t="shared" si="66"/>
        <v>5.1507417583397265E-15</v>
      </c>
      <c r="G363" s="27">
        <f t="shared" si="69"/>
        <v>0</v>
      </c>
      <c r="H363" s="27">
        <f t="shared" si="67"/>
        <v>2.7540298944900354</v>
      </c>
      <c r="I363" s="27">
        <f t="shared" si="67"/>
        <v>317.85726774702658</v>
      </c>
      <c r="J363" s="27">
        <f t="shared" si="70"/>
        <v>0</v>
      </c>
      <c r="K363" s="27">
        <f t="shared" si="70"/>
        <v>0</v>
      </c>
      <c r="L363" s="27">
        <f t="shared" si="68"/>
        <v>0</v>
      </c>
      <c r="N363" s="1202">
        <f t="shared" si="60"/>
        <v>320.61129764151661</v>
      </c>
    </row>
    <row r="364" spans="1:15">
      <c r="A364" s="52" t="s">
        <v>125</v>
      </c>
      <c r="B364" s="53">
        <f t="shared" ref="B364:L364" si="71">SUM(B349:B363)</f>
        <v>-4.58922629892461E-14</v>
      </c>
      <c r="C364" s="53">
        <f t="shared" si="71"/>
        <v>2.4203839390508222E-15</v>
      </c>
      <c r="D364" s="53">
        <f t="shared" si="71"/>
        <v>1.9517765863019602E-16</v>
      </c>
      <c r="E364" s="53">
        <f t="shared" si="71"/>
        <v>-9.8394370767870864E-16</v>
      </c>
      <c r="F364" s="53">
        <f t="shared" si="71"/>
        <v>-5.312215085473689E-14</v>
      </c>
      <c r="G364" s="53">
        <f t="shared" si="71"/>
        <v>1548.7537330641078</v>
      </c>
      <c r="H364" s="53">
        <f t="shared" si="71"/>
        <v>5065.7548126338725</v>
      </c>
      <c r="I364" s="53">
        <f t="shared" si="71"/>
        <v>18170.405671523327</v>
      </c>
      <c r="J364" s="53">
        <f t="shared" si="71"/>
        <v>12570.852127045608</v>
      </c>
      <c r="K364" s="53">
        <f t="shared" si="71"/>
        <v>1548.7537330641078</v>
      </c>
      <c r="L364" s="53">
        <f t="shared" si="71"/>
        <v>4268.3668773572335</v>
      </c>
      <c r="N364" s="1202">
        <f t="shared" si="60"/>
        <v>43172.886954688256</v>
      </c>
    </row>
    <row r="366" spans="1:15">
      <c r="A366" s="106" t="s">
        <v>528</v>
      </c>
      <c r="B366" s="107"/>
      <c r="C366" s="107"/>
      <c r="D366" s="107"/>
      <c r="E366" s="107"/>
      <c r="F366" s="107"/>
      <c r="G366" s="107"/>
    </row>
    <row r="368" spans="1:15" ht="30">
      <c r="A368" s="25"/>
      <c r="B368" s="37" t="s">
        <v>40</v>
      </c>
      <c r="C368" s="37" t="s">
        <v>41</v>
      </c>
      <c r="D368" s="37" t="s">
        <v>42</v>
      </c>
      <c r="E368" s="37" t="s">
        <v>43</v>
      </c>
      <c r="F368" s="37" t="s">
        <v>44</v>
      </c>
      <c r="G368" s="47" t="s">
        <v>116</v>
      </c>
    </row>
    <row r="369" spans="1:7">
      <c r="A369" s="23" t="s">
        <v>529</v>
      </c>
      <c r="B369" s="498">
        <f>'Emission Factors Hub'!E26</f>
        <v>94.67</v>
      </c>
      <c r="C369" s="498">
        <f>'Emission Factors Hub'!E27</f>
        <v>113.67</v>
      </c>
      <c r="D369" s="498">
        <f>'Emission Factors Hub'!E43</f>
        <v>46.85</v>
      </c>
      <c r="E369" s="498">
        <f>'Emission Factors Hub'!E57</f>
        <v>73.959999999999994</v>
      </c>
      <c r="F369" s="498">
        <f>'Emission Factors Hub'!E40</f>
        <v>53.06</v>
      </c>
      <c r="G369" s="49" t="s">
        <v>530</v>
      </c>
    </row>
    <row r="370" spans="1:7">
      <c r="A370" s="23"/>
      <c r="B370" s="498">
        <f>B369/'Unit Conversions'!$E$5</f>
        <v>89.729494578000001</v>
      </c>
      <c r="C370" s="498">
        <f>C369/'Unit Conversions'!$E$5</f>
        <v>107.73794917800001</v>
      </c>
      <c r="D370" s="498">
        <f>D369/'Unit Conversions'!$E$5</f>
        <v>44.405057790000001</v>
      </c>
      <c r="E370" s="498">
        <f>E369/'Unit Conversions'!$E$5</f>
        <v>70.100279063999992</v>
      </c>
      <c r="F370" s="498">
        <f>F369/'Unit Conversions'!$E$5</f>
        <v>50.290979004</v>
      </c>
      <c r="G370" s="49" t="s">
        <v>531</v>
      </c>
    </row>
    <row r="371" spans="1:7">
      <c r="A371" s="23"/>
      <c r="B371" s="498">
        <f>B370/10^3</f>
        <v>8.9729494578000002E-2</v>
      </c>
      <c r="C371" s="498">
        <f>C370/10^3</f>
        <v>0.107737949178</v>
      </c>
      <c r="D371" s="498">
        <f>D370/10^3</f>
        <v>4.4405057790000001E-2</v>
      </c>
      <c r="E371" s="498">
        <f>E370/10^3</f>
        <v>7.0100279063999987E-2</v>
      </c>
      <c r="F371" s="498">
        <f>F370/10^3</f>
        <v>5.0290979004000001E-2</v>
      </c>
      <c r="G371" s="49" t="s">
        <v>326</v>
      </c>
    </row>
    <row r="373" spans="1:7" ht="30">
      <c r="A373" s="24" t="s">
        <v>532</v>
      </c>
      <c r="B373" s="37" t="s">
        <v>40</v>
      </c>
      <c r="C373" s="37" t="s">
        <v>41</v>
      </c>
      <c r="D373" s="37" t="s">
        <v>42</v>
      </c>
      <c r="E373" s="37" t="s">
        <v>43</v>
      </c>
      <c r="F373" s="37" t="s">
        <v>44</v>
      </c>
      <c r="G373" s="498"/>
    </row>
    <row r="374" spans="1:7">
      <c r="A374" s="33" t="s">
        <v>533</v>
      </c>
      <c r="B374" s="27">
        <f>B226-B265</f>
        <v>937.49696054585161</v>
      </c>
      <c r="C374" s="27">
        <f>C226-C265</f>
        <v>981.55527826954051</v>
      </c>
      <c r="D374" s="27">
        <f>D226-D265</f>
        <v>399.87596370294705</v>
      </c>
      <c r="E374" s="27">
        <f>E226-E265</f>
        <v>217.98185764714799</v>
      </c>
      <c r="F374" s="27">
        <f>F226-F265</f>
        <v>202.94351803882432</v>
      </c>
    </row>
    <row r="375" spans="1:7">
      <c r="A375" t="s">
        <v>534</v>
      </c>
      <c r="B375" s="27">
        <f>B374*(1+'Other Technical Data'!$B$19)</f>
        <v>1124.9963526550218</v>
      </c>
      <c r="C375" s="27">
        <f>C374*(1+'Other Technical Data'!$B$19)</f>
        <v>1177.8663339234486</v>
      </c>
      <c r="D375" s="27">
        <f>D374*(1+'Other Technical Data'!$B$19)</f>
        <v>479.85115644353641</v>
      </c>
      <c r="E375" s="27">
        <f>E374*(1+'Other Technical Data'!$B$19)</f>
        <v>261.57822917657757</v>
      </c>
      <c r="F375" s="27">
        <f>F374*(1+'Other Technical Data'!$B$19)</f>
        <v>243.53222164658916</v>
      </c>
    </row>
    <row r="377" spans="1:7" ht="45">
      <c r="A377" s="24" t="s">
        <v>535</v>
      </c>
      <c r="B377" s="37" t="s">
        <v>420</v>
      </c>
      <c r="C377" s="47" t="s">
        <v>116</v>
      </c>
    </row>
    <row r="378" spans="1:7">
      <c r="A378" s="33" t="s">
        <v>536</v>
      </c>
      <c r="B378" s="500">
        <f>IFERROR(SUMPRODUCT(B374:F374,B371:F371)/SUM(B374:F374),0)</f>
        <v>8.5083091852769188E-2</v>
      </c>
      <c r="C378" s="49" t="s">
        <v>326</v>
      </c>
    </row>
    <row r="379" spans="1:7">
      <c r="A379" s="33" t="s">
        <v>537</v>
      </c>
      <c r="B379" s="500">
        <f>B378*(1-'Other Technical Data'!$B$20)</f>
        <v>8.5083091852769174E-3</v>
      </c>
      <c r="C379" s="49" t="s">
        <v>326</v>
      </c>
    </row>
    <row r="380" spans="1:7">
      <c r="A380" t="s">
        <v>538</v>
      </c>
      <c r="B380" s="773">
        <f>IFERROR(($B$375*'Other Country-Specific Data'!$K$105+$C$375*'Other Country-Specific Data'!$K$106+$D$375*'Other Country-Specific Data'!$K$107+$E$375*'Other Country-Specific Data'!$K$108+$F$375*'Other Country-Specific Data'!$K$109)/SUM($B$375:$F$375),0)</f>
        <v>4.9406503468684424E-3</v>
      </c>
      <c r="C380" s="49" t="s">
        <v>203</v>
      </c>
    </row>
    <row r="381" spans="1:7">
      <c r="A381" t="s">
        <v>539</v>
      </c>
      <c r="B381" s="773">
        <f>IFERROR(($B$375*'Other Country-Specific Data'!$K$114+$C$375*'Other Country-Specific Data'!$K$115+$D$375*'Other Country-Specific Data'!$K$116+$E$375*'Other Country-Specific Data'!$K$117+$F$375*'Other Country-Specific Data'!$K$118)/SUM($B$375:$F$375),0)</f>
        <v>6.0715897788027788E-3</v>
      </c>
      <c r="C381" s="49" t="s">
        <v>203</v>
      </c>
    </row>
    <row r="382" spans="1:7">
      <c r="B382" s="500"/>
      <c r="C382" s="49"/>
    </row>
    <row r="383" spans="1:7">
      <c r="A383" s="106" t="s">
        <v>540</v>
      </c>
      <c r="B383" s="107"/>
      <c r="C383" s="107"/>
      <c r="D383" s="107"/>
      <c r="E383" s="107"/>
      <c r="F383" s="107"/>
      <c r="G383" s="107"/>
    </row>
    <row r="385" spans="1:13">
      <c r="A385" s="23" t="s">
        <v>541</v>
      </c>
    </row>
    <row r="386" spans="1:13">
      <c r="A386" s="500">
        <f>'Other Country-Specific Data'!$K$121*(1-Graphs!$B$5)</f>
        <v>2.8611905882000001E-2</v>
      </c>
      <c r="B386" t="s">
        <v>315</v>
      </c>
    </row>
    <row r="388" spans="1:13" ht="30">
      <c r="A388" s="25"/>
      <c r="B388" s="37" t="s">
        <v>39</v>
      </c>
      <c r="C388" s="37" t="s">
        <v>40</v>
      </c>
      <c r="D388" s="37" t="s">
        <v>41</v>
      </c>
      <c r="E388" s="37" t="s">
        <v>42</v>
      </c>
      <c r="F388" s="37" t="s">
        <v>43</v>
      </c>
      <c r="G388" s="37" t="s">
        <v>44</v>
      </c>
      <c r="H388" s="37" t="s">
        <v>45</v>
      </c>
      <c r="I388" s="37" t="s">
        <v>46</v>
      </c>
      <c r="J388" s="37" t="s">
        <v>47</v>
      </c>
      <c r="K388" s="37" t="s">
        <v>82</v>
      </c>
      <c r="L388" s="37" t="s">
        <v>49</v>
      </c>
      <c r="M388" s="37" t="s">
        <v>50</v>
      </c>
    </row>
    <row r="389" spans="1:13">
      <c r="A389" t="s">
        <v>542</v>
      </c>
      <c r="B389" s="500">
        <f>$B$323</f>
        <v>5.9487171818681014E-3</v>
      </c>
      <c r="C389" s="500">
        <f>'Other Country-Specific Data'!K105</f>
        <v>3.3334259280000003E-3</v>
      </c>
      <c r="D389" s="500">
        <f>'Other Country-Specific Data'!K106</f>
        <v>3.3334259280000003E-3</v>
      </c>
      <c r="E389" s="500">
        <f>'Other Country-Specific Data'!K107</f>
        <v>3.3334259280000003E-3</v>
      </c>
      <c r="F389" s="500">
        <f>'Other Country-Specific Data'!K108</f>
        <v>1.5000416676000002E-2</v>
      </c>
      <c r="G389" s="500">
        <f>'Other Country-Specific Data'!K109</f>
        <v>1.250034723E-2</v>
      </c>
      <c r="H389" s="500">
        <f>'Other Country-Specific Data'!K110</f>
        <v>3.3334259280000003E-3</v>
      </c>
      <c r="I389" s="500">
        <f>'Other Country-Specific Data'!K111</f>
        <v>1.7433764747983076E-2</v>
      </c>
      <c r="J389" s="500">
        <f>'Other Country-Specific Data'!K112</f>
        <v>2.6945192918000002E-2</v>
      </c>
      <c r="K389" s="500">
        <f>'H2 Production Cost'!$B$145</f>
        <v>3.2500000000000001E-2</v>
      </c>
      <c r="L389" s="500">
        <f>'H2 Production Cost'!$B$145</f>
        <v>3.2500000000000001E-2</v>
      </c>
      <c r="M389" s="500">
        <f>$B$380</f>
        <v>4.9406503468684424E-3</v>
      </c>
    </row>
    <row r="390" spans="1:13">
      <c r="A390" t="s">
        <v>543</v>
      </c>
      <c r="B390" s="930">
        <f>B389*(1+_xlfn.NUMBERVALUE(Graphs!$H$3))</f>
        <v>5.9487171818681014E-3</v>
      </c>
      <c r="C390" s="930">
        <f>C389*(1+_xlfn.NUMBERVALUE(Graphs!$H$3))</f>
        <v>3.3334259280000003E-3</v>
      </c>
      <c r="D390" s="930">
        <f>D389*(1+_xlfn.NUMBERVALUE(Graphs!$H$3))</f>
        <v>3.3334259280000003E-3</v>
      </c>
      <c r="E390" s="930">
        <f>E389*(1+_xlfn.NUMBERVALUE(Graphs!$H$3))</f>
        <v>3.3334259280000003E-3</v>
      </c>
      <c r="F390" s="930">
        <f>F389*(1+_xlfn.NUMBERVALUE(Graphs!$H$3))</f>
        <v>1.5000416676000002E-2</v>
      </c>
      <c r="G390" s="930">
        <f>G389*(1+_xlfn.NUMBERVALUE(Graphs!$H$3))</f>
        <v>1.250034723E-2</v>
      </c>
      <c r="H390" s="930">
        <f>H389*(1+_xlfn.NUMBERVALUE(Graphs!$H$3))</f>
        <v>3.3334259280000003E-3</v>
      </c>
      <c r="I390" s="930">
        <f>I389*(1+_xlfn.NUMBERVALUE(Graphs!$H$3))</f>
        <v>1.7433764747983076E-2</v>
      </c>
      <c r="J390" s="930">
        <f>J389*(1+_xlfn.NUMBERVALUE(Graphs!$H$3))</f>
        <v>2.6945192918000002E-2</v>
      </c>
      <c r="K390" s="930">
        <f>K389*(1+_xlfn.NUMBERVALUE(Graphs!$H$3))</f>
        <v>3.2500000000000001E-2</v>
      </c>
      <c r="L390" s="930">
        <f>L389*(1+_xlfn.NUMBERVALUE(Graphs!$H$3))</f>
        <v>3.2500000000000001E-2</v>
      </c>
      <c r="M390" s="930">
        <f>M389*(1+_xlfn.NUMBERVALUE(Graphs!$H$3))</f>
        <v>4.9406503468684424E-3</v>
      </c>
    </row>
    <row r="392" spans="1:13">
      <c r="A392" t="s">
        <v>544</v>
      </c>
      <c r="B392" s="500">
        <f>$B$324</f>
        <v>7.4086435343574718E-3</v>
      </c>
      <c r="C392" s="500">
        <f>'Other Country-Specific Data'!K114</f>
        <v>3.8889969160000003E-3</v>
      </c>
      <c r="D392" s="500">
        <f>'Other Country-Specific Data'!K115</f>
        <v>3.8889969160000003E-3</v>
      </c>
      <c r="E392" s="500">
        <f>'Other Country-Specific Data'!K116</f>
        <v>3.8889969160000003E-3</v>
      </c>
      <c r="F392" s="500">
        <f>'Other Country-Specific Data'!K117</f>
        <v>1.9167199086000002E-2</v>
      </c>
      <c r="G392" s="500">
        <f>'Other Country-Specific Data'!K118</f>
        <v>1.6944915134E-2</v>
      </c>
      <c r="H392" s="500">
        <f>'Other Country-Specific Data'!K119</f>
        <v>3.8889969160000003E-3</v>
      </c>
      <c r="I392" s="500">
        <f>'Other Country-Specific Data'!K120</f>
        <v>2.0339392205980255E-2</v>
      </c>
      <c r="J392" s="500">
        <f>A386</f>
        <v>2.8611905882000001E-2</v>
      </c>
      <c r="K392" s="500">
        <f>'H2 Production Cost'!$B$146</f>
        <v>1.5000000000000001E-2</v>
      </c>
      <c r="L392" s="500">
        <f>'H2 Production Cost'!$B$146</f>
        <v>1.5000000000000001E-2</v>
      </c>
      <c r="M392" s="500">
        <f>$B$381</f>
        <v>6.0715897788027788E-3</v>
      </c>
    </row>
    <row r="393" spans="1:13">
      <c r="A393" t="s">
        <v>545</v>
      </c>
      <c r="B393" s="930">
        <f>B392*(1+_xlfn.NUMBERVALUE(Graphs!$H$3))</f>
        <v>7.4086435343574718E-3</v>
      </c>
      <c r="C393" s="930">
        <f>C392*(1+_xlfn.NUMBERVALUE(Graphs!$H$3))</f>
        <v>3.8889969160000003E-3</v>
      </c>
      <c r="D393" s="930">
        <f>D392*(1+_xlfn.NUMBERVALUE(Graphs!$H$3))</f>
        <v>3.8889969160000003E-3</v>
      </c>
      <c r="E393" s="930">
        <f>E392*(1+_xlfn.NUMBERVALUE(Graphs!$H$3))</f>
        <v>3.8889969160000003E-3</v>
      </c>
      <c r="F393" s="930">
        <f>F392*(1+_xlfn.NUMBERVALUE(Graphs!$H$3))</f>
        <v>1.9167199086000002E-2</v>
      </c>
      <c r="G393" s="930">
        <f>G392*(1+_xlfn.NUMBERVALUE(Graphs!$H$3))</f>
        <v>1.6944915134E-2</v>
      </c>
      <c r="H393" s="930">
        <f>H392*(1+_xlfn.NUMBERVALUE(Graphs!$H$3))</f>
        <v>3.8889969160000003E-3</v>
      </c>
      <c r="I393" s="930">
        <f>I392*(1+_xlfn.NUMBERVALUE(Graphs!$H$3))</f>
        <v>2.0339392205980255E-2</v>
      </c>
      <c r="J393" s="930">
        <f>J392*(1+_xlfn.NUMBERVALUE(Graphs!$H$3))</f>
        <v>2.8611905882000001E-2</v>
      </c>
      <c r="K393" s="930">
        <f>K392*(1+_xlfn.NUMBERVALUE(Graphs!$H$3))</f>
        <v>1.5000000000000001E-2</v>
      </c>
      <c r="L393" s="930">
        <f>L392*(1+_xlfn.NUMBERVALUE(Graphs!$H$3))</f>
        <v>1.5000000000000001E-2</v>
      </c>
      <c r="M393" s="930">
        <f>M392*(1+_xlfn.NUMBERVALUE(Graphs!$H$3))</f>
        <v>6.0715897788027788E-3</v>
      </c>
    </row>
    <row r="395" spans="1:13">
      <c r="A395" s="23" t="s">
        <v>546</v>
      </c>
      <c r="B395" s="824">
        <f>B393*$F$24+B390*(1-$F$24)</f>
        <v>7.4086435343574718E-3</v>
      </c>
      <c r="C395" s="824">
        <f t="shared" ref="C395:M395" si="72">C393*$F$24+C390*(1-$F$24)</f>
        <v>3.8889969160000003E-3</v>
      </c>
      <c r="D395" s="824">
        <f t="shared" si="72"/>
        <v>3.8889969160000003E-3</v>
      </c>
      <c r="E395" s="824">
        <f t="shared" si="72"/>
        <v>3.8889969160000003E-3</v>
      </c>
      <c r="F395" s="500">
        <f t="shared" si="72"/>
        <v>1.9167199086000002E-2</v>
      </c>
      <c r="G395" s="824">
        <f t="shared" si="72"/>
        <v>1.6944915134E-2</v>
      </c>
      <c r="H395" s="824">
        <f t="shared" si="72"/>
        <v>3.8889969160000003E-3</v>
      </c>
      <c r="I395" s="824">
        <f t="shared" si="72"/>
        <v>2.0339392205980255E-2</v>
      </c>
      <c r="J395" s="824">
        <f t="shared" si="72"/>
        <v>2.8611905882000001E-2</v>
      </c>
      <c r="K395" s="824">
        <f t="shared" si="72"/>
        <v>1.5000000000000001E-2</v>
      </c>
      <c r="L395" s="824">
        <f t="shared" si="72"/>
        <v>1.5000000000000001E-2</v>
      </c>
      <c r="M395" s="824">
        <f t="shared" si="72"/>
        <v>6.0715897788027788E-3</v>
      </c>
    </row>
    <row r="397" spans="1:13">
      <c r="A397" s="45" t="s">
        <v>547</v>
      </c>
    </row>
    <row r="398" spans="1:13">
      <c r="A398" t="s">
        <v>548</v>
      </c>
    </row>
    <row r="399" spans="1:13">
      <c r="A399" t="s">
        <v>549</v>
      </c>
    </row>
    <row r="400" spans="1:13">
      <c r="A400" t="s">
        <v>550</v>
      </c>
    </row>
    <row r="401" spans="1:14">
      <c r="A401" t="s">
        <v>551</v>
      </c>
    </row>
    <row r="402" spans="1:14">
      <c r="A402" t="s">
        <v>552</v>
      </c>
    </row>
    <row r="403" spans="1:14">
      <c r="A403" t="s">
        <v>553</v>
      </c>
    </row>
    <row r="405" spans="1:14" ht="60">
      <c r="B405" s="101" t="s">
        <v>554</v>
      </c>
      <c r="C405" s="101" t="s">
        <v>555</v>
      </c>
      <c r="D405" s="98" t="s">
        <v>116</v>
      </c>
    </row>
    <row r="406" spans="1:14">
      <c r="A406" t="s">
        <v>51</v>
      </c>
      <c r="B406" s="50">
        <f>E10/E21</f>
        <v>0.49891703985172203</v>
      </c>
      <c r="C406" s="824">
        <f>(1-B406)*F390</f>
        <v>7.5164531914676735E-3</v>
      </c>
      <c r="D406" s="49" t="s">
        <v>556</v>
      </c>
    </row>
    <row r="407" spans="1:14">
      <c r="A407" t="s">
        <v>52</v>
      </c>
      <c r="B407" s="50">
        <f>E48/E59</f>
        <v>0.44997694561925183</v>
      </c>
      <c r="C407" s="824">
        <f>(1-B407)*F$395</f>
        <v>1.0542401385205605E-2</v>
      </c>
      <c r="D407" s="49" t="s">
        <v>556</v>
      </c>
    </row>
    <row r="408" spans="1:14">
      <c r="A408" t="s">
        <v>53</v>
      </c>
      <c r="B408" s="50">
        <f>E88/E99</f>
        <v>0.55093385940607909</v>
      </c>
      <c r="C408" s="824">
        <f t="shared" ref="C408:C413" si="73">(1-B408)*F$395</f>
        <v>8.6073401195453491E-3</v>
      </c>
      <c r="D408" s="49" t="s">
        <v>556</v>
      </c>
    </row>
    <row r="409" spans="1:14">
      <c r="A409" t="s">
        <v>54</v>
      </c>
      <c r="B409" s="50">
        <f>E195/E206</f>
        <v>0.67335691203179526</v>
      </c>
      <c r="C409" s="824">
        <f t="shared" si="73"/>
        <v>6.2608330971523915E-3</v>
      </c>
      <c r="D409" s="49" t="s">
        <v>556</v>
      </c>
    </row>
    <row r="410" spans="1:14">
      <c r="A410" t="s">
        <v>55</v>
      </c>
      <c r="B410" s="50">
        <f>E215/E226</f>
        <v>0.80804498033645711</v>
      </c>
      <c r="C410" s="824">
        <f t="shared" si="73"/>
        <v>3.6792400774481719E-3</v>
      </c>
      <c r="D410" s="49" t="s">
        <v>556</v>
      </c>
    </row>
    <row r="411" spans="1:14">
      <c r="A411" t="s">
        <v>56</v>
      </c>
      <c r="B411" s="50">
        <f>E254/E265</f>
        <v>0.84933187328673698</v>
      </c>
      <c r="C411" s="824">
        <f t="shared" si="73"/>
        <v>2.8878859806277875E-3</v>
      </c>
      <c r="D411" s="49" t="s">
        <v>556</v>
      </c>
    </row>
    <row r="412" spans="1:14">
      <c r="A412" t="s">
        <v>57</v>
      </c>
      <c r="B412" s="50">
        <f>E293/E304</f>
        <v>0</v>
      </c>
      <c r="C412" s="824">
        <f t="shared" si="73"/>
        <v>1.9167199086000002E-2</v>
      </c>
      <c r="D412" s="49" t="s">
        <v>556</v>
      </c>
    </row>
    <row r="413" spans="1:14">
      <c r="A413" t="s">
        <v>58</v>
      </c>
      <c r="B413" s="50">
        <f>E353/E364</f>
        <v>0</v>
      </c>
      <c r="C413" s="824">
        <f t="shared" si="73"/>
        <v>1.9167199086000002E-2</v>
      </c>
      <c r="D413" s="49" t="s">
        <v>556</v>
      </c>
    </row>
    <row r="416" spans="1:14" ht="30">
      <c r="A416" s="25"/>
      <c r="B416" s="37" t="s">
        <v>39</v>
      </c>
      <c r="C416" s="37" t="s">
        <v>40</v>
      </c>
      <c r="D416" s="37" t="s">
        <v>41</v>
      </c>
      <c r="E416" s="37" t="s">
        <v>42</v>
      </c>
      <c r="F416" s="37" t="s">
        <v>43</v>
      </c>
      <c r="G416" s="37" t="s">
        <v>44</v>
      </c>
      <c r="H416" s="37" t="s">
        <v>45</v>
      </c>
      <c r="I416" s="37" t="s">
        <v>46</v>
      </c>
      <c r="J416" s="37" t="s">
        <v>47</v>
      </c>
      <c r="K416" s="37" t="s">
        <v>48</v>
      </c>
      <c r="L416" s="37" t="s">
        <v>49</v>
      </c>
      <c r="M416" s="37" t="s">
        <v>50</v>
      </c>
      <c r="N416" s="47" t="s">
        <v>116</v>
      </c>
    </row>
    <row r="417" spans="1:14">
      <c r="A417" s="23" t="s">
        <v>321</v>
      </c>
      <c r="B417" s="101"/>
      <c r="C417" s="501">
        <f>B$371*'Other Country-Specific Data'!$K$124*$F$24</f>
        <v>0</v>
      </c>
      <c r="D417" s="501">
        <f>C$371*'Other Country-Specific Data'!$K$124*$F$24</f>
        <v>0</v>
      </c>
      <c r="E417" s="501">
        <f>D$371*'Other Country-Specific Data'!$K$124*$F$24</f>
        <v>0</v>
      </c>
      <c r="F417" s="501">
        <f>E$371*'Other Country-Specific Data'!$K$124*$F$24</f>
        <v>0</v>
      </c>
      <c r="G417" s="501">
        <f>F$371*'Other Country-Specific Data'!$K$124*$F$24</f>
        <v>0</v>
      </c>
      <c r="H417" s="101"/>
      <c r="I417" s="101"/>
      <c r="J417" s="101"/>
      <c r="K417" s="101"/>
      <c r="L417" s="501">
        <f>M417</f>
        <v>0</v>
      </c>
      <c r="M417" s="501">
        <f>$B$379*'Other Country-Specific Data'!$K$124*$F$24</f>
        <v>0</v>
      </c>
      <c r="N417" s="49" t="s">
        <v>557</v>
      </c>
    </row>
    <row r="418" spans="1:14">
      <c r="A418" s="23" t="s">
        <v>558</v>
      </c>
      <c r="B418" s="101"/>
      <c r="C418" s="501">
        <f>B$371*'Other Country-Specific Data'!$K$125</f>
        <v>1.1996833425078599</v>
      </c>
      <c r="D418" s="501">
        <f>C$371*'Other Country-Specific Data'!$K$125</f>
        <v>1.44045638050986</v>
      </c>
      <c r="E418" s="501">
        <f>D$371*'Other Country-Specific Data'!$K$125</f>
        <v>0.59369562265230003</v>
      </c>
      <c r="F418" s="501">
        <f>E$371*'Other Country-Specific Data'!$K$125</f>
        <v>0.93724073108567973</v>
      </c>
      <c r="G418" s="501">
        <f>F$371*'Other Country-Specific Data'!$K$125</f>
        <v>0.67239038928347994</v>
      </c>
      <c r="H418" s="960"/>
      <c r="I418" s="960"/>
      <c r="J418" s="960"/>
      <c r="K418" s="960"/>
      <c r="L418" s="501">
        <f>M418</f>
        <v>0.11375609380715238</v>
      </c>
      <c r="M418" s="501">
        <f>$B$379*'Other Country-Specific Data'!$K$125*$F$24</f>
        <v>0.11375609380715238</v>
      </c>
      <c r="N418" s="49" t="s">
        <v>557</v>
      </c>
    </row>
    <row r="419" spans="1:14">
      <c r="A419" s="23" t="s">
        <v>559</v>
      </c>
      <c r="C419" s="501">
        <f>MAX(C418,B$371*Graphs!$B$8*$F$24)</f>
        <v>4.4864747289000002</v>
      </c>
      <c r="D419" s="501">
        <f>MAX(D418,C$371*Graphs!$B$8*$F$24)</f>
        <v>5.3868974589</v>
      </c>
      <c r="E419" s="501">
        <f>MAX(E418,D$371*Graphs!$B$8*$F$24)</f>
        <v>2.2202528895000002</v>
      </c>
      <c r="F419" s="501">
        <f>MAX(F418,E$371*Graphs!$B$8*$F$24)</f>
        <v>3.5050139531999993</v>
      </c>
      <c r="G419" s="501">
        <f>MAX(G418,F$371*Graphs!$B$8*$F$24)</f>
        <v>2.5145489502</v>
      </c>
      <c r="H419" s="501"/>
      <c r="I419" s="501"/>
      <c r="J419" s="501"/>
      <c r="K419" s="501"/>
      <c r="L419" s="501">
        <f>M419</f>
        <v>0.42541545926384589</v>
      </c>
      <c r="M419" s="501">
        <f>MAX(M418,$B$379*Graphs!$B$8*$F$24)</f>
        <v>0.42541545926384589</v>
      </c>
      <c r="N419" s="49" t="s">
        <v>557</v>
      </c>
    </row>
    <row r="421" spans="1:14">
      <c r="A421" s="106" t="s">
        <v>560</v>
      </c>
      <c r="B421" s="107"/>
      <c r="C421" s="107"/>
      <c r="D421" s="107"/>
      <c r="E421" s="107"/>
      <c r="F421" s="107"/>
      <c r="G421" s="107"/>
    </row>
    <row r="423" spans="1:14">
      <c r="A423" s="45" t="s">
        <v>561</v>
      </c>
      <c r="B423" s="51"/>
      <c r="C423" s="51"/>
      <c r="D423" s="51"/>
    </row>
    <row r="424" spans="1:14">
      <c r="A424" s="58" t="s">
        <v>562</v>
      </c>
    </row>
    <row r="425" spans="1:14">
      <c r="A425" t="s">
        <v>563</v>
      </c>
    </row>
    <row r="427" spans="1:14" ht="60">
      <c r="A427" s="36" t="s">
        <v>114</v>
      </c>
      <c r="B427" s="37" t="s">
        <v>563</v>
      </c>
      <c r="C427" s="37" t="s">
        <v>564</v>
      </c>
      <c r="D427" s="37" t="s">
        <v>100</v>
      </c>
      <c r="E427" s="47" t="s">
        <v>116</v>
      </c>
    </row>
    <row r="428" spans="1:14">
      <c r="A428" t="s">
        <v>63</v>
      </c>
      <c r="B428" s="27">
        <f t="shared" ref="B428:B442" si="74">(F65/E65)*D65*M44</f>
        <v>93.957151230949606</v>
      </c>
      <c r="C428" s="791">
        <f>'Other Country-Specific Data'!$K$147</f>
        <v>5.5757370797121624</v>
      </c>
      <c r="D428" s="27">
        <f>B428*C428</f>
        <v>523.88037202252895</v>
      </c>
      <c r="E428" s="49" t="s">
        <v>565</v>
      </c>
    </row>
    <row r="429" spans="1:14">
      <c r="A429" t="s">
        <v>64</v>
      </c>
      <c r="B429" s="27">
        <f t="shared" si="74"/>
        <v>425.50937866354053</v>
      </c>
      <c r="C429" s="791">
        <f>'Other Country-Specific Data'!$K$147</f>
        <v>5.5757370797121624</v>
      </c>
      <c r="D429" s="27">
        <f t="shared" ref="D429:D442" si="75">B429*C429</f>
        <v>2372.5284203795864</v>
      </c>
      <c r="E429" s="49" t="s">
        <v>565</v>
      </c>
    </row>
    <row r="430" spans="1:14">
      <c r="A430" t="s">
        <v>65</v>
      </c>
      <c r="B430" s="27">
        <f t="shared" si="74"/>
        <v>26.080392731535756</v>
      </c>
      <c r="C430" s="791">
        <f>'Other Country-Specific Data'!$K$147</f>
        <v>5.5757370797121624</v>
      </c>
      <c r="D430" s="27">
        <f t="shared" si="75"/>
        <v>145.41741280667949</v>
      </c>
      <c r="E430" s="49" t="s">
        <v>565</v>
      </c>
    </row>
    <row r="431" spans="1:14">
      <c r="A431" t="s">
        <v>66</v>
      </c>
      <c r="B431" s="27">
        <f t="shared" si="74"/>
        <v>138.69240914419697</v>
      </c>
      <c r="C431" s="791">
        <f>'Other Country-Specific Data'!$K$147</f>
        <v>5.5757370797121624</v>
      </c>
      <c r="D431" s="27">
        <f t="shared" si="75"/>
        <v>773.31240833990921</v>
      </c>
      <c r="E431" s="49" t="s">
        <v>565</v>
      </c>
    </row>
    <row r="432" spans="1:14">
      <c r="A432" t="s">
        <v>67</v>
      </c>
      <c r="B432" s="27">
        <f t="shared" si="74"/>
        <v>931.14461335434578</v>
      </c>
      <c r="C432" s="791">
        <f>'Other Country-Specific Data'!$K$147</f>
        <v>5.5757370797121624</v>
      </c>
      <c r="D432" s="27">
        <f t="shared" si="75"/>
        <v>5191.8175472540706</v>
      </c>
      <c r="E432" s="49" t="s">
        <v>565</v>
      </c>
    </row>
    <row r="433" spans="1:5">
      <c r="A433" t="s">
        <v>68</v>
      </c>
      <c r="B433" s="27">
        <f t="shared" si="74"/>
        <v>4758.7530949805005</v>
      </c>
      <c r="C433" s="791">
        <f>'Other Country-Specific Data'!$K$147</f>
        <v>5.5757370797121624</v>
      </c>
      <c r="D433" s="27">
        <f t="shared" si="75"/>
        <v>26533.55608487779</v>
      </c>
      <c r="E433" s="49" t="s">
        <v>565</v>
      </c>
    </row>
    <row r="434" spans="1:5">
      <c r="A434" t="s">
        <v>69</v>
      </c>
      <c r="B434" s="27">
        <f t="shared" si="74"/>
        <v>34.060900972346737</v>
      </c>
      <c r="C434" s="791">
        <f>'Other Country-Specific Data'!$K$147</f>
        <v>5.5757370797121624</v>
      </c>
      <c r="D434" s="27">
        <f t="shared" si="75"/>
        <v>189.91462851991776</v>
      </c>
      <c r="E434" s="49" t="s">
        <v>565</v>
      </c>
    </row>
    <row r="435" spans="1:5">
      <c r="A435" t="s">
        <v>70</v>
      </c>
      <c r="B435" s="27">
        <f t="shared" si="74"/>
        <v>927.38147071459639</v>
      </c>
      <c r="C435" s="973">
        <f>'Other Country-Specific Data'!$K$140</f>
        <v>8.7218925215307532</v>
      </c>
      <c r="D435" s="27">
        <f t="shared" si="75"/>
        <v>8088.5215140318296</v>
      </c>
      <c r="E435" s="49" t="s">
        <v>565</v>
      </c>
    </row>
    <row r="436" spans="1:5">
      <c r="A436" t="s">
        <v>71</v>
      </c>
      <c r="B436" s="27">
        <f t="shared" si="74"/>
        <v>3234.3892092410833</v>
      </c>
      <c r="C436" s="973">
        <f>'Other Country-Specific Data'!$K$133</f>
        <v>2.4295816378935724</v>
      </c>
      <c r="D436" s="27">
        <f t="shared" si="75"/>
        <v>7858.2126325732479</v>
      </c>
      <c r="E436" s="49" t="s">
        <v>565</v>
      </c>
    </row>
    <row r="437" spans="1:5">
      <c r="A437" t="s">
        <v>72</v>
      </c>
      <c r="B437" s="27">
        <f t="shared" si="74"/>
        <v>471.8067116060962</v>
      </c>
      <c r="C437" s="791">
        <f>'Other Country-Specific Data'!$K$147</f>
        <v>5.5757370797121624</v>
      </c>
      <c r="D437" s="27">
        <f t="shared" si="75"/>
        <v>2630.6701763591732</v>
      </c>
      <c r="E437" s="49" t="s">
        <v>565</v>
      </c>
    </row>
    <row r="438" spans="1:5">
      <c r="A438" t="s">
        <v>73</v>
      </c>
      <c r="B438" s="27">
        <f t="shared" si="74"/>
        <v>110.26310735960854</v>
      </c>
      <c r="C438" s="791">
        <f>'Other Country-Specific Data'!$K$147</f>
        <v>5.5757370797121624</v>
      </c>
      <c r="D438" s="27">
        <f t="shared" si="75"/>
        <v>614.79809622925234</v>
      </c>
      <c r="E438" s="49" t="s">
        <v>565</v>
      </c>
    </row>
    <row r="439" spans="1:5">
      <c r="A439" t="s">
        <v>74</v>
      </c>
      <c r="B439" s="27">
        <f t="shared" si="74"/>
        <v>40.633169962772996</v>
      </c>
      <c r="C439" s="791">
        <f>'Other Country-Specific Data'!$K$147</f>
        <v>5.5757370797121624</v>
      </c>
      <c r="D439" s="27">
        <f t="shared" si="75"/>
        <v>226.55987242767986</v>
      </c>
      <c r="E439" s="49" t="s">
        <v>565</v>
      </c>
    </row>
    <row r="440" spans="1:5">
      <c r="A440" t="s">
        <v>75</v>
      </c>
      <c r="B440" s="27">
        <f t="shared" si="74"/>
        <v>122.44841191531776</v>
      </c>
      <c r="C440" s="791">
        <f>'Other Country-Specific Data'!$K$147</f>
        <v>5.5757370797121624</v>
      </c>
      <c r="D440" s="27">
        <f t="shared" si="75"/>
        <v>682.7401506681058</v>
      </c>
      <c r="E440" s="49" t="s">
        <v>565</v>
      </c>
    </row>
    <row r="441" spans="1:5">
      <c r="A441" t="s">
        <v>76</v>
      </c>
      <c r="B441" s="27">
        <f t="shared" si="74"/>
        <v>154.53882333770383</v>
      </c>
      <c r="C441" s="791">
        <f>'Other Country-Specific Data'!$K$147</f>
        <v>5.5757370797121624</v>
      </c>
      <c r="D441" s="27">
        <f t="shared" si="75"/>
        <v>861.66784753912248</v>
      </c>
      <c r="E441" s="49" t="s">
        <v>565</v>
      </c>
    </row>
    <row r="442" spans="1:5">
      <c r="A442" t="s">
        <v>77</v>
      </c>
      <c r="B442" s="27">
        <f t="shared" si="74"/>
        <v>24.4864449003517</v>
      </c>
      <c r="C442" s="791">
        <f>'Other Country-Specific Data'!$K$147</f>
        <v>5.5757370797121624</v>
      </c>
      <c r="D442" s="27">
        <f t="shared" si="75"/>
        <v>136.52997878121977</v>
      </c>
      <c r="E442" s="49" t="s">
        <v>565</v>
      </c>
    </row>
    <row r="443" spans="1:5">
      <c r="A443" s="52" t="s">
        <v>125</v>
      </c>
      <c r="B443" s="53">
        <f>SUM(B428:B442)</f>
        <v>11494.145290114948</v>
      </c>
      <c r="D443" s="936">
        <f>SUM(D428:D442)</f>
        <v>56830.127142810103</v>
      </c>
      <c r="E443" s="49" t="s">
        <v>565</v>
      </c>
    </row>
    <row r="448" spans="1:5">
      <c r="A448" s="45" t="s">
        <v>566</v>
      </c>
      <c r="B448" s="51"/>
      <c r="C448" s="51"/>
      <c r="D448" s="51"/>
    </row>
    <row r="449" spans="1:10" ht="60">
      <c r="A449" s="36" t="s">
        <v>114</v>
      </c>
      <c r="B449" s="37" t="s">
        <v>567</v>
      </c>
      <c r="C449" s="37" t="s">
        <v>568</v>
      </c>
      <c r="D449" s="37" t="s">
        <v>569</v>
      </c>
      <c r="F449" s="37" t="s">
        <v>570</v>
      </c>
      <c r="G449" s="37" t="s">
        <v>571</v>
      </c>
      <c r="H449" s="37" t="s">
        <v>572</v>
      </c>
      <c r="I449" s="37" t="s">
        <v>100</v>
      </c>
      <c r="J449" s="47" t="s">
        <v>116</v>
      </c>
    </row>
    <row r="450" spans="1:10">
      <c r="A450" t="s">
        <v>63</v>
      </c>
      <c r="B450" s="27">
        <f t="shared" ref="B450:B464" si="76">C172</f>
        <v>12.63272539583819</v>
      </c>
      <c r="C450" s="27">
        <f t="shared" ref="C450:C464" si="77">SUM(D172:E172)</f>
        <v>137.4647011469014</v>
      </c>
      <c r="D450" s="27"/>
      <c r="F450" s="791">
        <f>'Other Country-Specific Data'!$K$148</f>
        <v>29.652197760109964</v>
      </c>
      <c r="G450" s="791">
        <f>'Other Country-Specific Data'!$K$149</f>
        <v>59.834526737935391</v>
      </c>
      <c r="I450" s="27">
        <f>B450*F450+C450*G450+D450*H450</f>
        <v>8599.7234079831269</v>
      </c>
      <c r="J450" s="49" t="s">
        <v>565</v>
      </c>
    </row>
    <row r="451" spans="1:10">
      <c r="A451" t="s">
        <v>64</v>
      </c>
      <c r="B451" s="27">
        <f t="shared" si="76"/>
        <v>3.8032049607523319</v>
      </c>
      <c r="C451" s="27">
        <f t="shared" si="77"/>
        <v>25.851833800567473</v>
      </c>
      <c r="D451" s="27"/>
      <c r="F451" s="791">
        <f>'Other Country-Specific Data'!$K$148</f>
        <v>29.652197760109964</v>
      </c>
      <c r="G451" s="791">
        <f>'Other Country-Specific Data'!$K$149</f>
        <v>59.834526737935391</v>
      </c>
      <c r="I451" s="27">
        <f t="shared" ref="I451:I464" si="78">B451*F451+C451*G451+D451*H451</f>
        <v>1659.6056263831756</v>
      </c>
      <c r="J451" s="49" t="s">
        <v>565</v>
      </c>
    </row>
    <row r="452" spans="1:10">
      <c r="A452" t="s">
        <v>65</v>
      </c>
      <c r="B452" s="27">
        <f t="shared" si="76"/>
        <v>1.4505161623192655</v>
      </c>
      <c r="C452" s="27">
        <f t="shared" si="77"/>
        <v>1.8822643491417668</v>
      </c>
      <c r="D452" s="27"/>
      <c r="F452" s="791">
        <f>'Other Country-Specific Data'!$K$148</f>
        <v>29.652197760109964</v>
      </c>
      <c r="G452" s="791">
        <f>'Other Country-Specific Data'!$K$149</f>
        <v>59.834526737935391</v>
      </c>
      <c r="I452" s="27">
        <f t="shared" si="78"/>
        <v>155.63538862591221</v>
      </c>
      <c r="J452" s="49" t="s">
        <v>565</v>
      </c>
    </row>
    <row r="453" spans="1:10">
      <c r="A453" t="s">
        <v>66</v>
      </c>
      <c r="B453" s="27">
        <f t="shared" si="76"/>
        <v>1.698620646467623</v>
      </c>
      <c r="C453" s="27">
        <f t="shared" si="77"/>
        <v>15.079430561363267</v>
      </c>
      <c r="D453" s="27"/>
      <c r="F453" s="791">
        <f>'Other Country-Specific Data'!$K$148</f>
        <v>29.652197760109964</v>
      </c>
      <c r="G453" s="791">
        <f>'Other Country-Specific Data'!$K$149</f>
        <v>59.834526737935391</v>
      </c>
      <c r="I453" s="27">
        <f t="shared" si="78"/>
        <v>952.63842644519434</v>
      </c>
      <c r="J453" s="49" t="s">
        <v>565</v>
      </c>
    </row>
    <row r="454" spans="1:10">
      <c r="A454" t="s">
        <v>67</v>
      </c>
      <c r="B454" s="27">
        <f t="shared" si="76"/>
        <v>105.51904123290815</v>
      </c>
      <c r="C454" s="27">
        <f t="shared" si="77"/>
        <v>520.57668250767756</v>
      </c>
      <c r="D454" s="27"/>
      <c r="F454" s="791">
        <f>'Other Country-Specific Data'!$K$148</f>
        <v>29.652197760109964</v>
      </c>
      <c r="G454" s="791">
        <f>'Other Country-Specific Data'!$K$149</f>
        <v>59.834526737935391</v>
      </c>
      <c r="I454" s="27">
        <f t="shared" si="78"/>
        <v>34277.330906746727</v>
      </c>
      <c r="J454" s="49" t="s">
        <v>565</v>
      </c>
    </row>
    <row r="455" spans="1:10">
      <c r="A455" t="s">
        <v>68</v>
      </c>
      <c r="B455" s="27">
        <f t="shared" si="76"/>
        <v>470.08419531950574</v>
      </c>
      <c r="C455" s="27">
        <f t="shared" si="77"/>
        <v>1655.7753171979318</v>
      </c>
      <c r="D455" s="27"/>
      <c r="F455" s="791">
        <f>'Other Country-Specific Data'!$K$148</f>
        <v>29.652197760109964</v>
      </c>
      <c r="G455" s="791">
        <f>'Other Country-Specific Data'!$K$149</f>
        <v>59.834526737935391</v>
      </c>
      <c r="I455" s="27">
        <f t="shared" si="78"/>
        <v>113011.56201240925</v>
      </c>
      <c r="J455" s="49" t="s">
        <v>565</v>
      </c>
    </row>
    <row r="456" spans="1:10">
      <c r="A456" t="s">
        <v>69</v>
      </c>
      <c r="B456" s="27">
        <f t="shared" si="76"/>
        <v>0</v>
      </c>
      <c r="C456" s="27">
        <f t="shared" si="77"/>
        <v>35.500375246219818</v>
      </c>
      <c r="D456" s="27"/>
      <c r="F456" s="791">
        <f>'Other Country-Specific Data'!$K$148</f>
        <v>29.652197760109964</v>
      </c>
      <c r="G456" s="791">
        <f>'Other Country-Specific Data'!$K$149</f>
        <v>59.834526737935391</v>
      </c>
      <c r="I456" s="27">
        <f t="shared" si="78"/>
        <v>2124.1481518766795</v>
      </c>
      <c r="J456" s="49" t="s">
        <v>565</v>
      </c>
    </row>
    <row r="457" spans="1:10">
      <c r="A457" t="s">
        <v>70</v>
      </c>
      <c r="B457" s="27">
        <f t="shared" si="76"/>
        <v>121.75245897109929</v>
      </c>
      <c r="C457" s="27">
        <f t="shared" si="77"/>
        <v>0</v>
      </c>
      <c r="D457" s="27"/>
      <c r="F457" s="973">
        <f>'Other Country-Specific Data'!$K$141</f>
        <v>29.652197760109964</v>
      </c>
      <c r="G457" s="973">
        <f>'Other Country-Specific Data'!$K$142</f>
        <v>59.834526737935391</v>
      </c>
      <c r="I457" s="27">
        <f t="shared" si="78"/>
        <v>3610.2279911907103</v>
      </c>
      <c r="J457" s="49" t="s">
        <v>565</v>
      </c>
    </row>
    <row r="458" spans="1:10">
      <c r="A458" t="s">
        <v>71</v>
      </c>
      <c r="B458" s="27">
        <f t="shared" si="76"/>
        <v>456.46960340384652</v>
      </c>
      <c r="C458" s="27">
        <f t="shared" si="77"/>
        <v>12.983107046790686</v>
      </c>
      <c r="D458" s="27">
        <f>B180</f>
        <v>618.32642557382133</v>
      </c>
      <c r="F458" s="973">
        <f>'Other Country-Specific Data'!$K$134</f>
        <v>29.652197760109964</v>
      </c>
      <c r="G458" s="973">
        <f>'Other Country-Specific Data'!$K$135</f>
        <v>59.834526737935391</v>
      </c>
      <c r="H458" s="791">
        <f>'Other Country-Specific Data'!$K$137</f>
        <v>104.73933649289101</v>
      </c>
      <c r="I458" s="27">
        <f>B458*F458+C458*G458+D458*H458</f>
        <v>79075.264567965496</v>
      </c>
      <c r="J458" s="49" t="s">
        <v>565</v>
      </c>
    </row>
    <row r="459" spans="1:10">
      <c r="A459" t="s">
        <v>72</v>
      </c>
      <c r="B459" s="27">
        <f t="shared" si="76"/>
        <v>8.898255058247571</v>
      </c>
      <c r="C459" s="27">
        <f t="shared" si="77"/>
        <v>39.49335305480075</v>
      </c>
      <c r="D459" s="27"/>
      <c r="F459" s="791">
        <f>'Other Country-Specific Data'!$K$148</f>
        <v>29.652197760109964</v>
      </c>
      <c r="G459" s="791">
        <f>'Other Country-Specific Data'!$K$149</f>
        <v>59.834526737935391</v>
      </c>
      <c r="I459" s="27">
        <f t="shared" si="78"/>
        <v>2626.9189080352535</v>
      </c>
      <c r="J459" s="49" t="s">
        <v>565</v>
      </c>
    </row>
    <row r="460" spans="1:10">
      <c r="A460" t="s">
        <v>73</v>
      </c>
      <c r="B460" s="27">
        <f t="shared" si="76"/>
        <v>16.24875645951942</v>
      </c>
      <c r="C460" s="27">
        <f t="shared" si="77"/>
        <v>13.620630055082</v>
      </c>
      <c r="D460" s="27"/>
      <c r="F460" s="791">
        <f>'Other Country-Specific Data'!$K$148</f>
        <v>29.652197760109964</v>
      </c>
      <c r="G460" s="791">
        <f>'Other Country-Specific Data'!$K$149</f>
        <v>59.834526737935391</v>
      </c>
      <c r="I460" s="27">
        <f t="shared" si="78"/>
        <v>1296.7952931118643</v>
      </c>
      <c r="J460" s="49" t="s">
        <v>565</v>
      </c>
    </row>
    <row r="461" spans="1:10">
      <c r="A461" t="s">
        <v>74</v>
      </c>
      <c r="B461" s="27">
        <f t="shared" si="76"/>
        <v>5.7673698515497875</v>
      </c>
      <c r="C461" s="27">
        <f t="shared" si="77"/>
        <v>17.167735139719795</v>
      </c>
      <c r="D461" s="27"/>
      <c r="F461" s="791">
        <f>'Other Country-Specific Data'!$K$148</f>
        <v>29.652197760109964</v>
      </c>
      <c r="G461" s="791">
        <f>'Other Country-Specific Data'!$K$149</f>
        <v>59.834526737935391</v>
      </c>
      <c r="I461" s="27">
        <f t="shared" si="78"/>
        <v>1198.2384986412073</v>
      </c>
      <c r="J461" s="49" t="s">
        <v>565</v>
      </c>
    </row>
    <row r="462" spans="1:10">
      <c r="A462" t="s">
        <v>75</v>
      </c>
      <c r="B462" s="27">
        <f t="shared" si="76"/>
        <v>3.6761852403698216</v>
      </c>
      <c r="C462" s="27">
        <f t="shared" si="77"/>
        <v>11.672430917282142</v>
      </c>
      <c r="D462" s="27"/>
      <c r="F462" s="791">
        <f>'Other Country-Specific Data'!$K$148</f>
        <v>29.652197760109964</v>
      </c>
      <c r="G462" s="791">
        <f>'Other Country-Specific Data'!$K$149</f>
        <v>59.834526737935391</v>
      </c>
      <c r="I462" s="27">
        <f t="shared" si="78"/>
        <v>807.42135156706536</v>
      </c>
      <c r="J462" s="49" t="s">
        <v>565</v>
      </c>
    </row>
    <row r="463" spans="1:10">
      <c r="A463" t="s">
        <v>76</v>
      </c>
      <c r="B463" s="27">
        <f t="shared" si="76"/>
        <v>0</v>
      </c>
      <c r="C463" s="27">
        <f t="shared" si="77"/>
        <v>28.571763134612095</v>
      </c>
      <c r="D463" s="27"/>
      <c r="F463" s="791">
        <f>'Other Country-Specific Data'!$K$148</f>
        <v>29.652197760109964</v>
      </c>
      <c r="G463" s="791">
        <f>'Other Country-Specific Data'!$K$149</f>
        <v>59.834526737935391</v>
      </c>
      <c r="I463" s="27">
        <f t="shared" si="78"/>
        <v>1709.5779252279042</v>
      </c>
      <c r="J463" s="49" t="s">
        <v>565</v>
      </c>
    </row>
    <row r="464" spans="1:10">
      <c r="A464" t="s">
        <v>77</v>
      </c>
      <c r="B464" s="27">
        <f t="shared" si="76"/>
        <v>1.7836437747725116</v>
      </c>
      <c r="C464" s="27">
        <f t="shared" si="77"/>
        <v>6.135276696496458</v>
      </c>
      <c r="D464" s="27"/>
      <c r="F464" s="791">
        <f>'Other Country-Specific Data'!$K$148</f>
        <v>29.652197760109964</v>
      </c>
      <c r="G464" s="791">
        <f>'Other Country-Specific Data'!$K$149</f>
        <v>59.834526737935391</v>
      </c>
      <c r="I464" s="27">
        <f t="shared" si="78"/>
        <v>419.99033548429281</v>
      </c>
      <c r="J464" s="49" t="s">
        <v>565</v>
      </c>
    </row>
    <row r="465" spans="1:10">
      <c r="A465" s="52" t="s">
        <v>125</v>
      </c>
      <c r="B465" s="53">
        <f>SUM(B450:B464)</f>
        <v>1209.7845764771964</v>
      </c>
      <c r="C465" s="53">
        <f>SUM(C450:C464)</f>
        <v>2521.774900854587</v>
      </c>
      <c r="D465" s="53"/>
      <c r="F465" s="791"/>
      <c r="G465" s="791"/>
      <c r="I465" s="936">
        <f>SUM(I450:I464)</f>
        <v>251525.07879169387</v>
      </c>
      <c r="J465" s="49" t="s">
        <v>565</v>
      </c>
    </row>
    <row r="467" spans="1:10">
      <c r="A467" s="45" t="s">
        <v>573</v>
      </c>
      <c r="B467" s="45"/>
      <c r="C467" s="51"/>
    </row>
    <row r="468" spans="1:10" ht="60">
      <c r="A468" s="36" t="s">
        <v>114</v>
      </c>
      <c r="B468" s="37" t="s">
        <v>574</v>
      </c>
      <c r="C468" s="37" t="s">
        <v>575</v>
      </c>
      <c r="F468" s="37" t="s">
        <v>576</v>
      </c>
      <c r="G468" s="37" t="s">
        <v>577</v>
      </c>
      <c r="I468" s="37" t="s">
        <v>100</v>
      </c>
      <c r="J468" s="47" t="s">
        <v>116</v>
      </c>
    </row>
    <row r="469" spans="1:10">
      <c r="A469" t="s">
        <v>63</v>
      </c>
      <c r="B469" s="27">
        <f t="shared" ref="B469:B483" si="79">SUM(F172:G172)</f>
        <v>7.2054946849796053</v>
      </c>
      <c r="C469" s="27">
        <f t="shared" ref="C469:C483" si="80">SUM(H172:I172)</f>
        <v>0</v>
      </c>
      <c r="F469" s="791">
        <f>'Other Country-Specific Data'!$K$150</f>
        <v>36.686475452297195</v>
      </c>
      <c r="G469" s="791">
        <f>'Other Country-Specific Data'!$K$151</f>
        <v>181.51924448508419</v>
      </c>
      <c r="I469" s="27">
        <f>B469*F469+C469*G469</f>
        <v>264.34420388216222</v>
      </c>
      <c r="J469" s="49" t="s">
        <v>565</v>
      </c>
    </row>
    <row r="470" spans="1:10">
      <c r="A470" t="s">
        <v>64</v>
      </c>
      <c r="B470" s="27">
        <f t="shared" si="79"/>
        <v>57.428398480961285</v>
      </c>
      <c r="C470" s="27">
        <f t="shared" si="80"/>
        <v>0</v>
      </c>
      <c r="F470" s="791">
        <f>'Other Country-Specific Data'!$K$150</f>
        <v>36.686475452297195</v>
      </c>
      <c r="G470" s="791">
        <f>'Other Country-Specific Data'!$K$151</f>
        <v>181.51924448508419</v>
      </c>
      <c r="I470" s="27">
        <f t="shared" ref="I470:I483" si="81">B470*F470+C470*G470</f>
        <v>2106.8455311365278</v>
      </c>
      <c r="J470" s="49" t="s">
        <v>565</v>
      </c>
    </row>
    <row r="471" spans="1:10">
      <c r="A471" t="s">
        <v>65</v>
      </c>
      <c r="B471" s="27">
        <f t="shared" si="79"/>
        <v>12.614258442556032</v>
      </c>
      <c r="C471" s="27">
        <f t="shared" si="80"/>
        <v>0</v>
      </c>
      <c r="F471" s="791">
        <f>'Other Country-Specific Data'!$K$150</f>
        <v>36.686475452297195</v>
      </c>
      <c r="G471" s="791">
        <f>'Other Country-Specific Data'!$K$151</f>
        <v>181.51924448508419</v>
      </c>
      <c r="I471" s="27">
        <f t="shared" si="81"/>
        <v>462.7726827017645</v>
      </c>
      <c r="J471" s="49" t="s">
        <v>565</v>
      </c>
    </row>
    <row r="472" spans="1:10">
      <c r="A472" t="s">
        <v>66</v>
      </c>
      <c r="B472" s="27">
        <f t="shared" si="79"/>
        <v>16.10067326564107</v>
      </c>
      <c r="C472" s="27">
        <f t="shared" si="80"/>
        <v>32.17322704557877</v>
      </c>
      <c r="F472" s="791">
        <f>'Other Country-Specific Data'!$K$150</f>
        <v>36.686475452297195</v>
      </c>
      <c r="G472" s="791">
        <f>'Other Country-Specific Data'!$K$151</f>
        <v>181.51924448508419</v>
      </c>
      <c r="I472" s="27">
        <f t="shared" si="81"/>
        <v>6430.7368204859349</v>
      </c>
      <c r="J472" s="49" t="s">
        <v>565</v>
      </c>
    </row>
    <row r="473" spans="1:10">
      <c r="A473" t="s">
        <v>67</v>
      </c>
      <c r="B473" s="27">
        <f t="shared" si="79"/>
        <v>193.72869630801384</v>
      </c>
      <c r="C473" s="27">
        <f t="shared" si="80"/>
        <v>0</v>
      </c>
      <c r="F473" s="791">
        <f>'Other Country-Specific Data'!$K$150</f>
        <v>36.686475452297195</v>
      </c>
      <c r="G473" s="791">
        <f>'Other Country-Specific Data'!$K$151</f>
        <v>181.51924448508419</v>
      </c>
      <c r="I473" s="27">
        <f t="shared" si="81"/>
        <v>7107.2230615094877</v>
      </c>
      <c r="J473" s="49" t="s">
        <v>565</v>
      </c>
    </row>
    <row r="474" spans="1:10">
      <c r="A474" t="s">
        <v>68</v>
      </c>
      <c r="B474" s="27">
        <f t="shared" si="79"/>
        <v>1008.160982872472</v>
      </c>
      <c r="C474" s="27">
        <f t="shared" si="80"/>
        <v>268.18769851793809</v>
      </c>
      <c r="F474" s="791">
        <f>'Other Country-Specific Data'!$K$150</f>
        <v>36.686475452297195</v>
      </c>
      <c r="G474" s="791">
        <f>'Other Country-Specific Data'!$K$151</f>
        <v>181.51924448508419</v>
      </c>
      <c r="I474" s="27">
        <f t="shared" si="81"/>
        <v>85667.101565284407</v>
      </c>
      <c r="J474" s="49" t="s">
        <v>565</v>
      </c>
    </row>
    <row r="475" spans="1:10">
      <c r="A475" t="s">
        <v>69</v>
      </c>
      <c r="B475" s="27">
        <f t="shared" si="79"/>
        <v>108.10945357009635</v>
      </c>
      <c r="C475" s="27">
        <f t="shared" si="80"/>
        <v>0</v>
      </c>
      <c r="F475" s="791">
        <f>'Other Country-Specific Data'!$K$150</f>
        <v>36.686475452297195</v>
      </c>
      <c r="G475" s="791">
        <f>'Other Country-Specific Data'!$K$151</f>
        <v>181.51924448508419</v>
      </c>
      <c r="I475" s="27">
        <f t="shared" si="81"/>
        <v>3966.154814560603</v>
      </c>
      <c r="J475" s="49" t="s">
        <v>565</v>
      </c>
    </row>
    <row r="476" spans="1:10">
      <c r="A476" t="s">
        <v>70</v>
      </c>
      <c r="B476" s="27">
        <f t="shared" si="79"/>
        <v>274.59954945409129</v>
      </c>
      <c r="C476" s="27">
        <f t="shared" si="80"/>
        <v>145.20312979400356</v>
      </c>
      <c r="F476" s="973">
        <f>'Other Country-Specific Data'!$K$143</f>
        <v>36.686475452297195</v>
      </c>
      <c r="G476" s="973">
        <f>'Other Country-Specific Data'!$K$144</f>
        <v>181.51924448508419</v>
      </c>
      <c r="I476" s="27">
        <f t="shared" si="81"/>
        <v>36431.252047336529</v>
      </c>
      <c r="J476" s="49" t="s">
        <v>565</v>
      </c>
    </row>
    <row r="477" spans="1:10">
      <c r="A477" t="s">
        <v>71</v>
      </c>
      <c r="B477" s="27">
        <f t="shared" si="79"/>
        <v>69.711070693637595</v>
      </c>
      <c r="C477" s="27">
        <f t="shared" si="80"/>
        <v>278.14889458880805</v>
      </c>
      <c r="F477" s="973">
        <f>'Other Country-Specific Data'!$K$136</f>
        <v>104.73933649289101</v>
      </c>
      <c r="G477" s="973">
        <f>'Other Country-Specific Data'!$K$137</f>
        <v>104.73933649289101</v>
      </c>
      <c r="I477" s="27">
        <f t="shared" si="81"/>
        <v>36434.621956123461</v>
      </c>
      <c r="J477" s="49" t="s">
        <v>565</v>
      </c>
    </row>
    <row r="478" spans="1:10">
      <c r="A478" t="s">
        <v>72</v>
      </c>
      <c r="B478" s="27">
        <f t="shared" si="79"/>
        <v>26.221586195966655</v>
      </c>
      <c r="C478" s="27">
        <f t="shared" si="80"/>
        <v>166.90663091189978</v>
      </c>
      <c r="F478" s="791">
        <f>'Other Country-Specific Data'!$K$150</f>
        <v>36.686475452297195</v>
      </c>
      <c r="G478" s="791">
        <f>'Other Country-Specific Data'!$K$151</f>
        <v>181.51924448508419</v>
      </c>
      <c r="I478" s="27">
        <f t="shared" si="81"/>
        <v>31258.743120977473</v>
      </c>
      <c r="J478" s="49" t="s">
        <v>565</v>
      </c>
    </row>
    <row r="479" spans="1:10">
      <c r="A479" t="s">
        <v>73</v>
      </c>
      <c r="B479" s="27">
        <f t="shared" si="79"/>
        <v>24.723120605736639</v>
      </c>
      <c r="C479" s="27">
        <f t="shared" si="80"/>
        <v>30.502345182242578</v>
      </c>
      <c r="F479" s="791">
        <f>'Other Country-Specific Data'!$K$150</f>
        <v>36.686475452297195</v>
      </c>
      <c r="G479" s="791">
        <f>'Other Country-Specific Data'!$K$151</f>
        <v>181.51924448508419</v>
      </c>
      <c r="I479" s="27">
        <f t="shared" si="81"/>
        <v>6443.7668097104606</v>
      </c>
      <c r="J479" s="49" t="s">
        <v>565</v>
      </c>
    </row>
    <row r="480" spans="1:10">
      <c r="A480" t="s">
        <v>74</v>
      </c>
      <c r="B480" s="27">
        <f t="shared" si="79"/>
        <v>33.391026957626046</v>
      </c>
      <c r="C480" s="27">
        <f t="shared" si="80"/>
        <v>11.977663726312157</v>
      </c>
      <c r="F480" s="791">
        <f>'Other Country-Specific Data'!$K$150</f>
        <v>36.686475452297195</v>
      </c>
      <c r="G480" s="791">
        <f>'Other Country-Specific Data'!$K$151</f>
        <v>181.51924448508419</v>
      </c>
      <c r="I480" s="27">
        <f t="shared" si="81"/>
        <v>3399.1755611045228</v>
      </c>
      <c r="J480" s="49" t="s">
        <v>565</v>
      </c>
    </row>
    <row r="481" spans="1:12">
      <c r="A481" t="s">
        <v>75</v>
      </c>
      <c r="B481" s="27">
        <f t="shared" si="79"/>
        <v>22.702729990180707</v>
      </c>
      <c r="C481" s="27">
        <f t="shared" si="80"/>
        <v>8.1436748212843639</v>
      </c>
      <c r="F481" s="791">
        <f>'Other Country-Specific Data'!$K$150</f>
        <v>36.686475452297195</v>
      </c>
      <c r="G481" s="791">
        <f>'Other Country-Specific Data'!$K$151</f>
        <v>181.51924448508419</v>
      </c>
      <c r="I481" s="27">
        <f t="shared" si="81"/>
        <v>2311.1168473766365</v>
      </c>
      <c r="J481" s="49" t="s">
        <v>565</v>
      </c>
    </row>
    <row r="482" spans="1:12">
      <c r="A482" t="s">
        <v>76</v>
      </c>
      <c r="B482" s="27">
        <f t="shared" si="79"/>
        <v>55.571716670269524</v>
      </c>
      <c r="C482" s="27">
        <f t="shared" si="80"/>
        <v>19.93407797295572</v>
      </c>
      <c r="F482" s="791">
        <f>'Other Country-Specific Data'!$K$150</f>
        <v>36.686475452297195</v>
      </c>
      <c r="G482" s="791">
        <f>'Other Country-Specific Data'!$K$151</f>
        <v>181.51924448508419</v>
      </c>
      <c r="I482" s="27">
        <f t="shared" si="81"/>
        <v>5657.1491926235385</v>
      </c>
      <c r="J482" s="49" t="s">
        <v>565</v>
      </c>
    </row>
    <row r="483" spans="1:12">
      <c r="A483" t="s">
        <v>77</v>
      </c>
      <c r="B483" s="27">
        <f t="shared" si="79"/>
        <v>11.933035307099445</v>
      </c>
      <c r="C483" s="27">
        <f t="shared" si="80"/>
        <v>4.2804878185995445</v>
      </c>
      <c r="F483" s="791">
        <f>'Other Country-Specific Data'!$K$150</f>
        <v>36.686475452297195</v>
      </c>
      <c r="G483" s="791">
        <f>'Other Country-Specific Data'!$K$151</f>
        <v>181.51924448508419</v>
      </c>
      <c r="I483" s="27">
        <f t="shared" si="81"/>
        <v>1214.7719217250949</v>
      </c>
      <c r="J483" s="49" t="s">
        <v>565</v>
      </c>
    </row>
    <row r="484" spans="1:12">
      <c r="A484" s="52" t="s">
        <v>125</v>
      </c>
      <c r="B484" s="53">
        <f>SUM(B469:B483)</f>
        <v>1922.2017934993278</v>
      </c>
      <c r="C484" s="53">
        <f>SUM(C469:C483)</f>
        <v>965.45783037962258</v>
      </c>
      <c r="I484" s="936">
        <f>SUM(I469:I483)</f>
        <v>229155.7761365386</v>
      </c>
      <c r="J484" s="49" t="s">
        <v>565</v>
      </c>
    </row>
    <row r="486" spans="1:12">
      <c r="A486" s="45" t="s">
        <v>578</v>
      </c>
      <c r="B486" s="51"/>
      <c r="C486" s="51"/>
      <c r="D486" s="51"/>
    </row>
    <row r="488" spans="1:12" ht="45">
      <c r="A488" s="36" t="s">
        <v>114</v>
      </c>
      <c r="B488" s="37" t="s">
        <v>579</v>
      </c>
      <c r="C488" s="37" t="s">
        <v>580</v>
      </c>
      <c r="D488" s="37" t="s">
        <v>581</v>
      </c>
      <c r="E488" s="37" t="s">
        <v>582</v>
      </c>
      <c r="F488" s="37" t="s">
        <v>583</v>
      </c>
      <c r="H488" s="37" t="s">
        <v>584</v>
      </c>
      <c r="I488" s="37" t="s">
        <v>585</v>
      </c>
      <c r="J488" s="37" t="s">
        <v>586</v>
      </c>
      <c r="K488" s="37" t="s">
        <v>100</v>
      </c>
      <c r="L488" s="47" t="s">
        <v>116</v>
      </c>
    </row>
    <row r="489" spans="1:12">
      <c r="A489" t="s">
        <v>63</v>
      </c>
      <c r="B489">
        <f>(B211-B250)*(1+'Other Technical Data'!$B$19)</f>
        <v>0</v>
      </c>
      <c r="C489">
        <f>(C211-C250)*(1+'Other Technical Data'!$B$19)</f>
        <v>0</v>
      </c>
      <c r="D489">
        <f>(D211-D250)*(1+'Other Technical Data'!$B$19)</f>
        <v>0</v>
      </c>
      <c r="E489">
        <f>(E211-E250)*(1+'Other Technical Data'!$B$19)</f>
        <v>0</v>
      </c>
      <c r="F489">
        <f>(F211-F250)*(1+'Other Technical Data'!$B$19)</f>
        <v>0</v>
      </c>
      <c r="H489">
        <f>SUMPRODUCT(B489:F489,$B$371:$F$371)</f>
        <v>0</v>
      </c>
      <c r="I489">
        <f>H489*'Other Technical Data'!$B$20</f>
        <v>0</v>
      </c>
      <c r="J489" s="27">
        <f>'Other Country-Specific Data'!$K$152</f>
        <v>587.9745866699958</v>
      </c>
      <c r="K489">
        <f>I489*J489</f>
        <v>0</v>
      </c>
      <c r="L489" s="49" t="s">
        <v>565</v>
      </c>
    </row>
    <row r="490" spans="1:12">
      <c r="A490" t="s">
        <v>64</v>
      </c>
      <c r="B490">
        <f>(B212-B251)*(1+'Other Technical Data'!$B$19)</f>
        <v>0</v>
      </c>
      <c r="C490">
        <f>(C212-C251)*(1+'Other Technical Data'!$B$19)</f>
        <v>0</v>
      </c>
      <c r="D490">
        <f>(D212-D251)*(1+'Other Technical Data'!$B$19)</f>
        <v>0</v>
      </c>
      <c r="E490">
        <f>(E212-E251)*(1+'Other Technical Data'!$B$19)</f>
        <v>0</v>
      </c>
      <c r="F490">
        <f>(F212-F251)*(1+'Other Technical Data'!$B$19)</f>
        <v>0</v>
      </c>
      <c r="H490">
        <f t="shared" ref="H490:H503" si="82">SUMPRODUCT(B490:F490,$B$371:$F$371)</f>
        <v>0</v>
      </c>
      <c r="I490">
        <f>H490*'Other Technical Data'!$B$20</f>
        <v>0</v>
      </c>
      <c r="J490" s="27">
        <f>'Other Country-Specific Data'!$K$152</f>
        <v>587.9745866699958</v>
      </c>
      <c r="K490">
        <f t="shared" ref="K490:K503" si="83">I490*J490</f>
        <v>0</v>
      </c>
      <c r="L490" s="49" t="s">
        <v>565</v>
      </c>
    </row>
    <row r="491" spans="1:12">
      <c r="A491" t="s">
        <v>65</v>
      </c>
      <c r="B491">
        <f>(B213-B252)*(1+'Other Technical Data'!$B$19)</f>
        <v>0</v>
      </c>
      <c r="C491">
        <f>(C213-C252)*(1+'Other Technical Data'!$B$19)</f>
        <v>0</v>
      </c>
      <c r="D491">
        <f>(D213-D252)*(1+'Other Technical Data'!$B$19)</f>
        <v>0</v>
      </c>
      <c r="E491">
        <f>(E213-E252)*(1+'Other Technical Data'!$B$19)</f>
        <v>0</v>
      </c>
      <c r="F491">
        <f>(F213-F252)*(1+'Other Technical Data'!$B$19)</f>
        <v>0</v>
      </c>
      <c r="H491">
        <f t="shared" si="82"/>
        <v>0</v>
      </c>
      <c r="I491">
        <f>H491*'Other Technical Data'!$B$20</f>
        <v>0</v>
      </c>
      <c r="J491" s="27">
        <f>'Other Country-Specific Data'!$K$152</f>
        <v>587.9745866699958</v>
      </c>
      <c r="K491">
        <f t="shared" si="83"/>
        <v>0</v>
      </c>
      <c r="L491" s="49" t="s">
        <v>565</v>
      </c>
    </row>
    <row r="492" spans="1:12">
      <c r="A492" t="s">
        <v>66</v>
      </c>
      <c r="B492">
        <f>(B214-B253)*(1+'Other Technical Data'!$B$19)</f>
        <v>0</v>
      </c>
      <c r="C492">
        <f>(C214-C253)*(1+'Other Technical Data'!$B$19)</f>
        <v>0</v>
      </c>
      <c r="D492">
        <f>(D214-D253)*(1+'Other Technical Data'!$B$19)</f>
        <v>0</v>
      </c>
      <c r="E492">
        <f>(E214-E253)*(1+'Other Technical Data'!$B$19)</f>
        <v>0</v>
      </c>
      <c r="F492">
        <f>(F214-F253)*(1+'Other Technical Data'!$B$19)</f>
        <v>0</v>
      </c>
      <c r="H492">
        <f t="shared" si="82"/>
        <v>0</v>
      </c>
      <c r="I492">
        <f>H492*'Other Technical Data'!$B$20</f>
        <v>0</v>
      </c>
      <c r="J492" s="27">
        <f>'Other Country-Specific Data'!$K$152</f>
        <v>587.9745866699958</v>
      </c>
      <c r="K492">
        <f t="shared" si="83"/>
        <v>0</v>
      </c>
      <c r="L492" s="49" t="s">
        <v>565</v>
      </c>
    </row>
    <row r="493" spans="1:12">
      <c r="A493" t="s">
        <v>67</v>
      </c>
      <c r="B493">
        <f>(B215-B254)*(1+'Other Technical Data'!$B$19)</f>
        <v>0</v>
      </c>
      <c r="C493">
        <f>(C215-C254)*(1+'Other Technical Data'!$B$19)</f>
        <v>0</v>
      </c>
      <c r="D493">
        <f>(D215-D254)*(1+'Other Technical Data'!$B$19)</f>
        <v>0</v>
      </c>
      <c r="E493">
        <f>(E215-E254)*(1+'Other Technical Data'!$B$19)</f>
        <v>0</v>
      </c>
      <c r="F493">
        <f>(F215-F254)*(1+'Other Technical Data'!$B$19)</f>
        <v>0</v>
      </c>
      <c r="H493">
        <f t="shared" si="82"/>
        <v>0</v>
      </c>
      <c r="I493">
        <f>H493*'Other Technical Data'!$B$20</f>
        <v>0</v>
      </c>
      <c r="J493" s="27">
        <f>'Other Country-Specific Data'!$K$152</f>
        <v>587.9745866699958</v>
      </c>
      <c r="K493">
        <f t="shared" si="83"/>
        <v>0</v>
      </c>
      <c r="L493" s="49" t="s">
        <v>565</v>
      </c>
    </row>
    <row r="494" spans="1:12">
      <c r="A494" t="s">
        <v>68</v>
      </c>
      <c r="B494">
        <f>(B216-B255)*(1+'Other Technical Data'!$B$19)</f>
        <v>0</v>
      </c>
      <c r="C494">
        <f>(C216-C255)*(1+'Other Technical Data'!$B$19)</f>
        <v>0</v>
      </c>
      <c r="D494">
        <f>(D216-D255)*(1+'Other Technical Data'!$B$19)</f>
        <v>0</v>
      </c>
      <c r="E494">
        <f>(E216-E255)*(1+'Other Technical Data'!$B$19)</f>
        <v>0</v>
      </c>
      <c r="F494">
        <f>(F216-F255)*(1+'Other Technical Data'!$B$19)</f>
        <v>0</v>
      </c>
      <c r="H494">
        <f t="shared" si="82"/>
        <v>0</v>
      </c>
      <c r="I494">
        <f>H494*'Other Technical Data'!$B$20</f>
        <v>0</v>
      </c>
      <c r="J494" s="27">
        <f>'Other Country-Specific Data'!$K$152</f>
        <v>587.9745866699958</v>
      </c>
      <c r="K494">
        <f t="shared" si="83"/>
        <v>0</v>
      </c>
      <c r="L494" s="49" t="s">
        <v>565</v>
      </c>
    </row>
    <row r="495" spans="1:12">
      <c r="A495" t="s">
        <v>69</v>
      </c>
      <c r="B495">
        <f>(B217-B256)*(1+'Other Technical Data'!$B$19)</f>
        <v>0</v>
      </c>
      <c r="C495">
        <f>(C217-C256)*(1+'Other Technical Data'!$B$19)</f>
        <v>0</v>
      </c>
      <c r="D495">
        <f>(D217-D256)*(1+'Other Technical Data'!$B$19)</f>
        <v>0</v>
      </c>
      <c r="E495">
        <f>(E217-E256)*(1+'Other Technical Data'!$B$19)</f>
        <v>0</v>
      </c>
      <c r="F495">
        <f>(F217-F256)*(1+'Other Technical Data'!$B$19)</f>
        <v>0</v>
      </c>
      <c r="H495">
        <f t="shared" si="82"/>
        <v>0</v>
      </c>
      <c r="I495">
        <f>H495*'Other Technical Data'!$B$20</f>
        <v>0</v>
      </c>
      <c r="J495" s="27">
        <f>'Other Country-Specific Data'!$K$152</f>
        <v>587.9745866699958</v>
      </c>
      <c r="K495">
        <f t="shared" si="83"/>
        <v>0</v>
      </c>
      <c r="L495" s="49" t="s">
        <v>565</v>
      </c>
    </row>
    <row r="496" spans="1:12">
      <c r="A496" t="s">
        <v>70</v>
      </c>
      <c r="B496" s="27">
        <f>(B218-B257)*(1+'Other Technical Data'!$B$19)</f>
        <v>846.42368970461223</v>
      </c>
      <c r="C496" s="27">
        <f>(C218-C257)*(1+'Other Technical Data'!$B$19)</f>
        <v>52.620071142461832</v>
      </c>
      <c r="D496" s="27">
        <f>(D218-D257)*(1+'Other Technical Data'!$B$19)</f>
        <v>37.777388717255029</v>
      </c>
      <c r="E496" s="27">
        <f>(E218-E257)*(1+'Other Technical Data'!$B$19)</f>
        <v>250.78725589639362</v>
      </c>
      <c r="F496" s="27">
        <f>(F218-F257)*(1+'Other Technical Data'!$B$19)</f>
        <v>171.57329727195057</v>
      </c>
      <c r="H496" s="540">
        <f>SUMPRODUCT(B496:F496,$B$371:$F$371)+B624*'Achivable Interventions'!$R$20</f>
        <v>598.30242588569956</v>
      </c>
      <c r="I496" s="27">
        <f>H496*'Other Technical Data'!$B$20</f>
        <v>538.47218329712962</v>
      </c>
      <c r="J496" s="540">
        <f>'Other Country-Specific Data'!$K$145</f>
        <v>573.39771787617315</v>
      </c>
      <c r="K496" s="27">
        <f>I496*J496</f>
        <v>308758.7210423745</v>
      </c>
      <c r="L496" s="49" t="s">
        <v>565</v>
      </c>
    </row>
    <row r="497" spans="1:12">
      <c r="A497" t="s">
        <v>71</v>
      </c>
      <c r="B497" s="27">
        <f>(B219-B258)*(1+'Other Technical Data'!$B$19)</f>
        <v>256.40294261003385</v>
      </c>
      <c r="C497" s="27">
        <f>(C219-C258)*(1+'Other Technical Data'!$B$19)</f>
        <v>1118.3493392972027</v>
      </c>
      <c r="D497" s="27">
        <f>(D219-D258)*(1+'Other Technical Data'!$B$19)</f>
        <v>431.13496233229836</v>
      </c>
      <c r="E497" s="27">
        <f>(E219-E258)*(1+'Other Technical Data'!$B$19)</f>
        <v>3.794872017331965</v>
      </c>
      <c r="F497" s="27">
        <f>(F219-F258)*(1+'Other Technical Data'!$B$19)</f>
        <v>53.505852563496639</v>
      </c>
      <c r="H497" s="27">
        <f t="shared" si="82"/>
        <v>165.59702694210642</v>
      </c>
      <c r="I497" s="27">
        <f>H497*'Other Technical Data'!$B$20</f>
        <v>149.03732424789578</v>
      </c>
      <c r="J497" s="540">
        <f>'Other Country-Specific Data'!$K$138</f>
        <v>602.55145546381846</v>
      </c>
      <c r="K497" s="27">
        <f t="shared" si="83"/>
        <v>89802.656644002651</v>
      </c>
      <c r="L497" s="49" t="s">
        <v>565</v>
      </c>
    </row>
    <row r="498" spans="1:12">
      <c r="A498" t="s">
        <v>72</v>
      </c>
      <c r="B498" s="27">
        <f>(B220-B259)*(1+'Other Technical Data'!$B$19)</f>
        <v>22.169720340375562</v>
      </c>
      <c r="C498" s="27">
        <f>(C220-C259)*(1+'Other Technical Data'!$B$19)</f>
        <v>6.896923483783941</v>
      </c>
      <c r="D498" s="27">
        <f>(D220-D259)*(1+'Other Technical Data'!$B$19)</f>
        <v>10.938805393982948</v>
      </c>
      <c r="E498" s="27">
        <f>(E220-E259)*(1+'Other Technical Data'!$B$19)</f>
        <v>6.996101262851413</v>
      </c>
      <c r="F498" s="27">
        <f>(F220-F259)*(1+'Other Technical Data'!$B$19)</f>
        <v>18.45307181114196</v>
      </c>
      <c r="H498" s="27">
        <f t="shared" si="82"/>
        <v>4.6365281764306818</v>
      </c>
      <c r="I498" s="27">
        <f>H498*'Other Technical Data'!$B$20</f>
        <v>4.1728753587876142</v>
      </c>
      <c r="J498" s="27">
        <f>'Other Country-Specific Data'!$K$152</f>
        <v>587.9745866699958</v>
      </c>
      <c r="K498" s="27">
        <f t="shared" si="83"/>
        <v>2453.5446643085579</v>
      </c>
      <c r="L498" s="49" t="s">
        <v>565</v>
      </c>
    </row>
    <row r="499" spans="1:12">
      <c r="A499" t="s">
        <v>73</v>
      </c>
      <c r="B499">
        <f>(B221-B260)*(1+'Other Technical Data'!$B$19)</f>
        <v>0</v>
      </c>
      <c r="C499">
        <f>(C221-C260)*(1+'Other Technical Data'!$B$19)</f>
        <v>0</v>
      </c>
      <c r="D499">
        <f>(D221-D260)*(1+'Other Technical Data'!$B$19)</f>
        <v>0</v>
      </c>
      <c r="E499">
        <f>(E221-E260)*(1+'Other Technical Data'!$B$19)</f>
        <v>0</v>
      </c>
      <c r="F499">
        <f>(F221-F260)*(1+'Other Technical Data'!$B$19)</f>
        <v>0</v>
      </c>
      <c r="H499">
        <f t="shared" si="82"/>
        <v>0</v>
      </c>
      <c r="I499">
        <f>H499*'Other Technical Data'!$B$20</f>
        <v>0</v>
      </c>
      <c r="J499" s="27">
        <f>'Other Country-Specific Data'!$K$152</f>
        <v>587.9745866699958</v>
      </c>
      <c r="K499">
        <f t="shared" si="83"/>
        <v>0</v>
      </c>
      <c r="L499" s="49" t="s">
        <v>565</v>
      </c>
    </row>
    <row r="500" spans="1:12">
      <c r="A500" t="s">
        <v>74</v>
      </c>
      <c r="B500">
        <f>(B222-B261)*(1+'Other Technical Data'!$B$19)</f>
        <v>0</v>
      </c>
      <c r="C500">
        <f>(C222-C261)*(1+'Other Technical Data'!$B$19)</f>
        <v>0</v>
      </c>
      <c r="D500">
        <f>(D222-D261)*(1+'Other Technical Data'!$B$19)</f>
        <v>0</v>
      </c>
      <c r="E500">
        <f>(E222-E261)*(1+'Other Technical Data'!$B$19)</f>
        <v>0</v>
      </c>
      <c r="F500">
        <f>(F222-F261)*(1+'Other Technical Data'!$B$19)</f>
        <v>0</v>
      </c>
      <c r="H500">
        <f t="shared" si="82"/>
        <v>0</v>
      </c>
      <c r="I500">
        <f>H500*'Other Technical Data'!$B$20</f>
        <v>0</v>
      </c>
      <c r="J500" s="27">
        <f>'Other Country-Specific Data'!$K$152</f>
        <v>587.9745866699958</v>
      </c>
      <c r="K500">
        <f t="shared" si="83"/>
        <v>0</v>
      </c>
      <c r="L500" s="49" t="s">
        <v>565</v>
      </c>
    </row>
    <row r="501" spans="1:12">
      <c r="A501" t="s">
        <v>75</v>
      </c>
      <c r="B501">
        <f>(B223-B262)*(1+'Other Technical Data'!$B$19)</f>
        <v>0</v>
      </c>
      <c r="C501">
        <f>(C223-C262)*(1+'Other Technical Data'!$B$19)</f>
        <v>0</v>
      </c>
      <c r="D501">
        <f>(D223-D262)*(1+'Other Technical Data'!$B$19)</f>
        <v>0</v>
      </c>
      <c r="E501">
        <f>(E223-E262)*(1+'Other Technical Data'!$B$19)</f>
        <v>0</v>
      </c>
      <c r="F501">
        <f>(F223-F262)*(1+'Other Technical Data'!$B$19)</f>
        <v>0</v>
      </c>
      <c r="H501">
        <f t="shared" si="82"/>
        <v>0</v>
      </c>
      <c r="I501">
        <f>H501*'Other Technical Data'!$B$20</f>
        <v>0</v>
      </c>
      <c r="J501" s="27">
        <f>'Other Country-Specific Data'!$K$152</f>
        <v>587.9745866699958</v>
      </c>
      <c r="K501">
        <f t="shared" si="83"/>
        <v>0</v>
      </c>
      <c r="L501" s="49" t="s">
        <v>565</v>
      </c>
    </row>
    <row r="502" spans="1:12">
      <c r="A502" t="s">
        <v>76</v>
      </c>
      <c r="B502">
        <f>(B224-B263)*(1+'Other Technical Data'!$B$19)</f>
        <v>0</v>
      </c>
      <c r="C502">
        <f>(C224-C263)*(1+'Other Technical Data'!$B$19)</f>
        <v>0</v>
      </c>
      <c r="D502">
        <f>(D224-D263)*(1+'Other Technical Data'!$B$19)</f>
        <v>0</v>
      </c>
      <c r="E502">
        <f>(E224-E263)*(1+'Other Technical Data'!$B$19)</f>
        <v>0</v>
      </c>
      <c r="F502">
        <f>(F224-F263)*(1+'Other Technical Data'!$B$19)</f>
        <v>0</v>
      </c>
      <c r="H502">
        <f t="shared" si="82"/>
        <v>0</v>
      </c>
      <c r="I502">
        <f>H502*'Other Technical Data'!$B$20</f>
        <v>0</v>
      </c>
      <c r="J502" s="27">
        <f>'Other Country-Specific Data'!$K$152</f>
        <v>587.9745866699958</v>
      </c>
      <c r="K502">
        <f t="shared" si="83"/>
        <v>0</v>
      </c>
      <c r="L502" s="49" t="s">
        <v>565</v>
      </c>
    </row>
    <row r="503" spans="1:12">
      <c r="A503" t="s">
        <v>77</v>
      </c>
      <c r="B503">
        <f>(B225-B264)*(1+'Other Technical Data'!$B$19)</f>
        <v>0</v>
      </c>
      <c r="C503">
        <f>(C225-C264)*(1+'Other Technical Data'!$B$19)</f>
        <v>0</v>
      </c>
      <c r="D503">
        <f>(D225-D264)*(1+'Other Technical Data'!$B$19)</f>
        <v>0</v>
      </c>
      <c r="E503">
        <f>(E225-E264)*(1+'Other Technical Data'!$B$19)</f>
        <v>0</v>
      </c>
      <c r="F503">
        <f>(F225-F264)*(1+'Other Technical Data'!$B$19)</f>
        <v>0</v>
      </c>
      <c r="H503">
        <f t="shared" si="82"/>
        <v>0</v>
      </c>
      <c r="I503">
        <f>H503*'Other Technical Data'!$B$20</f>
        <v>0</v>
      </c>
      <c r="J503" s="27">
        <f>'Other Country-Specific Data'!$K$152</f>
        <v>587.9745866699958</v>
      </c>
      <c r="K503">
        <f t="shared" si="83"/>
        <v>0</v>
      </c>
      <c r="L503" s="49" t="s">
        <v>565</v>
      </c>
    </row>
    <row r="504" spans="1:12">
      <c r="A504" s="52" t="s">
        <v>125</v>
      </c>
      <c r="B504" s="53">
        <f>SUM(B489:B503)</f>
        <v>1124.9963526550216</v>
      </c>
      <c r="C504" s="53">
        <f t="shared" ref="C504:I504" si="84">SUM(C489:C503)</f>
        <v>1177.8663339234486</v>
      </c>
      <c r="D504" s="53">
        <f t="shared" si="84"/>
        <v>479.8511564435363</v>
      </c>
      <c r="E504" s="53">
        <f t="shared" si="84"/>
        <v>261.578229176577</v>
      </c>
      <c r="F504" s="53">
        <f t="shared" si="84"/>
        <v>243.53222164658916</v>
      </c>
      <c r="H504" s="53">
        <f t="shared" si="84"/>
        <v>768.53598100423676</v>
      </c>
      <c r="I504" s="53">
        <f t="shared" si="84"/>
        <v>691.68238290381294</v>
      </c>
      <c r="K504" s="936">
        <f>SUM(K489:K503)</f>
        <v>401014.92235068569</v>
      </c>
      <c r="L504" s="49" t="s">
        <v>565</v>
      </c>
    </row>
    <row r="507" spans="1:12">
      <c r="A507" s="45" t="s">
        <v>587</v>
      </c>
      <c r="B507" s="51"/>
      <c r="C507" s="51"/>
      <c r="D507" s="51"/>
    </row>
    <row r="509" spans="1:12" ht="45">
      <c r="A509" s="36" t="s">
        <v>114</v>
      </c>
      <c r="B509" s="37" t="s">
        <v>588</v>
      </c>
      <c r="C509" s="37" t="s">
        <v>589</v>
      </c>
      <c r="D509" s="37" t="s">
        <v>590</v>
      </c>
      <c r="E509" s="37" t="s">
        <v>591</v>
      </c>
      <c r="F509" s="37" t="s">
        <v>125</v>
      </c>
    </row>
    <row r="510" spans="1:12">
      <c r="A510" t="s">
        <v>63</v>
      </c>
      <c r="B510" s="27">
        <f>J289*'Other Technical Data'!$B$16</f>
        <v>0</v>
      </c>
      <c r="C510" s="27">
        <f>'Other Country-Specific Data'!$K$153</f>
        <v>34.455987071831217</v>
      </c>
      <c r="D510" s="27">
        <f>B510*C510</f>
        <v>0</v>
      </c>
      <c r="E510" s="27">
        <f>B510*'H2 Production Cost'!$B$49</f>
        <v>0</v>
      </c>
      <c r="F510" s="27">
        <f>SUM(D510:E510)</f>
        <v>0</v>
      </c>
    </row>
    <row r="511" spans="1:12">
      <c r="A511" t="s">
        <v>64</v>
      </c>
      <c r="B511" s="27">
        <f>J290*'Other Technical Data'!$B$16</f>
        <v>0</v>
      </c>
      <c r="C511" s="27">
        <f>'Other Country-Specific Data'!$K$153</f>
        <v>34.455987071831217</v>
      </c>
      <c r="D511" s="27">
        <f t="shared" ref="D511:D524" si="85">B511*C511</f>
        <v>0</v>
      </c>
      <c r="E511" s="27">
        <f>B511*'H2 Production Cost'!$B$49</f>
        <v>0</v>
      </c>
      <c r="F511" s="27">
        <f t="shared" ref="F511:F524" si="86">SUM(D511:E511)</f>
        <v>0</v>
      </c>
    </row>
    <row r="512" spans="1:12">
      <c r="A512" t="s">
        <v>65</v>
      </c>
      <c r="B512" s="27">
        <f>J291*'Other Technical Data'!$B$16</f>
        <v>0</v>
      </c>
      <c r="C512" s="27">
        <f>'Other Country-Specific Data'!$K$153</f>
        <v>34.455987071831217</v>
      </c>
      <c r="D512" s="27">
        <f t="shared" si="85"/>
        <v>0</v>
      </c>
      <c r="E512" s="27">
        <f>B512*'H2 Production Cost'!$B$49</f>
        <v>0</v>
      </c>
      <c r="F512" s="27">
        <f t="shared" si="86"/>
        <v>0</v>
      </c>
    </row>
    <row r="513" spans="1:6">
      <c r="A513" t="s">
        <v>66</v>
      </c>
      <c r="B513" s="27">
        <f>J292*'Other Technical Data'!$B$16</f>
        <v>0</v>
      </c>
      <c r="C513" s="27">
        <f>'Other Country-Specific Data'!$K$153</f>
        <v>34.455987071831217</v>
      </c>
      <c r="D513" s="27">
        <f t="shared" si="85"/>
        <v>0</v>
      </c>
      <c r="E513" s="27">
        <f>B513*'H2 Production Cost'!$B$49</f>
        <v>0</v>
      </c>
      <c r="F513" s="27">
        <f t="shared" si="86"/>
        <v>0</v>
      </c>
    </row>
    <row r="514" spans="1:6">
      <c r="A514" t="s">
        <v>67</v>
      </c>
      <c r="B514" s="27">
        <f>J293*'Other Technical Data'!$B$16</f>
        <v>4727.2530472342851</v>
      </c>
      <c r="C514" s="27">
        <f>'Other Country-Specific Data'!$K$153</f>
        <v>34.455987071831217</v>
      </c>
      <c r="D514" s="27">
        <f t="shared" si="85"/>
        <v>162882.16988077926</v>
      </c>
      <c r="E514" s="27">
        <f>B514*'H2 Production Cost'!$B$49</f>
        <v>64217.693015832461</v>
      </c>
      <c r="F514" s="27">
        <f t="shared" si="86"/>
        <v>227099.86289661171</v>
      </c>
    </row>
    <row r="515" spans="1:6">
      <c r="A515" t="s">
        <v>68</v>
      </c>
      <c r="B515" s="27">
        <f>J294*'Other Technical Data'!$B$16</f>
        <v>1391.6452526174605</v>
      </c>
      <c r="C515" s="27">
        <f>'Other Country-Specific Data'!$K$153</f>
        <v>34.455987071831217</v>
      </c>
      <c r="D515" s="27">
        <f t="shared" si="85"/>
        <v>47950.510832762506</v>
      </c>
      <c r="E515" s="27">
        <f>B515*'H2 Production Cost'!$B$49</f>
        <v>18904.900314531344</v>
      </c>
      <c r="F515" s="27">
        <f t="shared" si="86"/>
        <v>66855.411147293853</v>
      </c>
    </row>
    <row r="516" spans="1:6">
      <c r="A516" t="s">
        <v>69</v>
      </c>
      <c r="B516" s="27">
        <f>J295*'Other Technical Data'!$B$16</f>
        <v>0</v>
      </c>
      <c r="C516" s="27">
        <f>'Other Country-Specific Data'!$K$153</f>
        <v>34.455987071831217</v>
      </c>
      <c r="D516" s="27">
        <f t="shared" si="85"/>
        <v>0</v>
      </c>
      <c r="E516" s="27">
        <f>B516*'H2 Production Cost'!$B$49</f>
        <v>0</v>
      </c>
      <c r="F516" s="27">
        <f t="shared" si="86"/>
        <v>0</v>
      </c>
    </row>
    <row r="517" spans="1:6">
      <c r="A517" t="s">
        <v>70</v>
      </c>
      <c r="B517" s="27">
        <f>J296*'Other Technical Data'!$B$16</f>
        <v>550.82626900218884</v>
      </c>
      <c r="C517" s="540">
        <f>'Other Country-Specific Data'!$K$146</f>
        <v>34.455987071831217</v>
      </c>
      <c r="D517" s="27">
        <f>B517*C517</f>
        <v>18979.262803564441</v>
      </c>
      <c r="E517" s="27">
        <f>B517*'H2 Production Cost'!$B$49</f>
        <v>7482.7372036988863</v>
      </c>
      <c r="F517" s="27">
        <f t="shared" si="86"/>
        <v>26462.000007263327</v>
      </c>
    </row>
    <row r="518" spans="1:6">
      <c r="A518" t="s">
        <v>71</v>
      </c>
      <c r="B518" s="27">
        <f>J297*'Other Technical Data'!$B$16</f>
        <v>819.11807028191822</v>
      </c>
      <c r="C518" s="540">
        <f>'Other Country-Specific Data'!$K$139</f>
        <v>46.242915770959556</v>
      </c>
      <c r="D518" s="27">
        <f>B518*C518</f>
        <v>37878.407930517671</v>
      </c>
      <c r="E518" s="27">
        <f>B518*'H2 Production Cost'!$B$49</f>
        <v>11127.365566321952</v>
      </c>
      <c r="F518" s="27">
        <f>SUM(D518:E518)</f>
        <v>49005.773496839625</v>
      </c>
    </row>
    <row r="519" spans="1:6">
      <c r="A519" t="s">
        <v>72</v>
      </c>
      <c r="B519" s="27">
        <f>J298*'Other Technical Data'!$B$16</f>
        <v>0</v>
      </c>
      <c r="C519" s="27">
        <f>'Other Country-Specific Data'!$K$153</f>
        <v>34.455987071831217</v>
      </c>
      <c r="D519" s="27">
        <f t="shared" si="85"/>
        <v>0</v>
      </c>
      <c r="E519" s="27">
        <f>B519*'H2 Production Cost'!$B$49</f>
        <v>0</v>
      </c>
      <c r="F519" s="27">
        <f t="shared" si="86"/>
        <v>0</v>
      </c>
    </row>
    <row r="520" spans="1:6">
      <c r="A520" t="s">
        <v>73</v>
      </c>
      <c r="B520" s="27">
        <f>J299*'Other Technical Data'!$B$16</f>
        <v>0</v>
      </c>
      <c r="C520" s="27">
        <f>'Other Country-Specific Data'!$K$153</f>
        <v>34.455987071831217</v>
      </c>
      <c r="D520" s="27">
        <f t="shared" si="85"/>
        <v>0</v>
      </c>
      <c r="E520" s="27">
        <f>B520*'H2 Production Cost'!$B$49</f>
        <v>0</v>
      </c>
      <c r="F520" s="27">
        <f t="shared" si="86"/>
        <v>0</v>
      </c>
    </row>
    <row r="521" spans="1:6">
      <c r="A521" t="s">
        <v>74</v>
      </c>
      <c r="B521" s="27">
        <f>J300*'Other Technical Data'!$B$16</f>
        <v>0</v>
      </c>
      <c r="C521" s="27">
        <f>'Other Country-Specific Data'!$K$153</f>
        <v>34.455987071831217</v>
      </c>
      <c r="D521" s="27">
        <f t="shared" si="85"/>
        <v>0</v>
      </c>
      <c r="E521" s="27">
        <f>B521*'H2 Production Cost'!$B$49</f>
        <v>0</v>
      </c>
      <c r="F521" s="27">
        <f t="shared" si="86"/>
        <v>0</v>
      </c>
    </row>
    <row r="522" spans="1:6">
      <c r="A522" t="s">
        <v>75</v>
      </c>
      <c r="B522" s="27">
        <f>J301*'Other Technical Data'!$B$16</f>
        <v>0</v>
      </c>
      <c r="C522" s="27">
        <f>'Other Country-Specific Data'!$K$153</f>
        <v>34.455987071831217</v>
      </c>
      <c r="D522" s="27">
        <f t="shared" si="85"/>
        <v>0</v>
      </c>
      <c r="E522" s="27">
        <f>B522*'H2 Production Cost'!$B$49</f>
        <v>0</v>
      </c>
      <c r="F522" s="27">
        <f t="shared" si="86"/>
        <v>0</v>
      </c>
    </row>
    <row r="523" spans="1:6">
      <c r="A523" t="s">
        <v>76</v>
      </c>
      <c r="B523" s="27">
        <f>J302*'Other Technical Data'!$B$16</f>
        <v>0</v>
      </c>
      <c r="C523" s="27">
        <f>'Other Country-Specific Data'!$K$153</f>
        <v>34.455987071831217</v>
      </c>
      <c r="D523" s="27">
        <f t="shared" si="85"/>
        <v>0</v>
      </c>
      <c r="E523" s="27">
        <f>B523*'H2 Production Cost'!$B$49</f>
        <v>0</v>
      </c>
      <c r="F523" s="27">
        <f t="shared" si="86"/>
        <v>0</v>
      </c>
    </row>
    <row r="524" spans="1:6">
      <c r="A524" t="s">
        <v>77</v>
      </c>
      <c r="B524" s="27">
        <f>J303*'Other Technical Data'!$B$16</f>
        <v>0</v>
      </c>
      <c r="C524" s="27">
        <f>'Other Country-Specific Data'!$K$153</f>
        <v>34.455987071831217</v>
      </c>
      <c r="D524" s="27">
        <f t="shared" si="85"/>
        <v>0</v>
      </c>
      <c r="E524" s="27">
        <f>B524*'H2 Production Cost'!$B$49</f>
        <v>0</v>
      </c>
      <c r="F524" s="27">
        <f t="shared" si="86"/>
        <v>0</v>
      </c>
    </row>
    <row r="525" spans="1:6">
      <c r="A525" s="52" t="s">
        <v>125</v>
      </c>
      <c r="B525" s="53">
        <f>SUM(B510:B524)</f>
        <v>7488.8426391358535</v>
      </c>
      <c r="D525" s="53">
        <f>SUM(D510:D524)</f>
        <v>267690.35144762386</v>
      </c>
      <c r="E525" s="53">
        <f>SUM(E510:E524)</f>
        <v>101732.69610038464</v>
      </c>
      <c r="F525" s="936">
        <f>SUM(F510:F524)</f>
        <v>369423.0475480085</v>
      </c>
    </row>
    <row r="528" spans="1:6">
      <c r="A528" s="45" t="s">
        <v>592</v>
      </c>
      <c r="B528" s="51"/>
      <c r="C528" s="51"/>
      <c r="D528" s="51"/>
    </row>
    <row r="529" spans="1:4">
      <c r="A529" s="58" t="s">
        <v>593</v>
      </c>
    </row>
    <row r="530" spans="1:4">
      <c r="A530" s="58" t="s">
        <v>594</v>
      </c>
    </row>
    <row r="532" spans="1:4">
      <c r="A532" s="24" t="s">
        <v>265</v>
      </c>
      <c r="B532" s="57" t="s">
        <v>595</v>
      </c>
      <c r="C532" s="48" t="s">
        <v>116</v>
      </c>
      <c r="D532" s="24" t="s">
        <v>505</v>
      </c>
    </row>
    <row r="533" spans="1:4">
      <c r="A533" t="s">
        <v>596</v>
      </c>
      <c r="B533" s="27">
        <f>B328</f>
        <v>2065.0049774188105</v>
      </c>
      <c r="C533" s="49" t="s">
        <v>597</v>
      </c>
    </row>
    <row r="534" spans="1:4">
      <c r="A534" t="s">
        <v>598</v>
      </c>
      <c r="B534" s="27">
        <f>B533*'Other Country-Specific Data'!$K$154</f>
        <v>69240.017181051429</v>
      </c>
      <c r="C534" s="49" t="s">
        <v>565</v>
      </c>
      <c r="D534" s="52" t="s">
        <v>599</v>
      </c>
    </row>
    <row r="535" spans="1:4">
      <c r="A535" t="s">
        <v>591</v>
      </c>
      <c r="B535" s="27">
        <f>B533*'H2 Production Cost'!$B$49</f>
        <v>28052.201646711426</v>
      </c>
      <c r="C535" s="49" t="s">
        <v>565</v>
      </c>
      <c r="D535" s="52" t="s">
        <v>600</v>
      </c>
    </row>
    <row r="536" spans="1:4">
      <c r="B536" s="27"/>
      <c r="C536" s="49"/>
      <c r="D536" s="52"/>
    </row>
    <row r="537" spans="1:4">
      <c r="A537" t="s">
        <v>601</v>
      </c>
      <c r="B537" s="27">
        <f>B327</f>
        <v>1548.7537330641078</v>
      </c>
      <c r="C537" s="49" t="s">
        <v>602</v>
      </c>
      <c r="D537" s="52"/>
    </row>
    <row r="538" spans="1:4">
      <c r="A538" t="s">
        <v>603</v>
      </c>
      <c r="B538" s="27">
        <f>B537*'Other Country-Specific Data'!$K$154</f>
        <v>51930.012885788572</v>
      </c>
      <c r="C538" s="49" t="s">
        <v>565</v>
      </c>
      <c r="D538" s="52"/>
    </row>
    <row r="539" spans="1:4">
      <c r="B539" s="27"/>
      <c r="C539" s="49"/>
      <c r="D539" s="52"/>
    </row>
    <row r="540" spans="1:4">
      <c r="A540" t="s">
        <v>604</v>
      </c>
      <c r="B540" s="27">
        <f>B329</f>
        <v>1548.7537330641078</v>
      </c>
      <c r="C540" s="49" t="s">
        <v>597</v>
      </c>
      <c r="D540" s="52"/>
    </row>
    <row r="541" spans="1:4">
      <c r="A541" t="s">
        <v>598</v>
      </c>
      <c r="B541" s="27">
        <f>B540*'Other Country-Specific Data'!$K$154</f>
        <v>51930.012885788572</v>
      </c>
      <c r="C541" s="49" t="s">
        <v>565</v>
      </c>
      <c r="D541" s="52"/>
    </row>
    <row r="542" spans="1:4">
      <c r="B542" s="27"/>
      <c r="C542" s="49"/>
      <c r="D542" s="52"/>
    </row>
    <row r="543" spans="1:4">
      <c r="A543" s="52" t="s">
        <v>125</v>
      </c>
      <c r="B543" s="936">
        <f>SUM(B534,B535,B538,B541)</f>
        <v>201152.24459934002</v>
      </c>
      <c r="C543" s="49" t="s">
        <v>565</v>
      </c>
    </row>
    <row r="544" spans="1:4">
      <c r="A544" s="52"/>
      <c r="B544" s="53"/>
      <c r="C544" s="49"/>
    </row>
    <row r="545" spans="1:12">
      <c r="A545" s="45" t="s">
        <v>605</v>
      </c>
      <c r="B545" s="931"/>
      <c r="C545" s="932"/>
    </row>
    <row r="546" spans="1:12" ht="45">
      <c r="A546" s="933"/>
      <c r="B546" s="934" t="s">
        <v>606</v>
      </c>
      <c r="C546" s="37" t="s">
        <v>607</v>
      </c>
    </row>
    <row r="547" spans="1:12">
      <c r="A547" t="s">
        <v>53</v>
      </c>
      <c r="B547" s="27">
        <f>D443</f>
        <v>56830.127142810103</v>
      </c>
      <c r="C547" s="935">
        <f>B547*(1+_xlfn.NUMBERVALUE(Graphs!$H$4))</f>
        <v>56830.127142810103</v>
      </c>
    </row>
    <row r="548" spans="1:12">
      <c r="A548" t="s">
        <v>54</v>
      </c>
      <c r="B548" s="27">
        <f>I465</f>
        <v>251525.07879169387</v>
      </c>
      <c r="C548" s="935">
        <f>B548*(1+_xlfn.NUMBERVALUE(Graphs!$H$4))</f>
        <v>251525.07879169387</v>
      </c>
    </row>
    <row r="549" spans="1:12">
      <c r="A549" t="s">
        <v>55</v>
      </c>
      <c r="B549" s="27">
        <f>I484</f>
        <v>229155.7761365386</v>
      </c>
      <c r="C549" s="935">
        <f>B549*(1+_xlfn.NUMBERVALUE(Graphs!$H$4))</f>
        <v>229155.7761365386</v>
      </c>
    </row>
    <row r="550" spans="1:12">
      <c r="A550" t="s">
        <v>56</v>
      </c>
      <c r="B550" s="27">
        <f>K504</f>
        <v>401014.92235068569</v>
      </c>
      <c r="C550" s="935">
        <f>B550*(1+_xlfn.NUMBERVALUE(Graphs!$H$4))</f>
        <v>401014.92235068569</v>
      </c>
    </row>
    <row r="551" spans="1:12">
      <c r="A551" t="s">
        <v>57</v>
      </c>
      <c r="B551" s="27">
        <f>F525</f>
        <v>369423.0475480085</v>
      </c>
      <c r="C551" s="935">
        <f>B551*(1+_xlfn.NUMBERVALUE(Graphs!$H$4))</f>
        <v>369423.0475480085</v>
      </c>
    </row>
    <row r="552" spans="1:12">
      <c r="A552" t="s">
        <v>115</v>
      </c>
      <c r="B552" s="27">
        <f>B543</f>
        <v>201152.24459934002</v>
      </c>
      <c r="C552" s="935">
        <f>B552*(1+_xlfn.NUMBERVALUE(Graphs!$H$4))</f>
        <v>201152.24459934002</v>
      </c>
    </row>
    <row r="555" spans="1:12">
      <c r="A555" s="45" t="s">
        <v>608</v>
      </c>
      <c r="B555" s="45"/>
      <c r="C555" s="51"/>
      <c r="D555" s="51"/>
      <c r="E555" s="51"/>
      <c r="F555" s="51"/>
      <c r="G555" s="51"/>
    </row>
    <row r="556" spans="1:12" ht="30">
      <c r="A556" s="36" t="s">
        <v>114</v>
      </c>
      <c r="B556" s="37" t="s">
        <v>53</v>
      </c>
      <c r="C556" s="37" t="s">
        <v>54</v>
      </c>
      <c r="D556" s="37" t="s">
        <v>55</v>
      </c>
      <c r="E556" s="37" t="s">
        <v>56</v>
      </c>
      <c r="F556" s="37" t="s">
        <v>57</v>
      </c>
      <c r="G556" s="37" t="s">
        <v>115</v>
      </c>
      <c r="H556" s="54" t="s">
        <v>125</v>
      </c>
      <c r="I556" s="101" t="s">
        <v>87</v>
      </c>
      <c r="K556" s="101" t="s">
        <v>609</v>
      </c>
      <c r="L556" s="101" t="s">
        <v>610</v>
      </c>
    </row>
    <row r="557" spans="1:12">
      <c r="A557" t="s">
        <v>63</v>
      </c>
      <c r="B557" s="792">
        <f>D428*(1+_xlfn.NUMBERVALUE(Graphs!$H$4))</f>
        <v>523.88037202252895</v>
      </c>
      <c r="C557" s="27">
        <f>I450*(1+_xlfn.NUMBERVALUE(Graphs!$H$4))</f>
        <v>8599.7234079831269</v>
      </c>
      <c r="D557" s="27">
        <f>I469*(1+_xlfn.NUMBERVALUE(Graphs!$H$4))</f>
        <v>264.34420388216222</v>
      </c>
      <c r="E557" s="27">
        <f t="shared" ref="E557:E571" si="87">K489*(1+_xlfn.NUMBERVALUE($E$4))</f>
        <v>0</v>
      </c>
      <c r="F557" s="27">
        <f>F510*(1+_xlfn.NUMBERVALUE($E$4))</f>
        <v>0</v>
      </c>
      <c r="H557" s="27">
        <f>SUM(B557:G557)</f>
        <v>9387.9479838878178</v>
      </c>
      <c r="I557">
        <f t="shared" ref="I557:I570" si="88">IF($H557=0,"",_xlfn.RANK.EQ($H557,$H$557:$H$570,0))</f>
        <v>6</v>
      </c>
      <c r="K557" s="27">
        <f>SUM(C557:D557)</f>
        <v>8864.0676118652882</v>
      </c>
      <c r="L557">
        <f t="shared" ref="L557:L568" si="89">_xlfn.RANK.EQ($K557,$K$557:$K$570,0)</f>
        <v>6</v>
      </c>
    </row>
    <row r="558" spans="1:12">
      <c r="A558" t="s">
        <v>64</v>
      </c>
      <c r="B558" s="792">
        <f>D429*(1+_xlfn.NUMBERVALUE(Graphs!$H$4))</f>
        <v>2372.5284203795864</v>
      </c>
      <c r="C558" s="27">
        <f>I451*(1+_xlfn.NUMBERVALUE(Graphs!$H$4))</f>
        <v>1659.6056263831756</v>
      </c>
      <c r="D558" s="27">
        <f>I470*(1+_xlfn.NUMBERVALUE(Graphs!$H$4))</f>
        <v>2106.8455311365278</v>
      </c>
      <c r="E558" s="27">
        <f t="shared" si="87"/>
        <v>0</v>
      </c>
      <c r="F558" s="27">
        <f t="shared" ref="F558:F571" si="90">F511*(1+_xlfn.NUMBERVALUE($E$4))</f>
        <v>0</v>
      </c>
      <c r="H558" s="27">
        <f t="shared" ref="H558:H571" si="91">SUM(B558:G558)</f>
        <v>6138.9795778992902</v>
      </c>
      <c r="I558">
        <f t="shared" si="88"/>
        <v>11</v>
      </c>
      <c r="K558" s="27">
        <f t="shared" ref="K558:K571" si="92">SUM(C558:D558)</f>
        <v>3766.4511575197034</v>
      </c>
      <c r="L558">
        <f t="shared" si="89"/>
        <v>12</v>
      </c>
    </row>
    <row r="559" spans="1:12">
      <c r="A559" t="s">
        <v>65</v>
      </c>
      <c r="B559" s="792">
        <f>D430*(1+_xlfn.NUMBERVALUE(Graphs!$H$4))</f>
        <v>145.41741280667949</v>
      </c>
      <c r="C559" s="27">
        <f>I452*(1+_xlfn.NUMBERVALUE(Graphs!$H$4))</f>
        <v>155.63538862591221</v>
      </c>
      <c r="D559" s="27">
        <f>I471*(1+_xlfn.NUMBERVALUE(Graphs!$H$4))</f>
        <v>462.7726827017645</v>
      </c>
      <c r="E559" s="27">
        <f t="shared" si="87"/>
        <v>0</v>
      </c>
      <c r="F559" s="27">
        <f t="shared" si="90"/>
        <v>0</v>
      </c>
      <c r="H559" s="27">
        <f t="shared" si="91"/>
        <v>763.8254841343562</v>
      </c>
      <c r="I559">
        <f t="shared" si="88"/>
        <v>14</v>
      </c>
      <c r="K559" s="27">
        <f t="shared" si="92"/>
        <v>618.40807132767668</v>
      </c>
      <c r="L559">
        <f t="shared" si="89"/>
        <v>14</v>
      </c>
    </row>
    <row r="560" spans="1:12">
      <c r="A560" t="s">
        <v>66</v>
      </c>
      <c r="B560" s="792">
        <f>D431*(1+_xlfn.NUMBERVALUE(Graphs!$H$4))</f>
        <v>773.31240833990921</v>
      </c>
      <c r="C560" s="27">
        <f>I453*(1+_xlfn.NUMBERVALUE(Graphs!$H$4))</f>
        <v>952.63842644519434</v>
      </c>
      <c r="D560" s="27">
        <f>I472*(1+_xlfn.NUMBERVALUE(Graphs!$H$4))</f>
        <v>6430.7368204859349</v>
      </c>
      <c r="E560" s="27">
        <f t="shared" si="87"/>
        <v>0</v>
      </c>
      <c r="F560" s="27">
        <f t="shared" si="90"/>
        <v>0</v>
      </c>
      <c r="H560" s="27">
        <f t="shared" si="91"/>
        <v>8156.6876552710382</v>
      </c>
      <c r="I560">
        <f t="shared" si="88"/>
        <v>9</v>
      </c>
      <c r="K560" s="27">
        <f t="shared" si="92"/>
        <v>7383.3752469311294</v>
      </c>
      <c r="L560">
        <f t="shared" si="89"/>
        <v>8</v>
      </c>
    </row>
    <row r="561" spans="1:12">
      <c r="A561" t="s">
        <v>67</v>
      </c>
      <c r="B561" s="792">
        <f>D432*(1+_xlfn.NUMBERVALUE(Graphs!$H$4))</f>
        <v>5191.8175472540706</v>
      </c>
      <c r="C561" s="27">
        <f>I454*(1+_xlfn.NUMBERVALUE(Graphs!$H$4))</f>
        <v>34277.330906746727</v>
      </c>
      <c r="D561" s="27">
        <f>I473*(1+_xlfn.NUMBERVALUE(Graphs!$H$4))</f>
        <v>7107.2230615094877</v>
      </c>
      <c r="E561" s="27">
        <f t="shared" si="87"/>
        <v>0</v>
      </c>
      <c r="F561" s="27">
        <f t="shared" si="90"/>
        <v>227099.86289661171</v>
      </c>
      <c r="H561" s="27">
        <f t="shared" si="91"/>
        <v>273676.23441212199</v>
      </c>
      <c r="I561">
        <f t="shared" si="88"/>
        <v>3</v>
      </c>
      <c r="K561" s="27">
        <f t="shared" si="92"/>
        <v>41384.553968256216</v>
      </c>
      <c r="L561">
        <f t="shared" si="89"/>
        <v>3</v>
      </c>
    </row>
    <row r="562" spans="1:12">
      <c r="A562" t="s">
        <v>68</v>
      </c>
      <c r="B562" s="792">
        <f>D433*(1+_xlfn.NUMBERVALUE(Graphs!$H$4))</f>
        <v>26533.55608487779</v>
      </c>
      <c r="C562" s="27">
        <f>I455*(1+_xlfn.NUMBERVALUE(Graphs!$H$4))</f>
        <v>113011.56201240925</v>
      </c>
      <c r="D562" s="27">
        <f>I474*(1+_xlfn.NUMBERVALUE(Graphs!$H$4))</f>
        <v>85667.101565284407</v>
      </c>
      <c r="E562" s="27">
        <f t="shared" si="87"/>
        <v>0</v>
      </c>
      <c r="F562" s="27">
        <f t="shared" si="90"/>
        <v>66855.411147293853</v>
      </c>
      <c r="G562" s="27">
        <f>$B$543*(1+_xlfn.NUMBERVALUE($E$4))</f>
        <v>201152.24459934002</v>
      </c>
      <c r="H562" s="27">
        <f t="shared" si="91"/>
        <v>493219.87540920533</v>
      </c>
      <c r="I562">
        <f t="shared" si="88"/>
        <v>1</v>
      </c>
      <c r="K562" s="27">
        <f t="shared" si="92"/>
        <v>198678.66357769366</v>
      </c>
      <c r="L562">
        <f t="shared" si="89"/>
        <v>1</v>
      </c>
    </row>
    <row r="563" spans="1:12">
      <c r="A563" t="s">
        <v>69</v>
      </c>
      <c r="B563" s="792">
        <f>D434*(1+_xlfn.NUMBERVALUE(Graphs!$H$4))</f>
        <v>189.91462851991776</v>
      </c>
      <c r="C563" s="27">
        <f>I456*(1+_xlfn.NUMBERVALUE(Graphs!$H$4))</f>
        <v>2124.1481518766795</v>
      </c>
      <c r="D563" s="27">
        <f>I475*(1+_xlfn.NUMBERVALUE(Graphs!$H$4))</f>
        <v>3966.154814560603</v>
      </c>
      <c r="E563" s="27">
        <f t="shared" si="87"/>
        <v>0</v>
      </c>
      <c r="F563" s="27">
        <f t="shared" si="90"/>
        <v>0</v>
      </c>
      <c r="H563" s="27">
        <f t="shared" si="91"/>
        <v>6280.2175949572002</v>
      </c>
      <c r="I563">
        <f t="shared" si="88"/>
        <v>10</v>
      </c>
      <c r="K563" s="27">
        <f t="shared" si="92"/>
        <v>6090.3029664372825</v>
      </c>
      <c r="L563">
        <f t="shared" si="89"/>
        <v>10</v>
      </c>
    </row>
    <row r="564" spans="1:12">
      <c r="A564" t="s">
        <v>70</v>
      </c>
      <c r="B564" s="792">
        <f>D435*(1+_xlfn.NUMBERVALUE(Graphs!$H$4))</f>
        <v>8088.5215140318296</v>
      </c>
      <c r="C564" s="27">
        <f>I457*(1+_xlfn.NUMBERVALUE(Graphs!$H$4))</f>
        <v>3610.2279911907103</v>
      </c>
      <c r="D564" s="27">
        <f>I476*(1+_xlfn.NUMBERVALUE(Graphs!$H$4))</f>
        <v>36431.252047336529</v>
      </c>
      <c r="E564" s="27">
        <f>K496*(1+_xlfn.NUMBERVALUE($E$4))</f>
        <v>308758.7210423745</v>
      </c>
      <c r="F564" s="27">
        <f t="shared" si="90"/>
        <v>26462.000007263327</v>
      </c>
      <c r="H564" s="27">
        <f t="shared" si="91"/>
        <v>383350.72260219691</v>
      </c>
      <c r="I564">
        <f t="shared" si="88"/>
        <v>2</v>
      </c>
      <c r="K564" s="27">
        <f t="shared" si="92"/>
        <v>40041.480038527239</v>
      </c>
      <c r="L564">
        <f t="shared" si="89"/>
        <v>4</v>
      </c>
    </row>
    <row r="565" spans="1:12">
      <c r="A565" t="s">
        <v>71</v>
      </c>
      <c r="B565" s="792">
        <f>D436*(1+_xlfn.NUMBERVALUE(Graphs!$H$4))</f>
        <v>7858.2126325732479</v>
      </c>
      <c r="C565" s="27">
        <f>I458*(1+_xlfn.NUMBERVALUE(Graphs!$H$4))</f>
        <v>79075.264567965496</v>
      </c>
      <c r="D565" s="27">
        <f>I477*(1+_xlfn.NUMBERVALUE(Graphs!$H$4))</f>
        <v>36434.621956123461</v>
      </c>
      <c r="E565" s="27">
        <f t="shared" si="87"/>
        <v>89802.656644002651</v>
      </c>
      <c r="F565" s="27">
        <f t="shared" si="90"/>
        <v>49005.773496839625</v>
      </c>
      <c r="H565" s="27">
        <f t="shared" si="91"/>
        <v>262176.52929750446</v>
      </c>
      <c r="I565">
        <f t="shared" si="88"/>
        <v>4</v>
      </c>
      <c r="K565" s="27">
        <f t="shared" si="92"/>
        <v>115509.88652408896</v>
      </c>
      <c r="L565">
        <f t="shared" si="89"/>
        <v>2</v>
      </c>
    </row>
    <row r="566" spans="1:12">
      <c r="A566" t="s">
        <v>72</v>
      </c>
      <c r="B566" s="792">
        <f>D437*(1+_xlfn.NUMBERVALUE(Graphs!$H$4))</f>
        <v>2630.6701763591732</v>
      </c>
      <c r="C566" s="27">
        <f>I459*(1+_xlfn.NUMBERVALUE(Graphs!$H$4))</f>
        <v>2626.9189080352535</v>
      </c>
      <c r="D566" s="27">
        <f>I478*(1+_xlfn.NUMBERVALUE(Graphs!$H$4))</f>
        <v>31258.743120977473</v>
      </c>
      <c r="E566" s="27">
        <f t="shared" si="87"/>
        <v>2453.5446643085579</v>
      </c>
      <c r="F566" s="27">
        <f t="shared" si="90"/>
        <v>0</v>
      </c>
      <c r="H566" s="27">
        <f t="shared" si="91"/>
        <v>38969.876869680462</v>
      </c>
      <c r="I566">
        <f t="shared" si="88"/>
        <v>5</v>
      </c>
      <c r="K566" s="27">
        <f t="shared" si="92"/>
        <v>33885.662029012725</v>
      </c>
      <c r="L566">
        <f t="shared" si="89"/>
        <v>5</v>
      </c>
    </row>
    <row r="567" spans="1:12">
      <c r="A567" t="s">
        <v>73</v>
      </c>
      <c r="B567" s="792">
        <f>D438*(1+_xlfn.NUMBERVALUE(Graphs!$H$4))</f>
        <v>614.79809622925234</v>
      </c>
      <c r="C567" s="27">
        <f>I460*(1+_xlfn.NUMBERVALUE(Graphs!$H$4))</f>
        <v>1296.7952931118643</v>
      </c>
      <c r="D567" s="27">
        <f>I479*(1+_xlfn.NUMBERVALUE(Graphs!$H$4))</f>
        <v>6443.7668097104606</v>
      </c>
      <c r="E567" s="27">
        <f t="shared" si="87"/>
        <v>0</v>
      </c>
      <c r="F567" s="27">
        <f t="shared" si="90"/>
        <v>0</v>
      </c>
      <c r="H567" s="27">
        <f t="shared" si="91"/>
        <v>8355.3601990515781</v>
      </c>
      <c r="I567">
        <f t="shared" si="88"/>
        <v>7</v>
      </c>
      <c r="K567" s="27">
        <f t="shared" si="92"/>
        <v>7740.562102822325</v>
      </c>
      <c r="L567">
        <f t="shared" si="89"/>
        <v>7</v>
      </c>
    </row>
    <row r="568" spans="1:12">
      <c r="A568" t="s">
        <v>74</v>
      </c>
      <c r="B568" s="792">
        <f>D439*(1+_xlfn.NUMBERVALUE(Graphs!$H$4))</f>
        <v>226.55987242767986</v>
      </c>
      <c r="C568" s="27">
        <f>I461*(1+_xlfn.NUMBERVALUE(Graphs!$H$4))</f>
        <v>1198.2384986412073</v>
      </c>
      <c r="D568" s="27">
        <f>I480*(1+_xlfn.NUMBERVALUE(Graphs!$H$4))</f>
        <v>3399.1755611045228</v>
      </c>
      <c r="E568" s="27">
        <f t="shared" si="87"/>
        <v>0</v>
      </c>
      <c r="F568" s="27">
        <f t="shared" si="90"/>
        <v>0</v>
      </c>
      <c r="H568" s="27">
        <f t="shared" si="91"/>
        <v>4823.9739321734105</v>
      </c>
      <c r="I568">
        <f t="shared" si="88"/>
        <v>12</v>
      </c>
      <c r="K568" s="27">
        <f t="shared" si="92"/>
        <v>4597.4140597457299</v>
      </c>
      <c r="L568">
        <f t="shared" si="89"/>
        <v>11</v>
      </c>
    </row>
    <row r="569" spans="1:12">
      <c r="A569" t="s">
        <v>75</v>
      </c>
      <c r="B569" s="792">
        <f>D440*(1+_xlfn.NUMBERVALUE(Graphs!$H$4))</f>
        <v>682.7401506681058</v>
      </c>
      <c r="C569" s="27">
        <f>I462*(1+_xlfn.NUMBERVALUE(Graphs!$H$4))</f>
        <v>807.42135156706536</v>
      </c>
      <c r="D569" s="27">
        <f>I481*(1+_xlfn.NUMBERVALUE(Graphs!$H$4))</f>
        <v>2311.1168473766365</v>
      </c>
      <c r="E569" s="27">
        <f t="shared" si="87"/>
        <v>0</v>
      </c>
      <c r="F569" s="27">
        <f t="shared" si="90"/>
        <v>0</v>
      </c>
      <c r="H569" s="27">
        <f t="shared" si="91"/>
        <v>3801.2783496118077</v>
      </c>
      <c r="I569">
        <f t="shared" si="88"/>
        <v>13</v>
      </c>
      <c r="K569" s="27">
        <f t="shared" si="92"/>
        <v>3118.5381989437019</v>
      </c>
      <c r="L569">
        <f>_xlfn.RANK.EQ($K569,$K$557:$K$570,0)</f>
        <v>13</v>
      </c>
    </row>
    <row r="570" spans="1:12">
      <c r="A570" t="s">
        <v>76</v>
      </c>
      <c r="B570" s="792">
        <f>D441*(1+_xlfn.NUMBERVALUE(Graphs!$H$4))</f>
        <v>861.66784753912248</v>
      </c>
      <c r="C570" s="27">
        <f>I463*(1+_xlfn.NUMBERVALUE(Graphs!$H$4))</f>
        <v>1709.5779252279042</v>
      </c>
      <c r="D570" s="27">
        <f>I482*(1+_xlfn.NUMBERVALUE(Graphs!$H$4))</f>
        <v>5657.1491926235385</v>
      </c>
      <c r="E570" s="27">
        <f t="shared" si="87"/>
        <v>0</v>
      </c>
      <c r="F570" s="27">
        <f t="shared" si="90"/>
        <v>0</v>
      </c>
      <c r="H570" s="27">
        <f t="shared" si="91"/>
        <v>8228.3949653905656</v>
      </c>
      <c r="I570">
        <f t="shared" si="88"/>
        <v>8</v>
      </c>
      <c r="K570" s="27">
        <f t="shared" si="92"/>
        <v>7366.7271178514429</v>
      </c>
      <c r="L570">
        <f>_xlfn.RANK.EQ($K570,$K$557:$K$570,0)</f>
        <v>9</v>
      </c>
    </row>
    <row r="571" spans="1:12">
      <c r="A571" t="s">
        <v>77</v>
      </c>
      <c r="B571" s="792">
        <f>D442*(1+_xlfn.NUMBERVALUE(Graphs!$H$4))</f>
        <v>136.52997878121977</v>
      </c>
      <c r="C571" s="27">
        <f>I464*(1+_xlfn.NUMBERVALUE(Graphs!$H$4))</f>
        <v>419.99033548429281</v>
      </c>
      <c r="D571" s="27">
        <f>I483*(1+_xlfn.NUMBERVALUE(Graphs!$H$4))</f>
        <v>1214.7719217250949</v>
      </c>
      <c r="E571" s="27">
        <f t="shared" si="87"/>
        <v>0</v>
      </c>
      <c r="F571" s="27">
        <f t="shared" si="90"/>
        <v>0</v>
      </c>
      <c r="H571" s="27">
        <f t="shared" si="91"/>
        <v>1771.2922359906074</v>
      </c>
      <c r="K571" s="27">
        <f t="shared" si="92"/>
        <v>1634.7622572093878</v>
      </c>
    </row>
    <row r="574" spans="1:12">
      <c r="A574" s="106" t="s">
        <v>611</v>
      </c>
      <c r="B574" s="107"/>
      <c r="C574" s="107"/>
      <c r="D574" s="107"/>
      <c r="E574" s="107"/>
      <c r="F574" s="107"/>
    </row>
    <row r="576" spans="1:12">
      <c r="B576" s="30" t="s">
        <v>595</v>
      </c>
      <c r="C576" s="98" t="s">
        <v>612</v>
      </c>
      <c r="D576" s="23" t="s">
        <v>271</v>
      </c>
    </row>
    <row r="577" spans="1:6">
      <c r="A577" t="s">
        <v>613</v>
      </c>
      <c r="B577">
        <v>30</v>
      </c>
      <c r="C577" s="49" t="s">
        <v>614</v>
      </c>
    </row>
    <row r="578" spans="1:6">
      <c r="A578" t="s">
        <v>615</v>
      </c>
      <c r="B578" s="929" t="str">
        <f>Graphs!$H$5</f>
        <v>7%</v>
      </c>
      <c r="C578" s="49">
        <v>45</v>
      </c>
      <c r="D578" t="s">
        <v>616</v>
      </c>
    </row>
    <row r="580" spans="1:6">
      <c r="A580" t="s">
        <v>617</v>
      </c>
    </row>
    <row r="581" spans="1:6">
      <c r="A581" t="s">
        <v>618</v>
      </c>
    </row>
    <row r="583" spans="1:6">
      <c r="B583" s="30" t="s">
        <v>619</v>
      </c>
      <c r="C583" s="30" t="s">
        <v>620</v>
      </c>
    </row>
    <row r="584" spans="1:6">
      <c r="A584" t="s">
        <v>53</v>
      </c>
      <c r="B584" s="792">
        <f>C547</f>
        <v>56830.127142810103</v>
      </c>
      <c r="C584" s="793">
        <f>(B584*$B$578)/(1-(1+$B$578)^-$B$577)</f>
        <v>4579.7355575182473</v>
      </c>
    </row>
    <row r="585" spans="1:6">
      <c r="A585" t="s">
        <v>54</v>
      </c>
      <c r="B585" s="792">
        <f t="shared" ref="B585:B589" si="93">C548</f>
        <v>251525.07879169387</v>
      </c>
      <c r="C585" s="793">
        <f>(B585*$B$578)/(1-(1+$B$578)^-$B$577)</f>
        <v>20269.501492671479</v>
      </c>
    </row>
    <row r="586" spans="1:6">
      <c r="A586" t="s">
        <v>55</v>
      </c>
      <c r="B586" s="792">
        <f t="shared" si="93"/>
        <v>229155.7761365386</v>
      </c>
      <c r="C586" s="793">
        <f t="shared" ref="C586:C589" si="94">(B586*$B$578)/(1-(1+$B$578)^-$B$577)</f>
        <v>18466.839842640966</v>
      </c>
    </row>
    <row r="587" spans="1:6">
      <c r="A587" t="s">
        <v>56</v>
      </c>
      <c r="B587" s="792">
        <f t="shared" si="93"/>
        <v>401014.92235068569</v>
      </c>
      <c r="C587" s="793">
        <f t="shared" si="94"/>
        <v>32316.350346529282</v>
      </c>
    </row>
    <row r="588" spans="1:6">
      <c r="A588" t="s">
        <v>57</v>
      </c>
      <c r="B588" s="792">
        <f t="shared" si="93"/>
        <v>369423.0475480085</v>
      </c>
      <c r="C588" s="793">
        <f t="shared" si="94"/>
        <v>29770.474776008232</v>
      </c>
    </row>
    <row r="589" spans="1:6">
      <c r="A589" t="s">
        <v>115</v>
      </c>
      <c r="B589" s="792">
        <f t="shared" si="93"/>
        <v>201152.24459934002</v>
      </c>
      <c r="C589" s="793">
        <f t="shared" si="94"/>
        <v>16210.135950448152</v>
      </c>
    </row>
    <row r="591" spans="1:6">
      <c r="A591" s="106" t="s">
        <v>621</v>
      </c>
      <c r="B591" s="107"/>
      <c r="C591" s="107"/>
      <c r="D591" s="107"/>
      <c r="E591" s="107"/>
      <c r="F591" s="107"/>
    </row>
    <row r="593" spans="1:6">
      <c r="B593" s="30" t="s">
        <v>595</v>
      </c>
      <c r="C593" s="98" t="s">
        <v>116</v>
      </c>
    </row>
    <row r="594" spans="1:6">
      <c r="A594" t="s">
        <v>622</v>
      </c>
      <c r="B594" s="500">
        <f>SUMPRODUCT('Other Country-Specific Data'!K158:K160,'Other Country-Specific Data'!K128:K130)</f>
        <v>0.18433423659287798</v>
      </c>
      <c r="C594" s="49" t="s">
        <v>326</v>
      </c>
    </row>
    <row r="595" spans="1:6" ht="30">
      <c r="A595" s="33" t="s">
        <v>623</v>
      </c>
      <c r="B595" s="500">
        <f>B594*(1-$F$24)</f>
        <v>0</v>
      </c>
      <c r="C595" s="49" t="s">
        <v>326</v>
      </c>
    </row>
    <row r="597" spans="1:6">
      <c r="A597" s="106" t="s">
        <v>94</v>
      </c>
      <c r="B597" s="107"/>
      <c r="C597" s="107"/>
      <c r="D597" s="107"/>
      <c r="E597" s="107"/>
      <c r="F597" s="107"/>
    </row>
    <row r="599" spans="1:6">
      <c r="B599" s="30" t="s">
        <v>595</v>
      </c>
      <c r="C599" s="98" t="s">
        <v>116</v>
      </c>
      <c r="D599" s="23" t="s">
        <v>271</v>
      </c>
    </row>
    <row r="600" spans="1:6">
      <c r="A600" t="s">
        <v>624</v>
      </c>
      <c r="B600" s="500">
        <f>'Other Country-Specific Data'!$K$185*'Other Technical Data'!$B$71+(1-'Other Country-Specific Data'!$K$185)*'Other Technical Data'!$B$74</f>
        <v>1.6880492857346167E-2</v>
      </c>
      <c r="C600" s="49" t="s">
        <v>625</v>
      </c>
      <c r="D600" t="s">
        <v>626</v>
      </c>
    </row>
    <row r="601" spans="1:6">
      <c r="A601" t="s">
        <v>627</v>
      </c>
      <c r="B601" s="500">
        <f>'Other Technical Data'!B87</f>
        <v>1.7581999999999997E-2</v>
      </c>
      <c r="C601" s="49" t="s">
        <v>628</v>
      </c>
      <c r="D601" t="s">
        <v>629</v>
      </c>
    </row>
    <row r="603" spans="1:6">
      <c r="A603" t="s">
        <v>630</v>
      </c>
      <c r="B603" s="50">
        <f>IFERROR(SUM(E375:F375)/SUM(B375:F375),0)</f>
        <v>0.1536306096918672</v>
      </c>
      <c r="D603" t="s">
        <v>631</v>
      </c>
    </row>
    <row r="604" spans="1:6">
      <c r="A604" t="s">
        <v>632</v>
      </c>
      <c r="B604" s="50">
        <f>IFERROR(SUM(B375:D375)/SUM(B375:F375),0)</f>
        <v>0.84636939030813274</v>
      </c>
    </row>
    <row r="605" spans="1:6">
      <c r="A605" t="s">
        <v>633</v>
      </c>
      <c r="B605" s="500">
        <f>SUMPRODUCT(B600:B601,B603:B604)</f>
        <v>1.7474227029970889E-2</v>
      </c>
      <c r="C605" s="49" t="s">
        <v>634</v>
      </c>
      <c r="D605" t="s">
        <v>635</v>
      </c>
    </row>
    <row r="607" spans="1:6">
      <c r="B607" s="30" t="s">
        <v>636</v>
      </c>
      <c r="C607" s="30" t="s">
        <v>637</v>
      </c>
      <c r="D607" s="30" t="s">
        <v>638</v>
      </c>
      <c r="E607" s="110" t="s">
        <v>125</v>
      </c>
      <c r="F607" s="98" t="s">
        <v>116</v>
      </c>
    </row>
    <row r="608" spans="1:6">
      <c r="A608" t="s">
        <v>51</v>
      </c>
      <c r="B608" s="27">
        <f>SUM(B21:C21)*B600</f>
        <v>416.53100969669322</v>
      </c>
      <c r="C608" s="27">
        <f>F21*B601</f>
        <v>104.85498744431416</v>
      </c>
      <c r="D608">
        <f>L21*B605</f>
        <v>0</v>
      </c>
      <c r="E608" s="793">
        <f>SUM(B608:D608)</f>
        <v>521.38599714100735</v>
      </c>
      <c r="F608" s="49" t="s">
        <v>639</v>
      </c>
    </row>
    <row r="609" spans="1:6">
      <c r="A609" t="s">
        <v>52</v>
      </c>
      <c r="B609" s="27">
        <f>SUM(B59:C59)*B600</f>
        <v>374.56425204653647</v>
      </c>
      <c r="C609" s="27">
        <f>F59*B601</f>
        <v>112.31132144751744</v>
      </c>
      <c r="D609" s="27">
        <f>L59*B605</f>
        <v>0</v>
      </c>
      <c r="E609" s="793">
        <f t="shared" ref="E609:E615" si="95">SUM(B609:D609)</f>
        <v>486.87557349405392</v>
      </c>
      <c r="F609" s="49" t="s">
        <v>639</v>
      </c>
    </row>
    <row r="610" spans="1:6">
      <c r="A610" t="s">
        <v>53</v>
      </c>
      <c r="B610" s="27">
        <f>SUM(B99:C99)*B600</f>
        <v>212.45139593033647</v>
      </c>
      <c r="C610" s="27">
        <f>F99*B601</f>
        <v>73.564511343809755</v>
      </c>
      <c r="D610" s="27">
        <f>L99*B605</f>
        <v>0</v>
      </c>
      <c r="E610" s="793">
        <f t="shared" si="95"/>
        <v>286.01590727414623</v>
      </c>
      <c r="F610" s="49" t="s">
        <v>639</v>
      </c>
    </row>
    <row r="611" spans="1:6">
      <c r="A611" t="s">
        <v>54</v>
      </c>
      <c r="B611" s="27">
        <f>SUM(B206:C206)*B600</f>
        <v>101.23447919952272</v>
      </c>
      <c r="C611" s="27">
        <f>F206*B601</f>
        <v>33.718872270325875</v>
      </c>
      <c r="D611" s="27">
        <f>L206*B605</f>
        <v>0</v>
      </c>
      <c r="E611" s="793">
        <f t="shared" si="95"/>
        <v>134.9533514698486</v>
      </c>
      <c r="F611" s="49" t="s">
        <v>639</v>
      </c>
    </row>
    <row r="612" spans="1:6">
      <c r="A612" t="s">
        <v>55</v>
      </c>
      <c r="B612" s="27">
        <f>SUM(B226:C226)*B600</f>
        <v>65.571850733210056</v>
      </c>
      <c r="C612" s="27">
        <f>F226*B601</f>
        <v>14.77964647792199</v>
      </c>
      <c r="D612" s="27">
        <f>L226*B605</f>
        <v>0</v>
      </c>
      <c r="E612" s="793">
        <f t="shared" si="95"/>
        <v>80.351497211132042</v>
      </c>
      <c r="F612" s="49" t="s">
        <v>639</v>
      </c>
    </row>
    <row r="613" spans="1:6">
      <c r="A613" t="s">
        <v>56</v>
      </c>
      <c r="B613" s="27">
        <f>SUM(B265:C265)*B600</f>
        <v>33.17730312301267</v>
      </c>
      <c r="C613" s="27">
        <f>F265*B601</f>
        <v>11.211493543763382</v>
      </c>
      <c r="D613" s="27">
        <f>L265*B605</f>
        <v>74.586411862148211</v>
      </c>
      <c r="E613" s="793">
        <f t="shared" si="95"/>
        <v>118.97520852892427</v>
      </c>
      <c r="F613" s="49" t="s">
        <v>639</v>
      </c>
    </row>
    <row r="614" spans="1:6">
      <c r="A614" t="s">
        <v>57</v>
      </c>
      <c r="B614" s="27">
        <f>SUM(B304:C304)*B600</f>
        <v>-7.3382674380223781E-16</v>
      </c>
      <c r="C614" s="27">
        <f>F304*B601</f>
        <v>-9.3399365632798378E-16</v>
      </c>
      <c r="D614" s="27">
        <f>L304*B605</f>
        <v>74.586411862148211</v>
      </c>
      <c r="E614" s="793">
        <f t="shared" si="95"/>
        <v>74.586411862148211</v>
      </c>
      <c r="F614" s="49" t="s">
        <v>639</v>
      </c>
    </row>
    <row r="615" spans="1:6">
      <c r="A615" t="s">
        <v>58</v>
      </c>
      <c r="B615" s="27">
        <f>SUM(B364:C364)*B600</f>
        <v>-7.3382674380223781E-16</v>
      </c>
      <c r="C615" s="27">
        <f>F364*B601</f>
        <v>-9.3399365632798378E-16</v>
      </c>
      <c r="D615" s="27">
        <f>L364*B605</f>
        <v>74.586411862148211</v>
      </c>
      <c r="E615" s="793">
        <f t="shared" si="95"/>
        <v>74.586411862148211</v>
      </c>
      <c r="F615" s="49" t="s">
        <v>639</v>
      </c>
    </row>
    <row r="617" spans="1:6">
      <c r="A617" s="106" t="s">
        <v>640</v>
      </c>
      <c r="B617" s="107"/>
      <c r="C617" s="107"/>
      <c r="D617" s="107"/>
      <c r="E617" s="107"/>
      <c r="F617" s="107"/>
    </row>
    <row r="619" spans="1:6" ht="30">
      <c r="B619" s="37" t="s">
        <v>641</v>
      </c>
      <c r="C619" s="98" t="s">
        <v>116</v>
      </c>
    </row>
    <row r="620" spans="1:6">
      <c r="A620" t="s">
        <v>51</v>
      </c>
      <c r="B620" s="793">
        <f>'Other Country-Specific Data'!K14</f>
        <v>979</v>
      </c>
      <c r="C620" s="49" t="s">
        <v>288</v>
      </c>
    </row>
    <row r="621" spans="1:6">
      <c r="A621" t="s">
        <v>52</v>
      </c>
      <c r="B621" s="793">
        <f>B620*(1+D32)</f>
        <v>691.49001663893512</v>
      </c>
      <c r="C621" s="49" t="s">
        <v>288</v>
      </c>
    </row>
    <row r="622" spans="1:6">
      <c r="A622" t="s">
        <v>53</v>
      </c>
      <c r="B622" s="793">
        <f>B621*(1-I72)</f>
        <v>488.79772461524186</v>
      </c>
      <c r="C622" s="49" t="s">
        <v>288</v>
      </c>
    </row>
    <row r="623" spans="1:6">
      <c r="A623" t="s">
        <v>54</v>
      </c>
      <c r="B623" s="793">
        <f>B622</f>
        <v>488.79772461524186</v>
      </c>
      <c r="C623" s="49" t="s">
        <v>288</v>
      </c>
    </row>
    <row r="624" spans="1:6">
      <c r="A624" t="s">
        <v>55</v>
      </c>
      <c r="B624" s="793">
        <f>B623</f>
        <v>488.79772461524186</v>
      </c>
      <c r="C624" s="49" t="s">
        <v>288</v>
      </c>
    </row>
    <row r="625" spans="1:3">
      <c r="A625" t="s">
        <v>56</v>
      </c>
      <c r="B625" s="793">
        <f>B624*(1-'Other Technical Data'!$B$20*'Achivable Interventions'!$R$20)</f>
        <v>48.879772461524176</v>
      </c>
      <c r="C625" s="49" t="s">
        <v>288</v>
      </c>
    </row>
    <row r="626" spans="1:3">
      <c r="A626" t="s">
        <v>57</v>
      </c>
      <c r="B626" s="793">
        <f>B625</f>
        <v>48.879772461524176</v>
      </c>
      <c r="C626" s="49" t="s">
        <v>288</v>
      </c>
    </row>
    <row r="627" spans="1:3">
      <c r="A627" t="s">
        <v>58</v>
      </c>
      <c r="B627" s="793">
        <f>B626</f>
        <v>48.879772461524176</v>
      </c>
      <c r="C627" s="49" t="s">
        <v>288</v>
      </c>
    </row>
    <row r="630" spans="1:3">
      <c r="A630" t="s">
        <v>642</v>
      </c>
      <c r="B630" s="27">
        <f>B624-B625</f>
        <v>439.91795215371769</v>
      </c>
      <c r="C630" s="49" t="s">
        <v>288</v>
      </c>
    </row>
    <row r="631" spans="1:3">
      <c r="A631" t="s">
        <v>643</v>
      </c>
      <c r="B631" s="792">
        <f>B630/B371</f>
        <v>4902.7129175603022</v>
      </c>
      <c r="C631" s="49" t="s">
        <v>183</v>
      </c>
    </row>
    <row r="632" spans="1:3">
      <c r="A632" t="s">
        <v>644</v>
      </c>
      <c r="B632" s="792">
        <f>B631*'Other Technical Data'!B19</f>
        <v>980.54258351206045</v>
      </c>
      <c r="C632" s="49" t="s">
        <v>183</v>
      </c>
    </row>
  </sheetData>
  <phoneticPr fontId="52" type="noConversion"/>
  <pageMargins left="0.7" right="0.7" top="0.75" bottom="0.75" header="0.3" footer="0.3"/>
  <pageSetup orientation="portrait" r:id="rId1"/>
  <headerFooter>
    <oddFooter>&amp;R_x000D_&amp;1#&amp;"Aptos"&amp;10&amp;K000000 Official Use Only</oddFooter>
  </headerFooter>
  <ignoredErrors>
    <ignoredError sqref="J289:J303"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0EBB-7EC4-4DD3-8DD6-28B182CA7980}">
  <sheetPr>
    <tabColor theme="8" tint="0.59999389629810485"/>
  </sheetPr>
  <dimension ref="A1:G48"/>
  <sheetViews>
    <sheetView zoomScale="115" zoomScaleNormal="115" workbookViewId="0"/>
  </sheetViews>
  <sheetFormatPr defaultRowHeight="15"/>
  <cols>
    <col min="1" max="1" width="15.28515625" customWidth="1"/>
    <col min="3" max="3" width="17.7109375" customWidth="1"/>
    <col min="4" max="4" width="18.42578125" customWidth="1"/>
    <col min="5" max="5" width="12" bestFit="1" customWidth="1"/>
    <col min="6" max="6" width="20.7109375" customWidth="1"/>
    <col min="7" max="7" width="68.28515625" customWidth="1"/>
  </cols>
  <sheetData>
    <row r="1" spans="1:7">
      <c r="A1" s="24" t="s">
        <v>645</v>
      </c>
      <c r="B1" s="25"/>
      <c r="C1" s="24" t="s">
        <v>646</v>
      </c>
      <c r="D1" s="25"/>
      <c r="E1" s="24" t="s">
        <v>595</v>
      </c>
      <c r="F1" s="24" t="s">
        <v>647</v>
      </c>
      <c r="G1" s="24" t="s">
        <v>648</v>
      </c>
    </row>
    <row r="2" spans="1:7">
      <c r="A2" t="s">
        <v>183</v>
      </c>
      <c r="B2" t="s">
        <v>649</v>
      </c>
      <c r="C2" t="s">
        <v>650</v>
      </c>
      <c r="D2" t="s">
        <v>651</v>
      </c>
      <c r="E2" s="26">
        <v>34120</v>
      </c>
      <c r="F2" t="s">
        <v>652</v>
      </c>
      <c r="G2" s="28"/>
    </row>
    <row r="3" spans="1:7">
      <c r="A3" t="s">
        <v>653</v>
      </c>
      <c r="B3" t="s">
        <v>649</v>
      </c>
      <c r="C3" t="s">
        <v>183</v>
      </c>
      <c r="D3" t="s">
        <v>651</v>
      </c>
      <c r="E3" s="29">
        <f>10^4/E2</f>
        <v>0.29308323563892147</v>
      </c>
      <c r="F3" t="s">
        <v>654</v>
      </c>
      <c r="G3" t="s">
        <v>655</v>
      </c>
    </row>
    <row r="4" spans="1:7">
      <c r="A4" t="s">
        <v>656</v>
      </c>
      <c r="B4" t="s">
        <v>649</v>
      </c>
      <c r="C4" t="s">
        <v>183</v>
      </c>
      <c r="D4" t="s">
        <v>651</v>
      </c>
      <c r="E4" s="26">
        <v>1.0550599938764318</v>
      </c>
      <c r="F4" t="str">
        <f>_xlfn.CONCAT(C4," / ",A4)</f>
        <v>PJ / T btu</v>
      </c>
    </row>
    <row r="5" spans="1:7">
      <c r="A5" t="s">
        <v>657</v>
      </c>
      <c r="B5" t="s">
        <v>649</v>
      </c>
      <c r="C5" t="s">
        <v>658</v>
      </c>
      <c r="D5" t="s">
        <v>651</v>
      </c>
      <c r="E5" s="26">
        <v>1.0550599938764318</v>
      </c>
      <c r="F5" t="s">
        <v>659</v>
      </c>
    </row>
    <row r="6" spans="1:7">
      <c r="A6" t="s">
        <v>660</v>
      </c>
      <c r="B6" t="s">
        <v>649</v>
      </c>
      <c r="C6" t="s">
        <v>183</v>
      </c>
      <c r="D6" t="s">
        <v>651</v>
      </c>
      <c r="E6" s="26">
        <f>1/277785.494/10^3</f>
        <v>3.5999000005378249E-9</v>
      </c>
      <c r="F6" t="s">
        <v>661</v>
      </c>
    </row>
    <row r="7" spans="1:7">
      <c r="A7" t="s">
        <v>660</v>
      </c>
      <c r="B7" t="s">
        <v>649</v>
      </c>
      <c r="C7" t="s">
        <v>662</v>
      </c>
      <c r="D7" t="s">
        <v>651</v>
      </c>
      <c r="E7" s="1128">
        <f>E6*10^9</f>
        <v>3.5999000005378248</v>
      </c>
      <c r="F7" t="s">
        <v>663</v>
      </c>
    </row>
    <row r="8" spans="1:7">
      <c r="A8" t="s">
        <v>664</v>
      </c>
      <c r="B8" s="505" t="s">
        <v>649</v>
      </c>
      <c r="C8" s="505" t="s">
        <v>665</v>
      </c>
      <c r="D8" t="s">
        <v>651</v>
      </c>
      <c r="E8" s="506">
        <v>4.53592E-4</v>
      </c>
      <c r="F8" s="505" t="s">
        <v>666</v>
      </c>
    </row>
    <row r="9" spans="1:7">
      <c r="A9" t="s">
        <v>667</v>
      </c>
      <c r="B9" s="505" t="s">
        <v>649</v>
      </c>
      <c r="C9" s="505" t="s">
        <v>668</v>
      </c>
      <c r="D9" s="505" t="s">
        <v>651</v>
      </c>
      <c r="E9" s="506">
        <v>0.1414</v>
      </c>
      <c r="F9" s="505" t="s">
        <v>669</v>
      </c>
      <c r="G9" s="528" t="s">
        <v>670</v>
      </c>
    </row>
    <row r="10" spans="1:7">
      <c r="A10" t="s">
        <v>667</v>
      </c>
      <c r="B10" s="505" t="s">
        <v>671</v>
      </c>
      <c r="C10" s="505" t="s">
        <v>672</v>
      </c>
      <c r="D10" s="505" t="s">
        <v>651</v>
      </c>
      <c r="E10" s="506">
        <v>0.1305</v>
      </c>
      <c r="F10" s="505" t="s">
        <v>673</v>
      </c>
      <c r="G10" s="28" t="s">
        <v>674</v>
      </c>
    </row>
    <row r="11" spans="1:7">
      <c r="A11" t="s">
        <v>675</v>
      </c>
      <c r="B11" s="505" t="s">
        <v>671</v>
      </c>
      <c r="C11" s="505" t="s">
        <v>668</v>
      </c>
      <c r="D11" s="505" t="s">
        <v>651</v>
      </c>
      <c r="E11">
        <f>1/0.924</f>
        <v>1.0822510822510822</v>
      </c>
      <c r="F11" s="505" t="s">
        <v>676</v>
      </c>
      <c r="G11" s="528" t="s">
        <v>677</v>
      </c>
    </row>
    <row r="13" spans="1:7">
      <c r="A13" t="s">
        <v>678</v>
      </c>
      <c r="B13" t="s">
        <v>649</v>
      </c>
      <c r="C13" t="s">
        <v>679</v>
      </c>
      <c r="D13" t="s">
        <v>651</v>
      </c>
      <c r="E13" s="506">
        <v>0.453592</v>
      </c>
      <c r="F13" t="s">
        <v>680</v>
      </c>
    </row>
    <row r="14" spans="1:7">
      <c r="A14" t="s">
        <v>681</v>
      </c>
      <c r="B14" t="s">
        <v>649</v>
      </c>
      <c r="C14" t="s">
        <v>682</v>
      </c>
      <c r="D14" t="s">
        <v>651</v>
      </c>
      <c r="E14" s="506">
        <v>2.83168E-2</v>
      </c>
      <c r="F14" t="s">
        <v>683</v>
      </c>
    </row>
    <row r="15" spans="1:7">
      <c r="A15" t="s">
        <v>684</v>
      </c>
      <c r="B15" t="s">
        <v>649</v>
      </c>
      <c r="C15" t="s">
        <v>373</v>
      </c>
      <c r="D15" t="s">
        <v>651</v>
      </c>
      <c r="E15" s="506">
        <v>277.77800000000002</v>
      </c>
      <c r="F15" t="s">
        <v>685</v>
      </c>
    </row>
    <row r="16" spans="1:7">
      <c r="A16" t="s">
        <v>686</v>
      </c>
      <c r="B16" t="s">
        <v>649</v>
      </c>
      <c r="C16" t="s">
        <v>183</v>
      </c>
      <c r="D16" t="s">
        <v>651</v>
      </c>
      <c r="E16" s="506">
        <v>4.1868000000000002E-2</v>
      </c>
      <c r="F16" t="s">
        <v>687</v>
      </c>
    </row>
    <row r="18" spans="1:7">
      <c r="A18" t="s">
        <v>688</v>
      </c>
      <c r="B18" t="s">
        <v>649</v>
      </c>
      <c r="C18" t="s">
        <v>689</v>
      </c>
      <c r="D18" t="s">
        <v>690</v>
      </c>
      <c r="E18">
        <v>5.8</v>
      </c>
      <c r="F18" t="s">
        <v>691</v>
      </c>
      <c r="G18" s="28" t="s">
        <v>692</v>
      </c>
    </row>
    <row r="19" spans="1:7" ht="16.5">
      <c r="A19" t="s">
        <v>693</v>
      </c>
      <c r="B19" t="s">
        <v>649</v>
      </c>
      <c r="C19" t="s">
        <v>689</v>
      </c>
      <c r="D19" t="s">
        <v>690</v>
      </c>
      <c r="E19">
        <v>947.8</v>
      </c>
      <c r="F19" t="s">
        <v>691</v>
      </c>
      <c r="G19" s="28"/>
    </row>
    <row r="21" spans="1:7">
      <c r="A21">
        <v>1</v>
      </c>
      <c r="B21" t="s">
        <v>694</v>
      </c>
      <c r="C21" t="s">
        <v>695</v>
      </c>
      <c r="D21">
        <v>5.8</v>
      </c>
      <c r="E21" t="s">
        <v>696</v>
      </c>
      <c r="G21" s="28" t="s">
        <v>692</v>
      </c>
    </row>
    <row r="22" spans="1:7">
      <c r="A22">
        <v>1</v>
      </c>
      <c r="B22" t="s">
        <v>694</v>
      </c>
      <c r="C22" t="s">
        <v>695</v>
      </c>
      <c r="D22" s="1007">
        <f>E18/E19*1000</f>
        <v>6.1194344798480689</v>
      </c>
      <c r="E22" t="s">
        <v>658</v>
      </c>
      <c r="G22" s="28" t="s">
        <v>692</v>
      </c>
    </row>
    <row r="23" spans="1:7" ht="16.5">
      <c r="A23">
        <v>1</v>
      </c>
      <c r="B23" t="s">
        <v>693</v>
      </c>
      <c r="C23" t="s">
        <v>695</v>
      </c>
      <c r="D23" s="498">
        <f>1000/D22</f>
        <v>163.41379310344828</v>
      </c>
      <c r="E23" t="s">
        <v>697</v>
      </c>
      <c r="G23" t="s">
        <v>698</v>
      </c>
    </row>
    <row r="24" spans="1:7">
      <c r="A24">
        <v>1</v>
      </c>
      <c r="B24" t="s">
        <v>699</v>
      </c>
      <c r="C24" t="s">
        <v>695</v>
      </c>
      <c r="D24">
        <v>39.683</v>
      </c>
      <c r="E24" t="s">
        <v>696</v>
      </c>
      <c r="G24" t="s">
        <v>692</v>
      </c>
    </row>
    <row r="25" spans="1:7">
      <c r="A25">
        <v>1</v>
      </c>
      <c r="B25" t="s">
        <v>700</v>
      </c>
      <c r="C25" t="s">
        <v>695</v>
      </c>
      <c r="D25">
        <f>D24</f>
        <v>39.683</v>
      </c>
      <c r="E25" t="s">
        <v>691</v>
      </c>
    </row>
    <row r="26" spans="1:7" ht="16.5">
      <c r="A26">
        <v>1</v>
      </c>
      <c r="B26" t="s">
        <v>693</v>
      </c>
      <c r="C26" t="s">
        <v>695</v>
      </c>
      <c r="D26">
        <v>947.8</v>
      </c>
      <c r="E26" t="s">
        <v>691</v>
      </c>
    </row>
    <row r="27" spans="1:7">
      <c r="A27">
        <v>1</v>
      </c>
      <c r="B27" t="s">
        <v>701</v>
      </c>
      <c r="C27" t="s">
        <v>695</v>
      </c>
      <c r="D27" s="498">
        <f>D23</f>
        <v>163.41379310344828</v>
      </c>
      <c r="E27" t="s">
        <v>694</v>
      </c>
    </row>
    <row r="29" spans="1:7">
      <c r="D29">
        <f>80*D25</f>
        <v>3174.64</v>
      </c>
      <c r="E29" t="s">
        <v>691</v>
      </c>
    </row>
    <row r="30" spans="1:7">
      <c r="D30">
        <f>D29/D26</f>
        <v>3.3494830132939439</v>
      </c>
      <c r="E30" t="s">
        <v>684</v>
      </c>
    </row>
    <row r="31" spans="1:7">
      <c r="A31">
        <v>3.63</v>
      </c>
      <c r="B31" t="s">
        <v>684</v>
      </c>
      <c r="D31">
        <f>2.5*D26</f>
        <v>2369.5</v>
      </c>
    </row>
    <row r="32" spans="1:7">
      <c r="A32" s="498">
        <f>A31*D23</f>
        <v>593.19206896551725</v>
      </c>
      <c r="B32" t="s">
        <v>697</v>
      </c>
      <c r="D32">
        <f>D31/D25</f>
        <v>59.710707355794675</v>
      </c>
      <c r="E32" t="s">
        <v>700</v>
      </c>
    </row>
    <row r="34" spans="1:7">
      <c r="A34">
        <v>2.5499999999999998</v>
      </c>
      <c r="B34" t="s">
        <v>684</v>
      </c>
      <c r="C34">
        <f>A34*E19</f>
        <v>2416.89</v>
      </c>
      <c r="D34" t="s">
        <v>691</v>
      </c>
    </row>
    <row r="35" spans="1:7">
      <c r="C35" s="498">
        <f>A32*E18</f>
        <v>3440.5140000000001</v>
      </c>
      <c r="D35" t="s">
        <v>691</v>
      </c>
    </row>
    <row r="37" spans="1:7">
      <c r="A37">
        <v>556</v>
      </c>
      <c r="B37" t="s">
        <v>697</v>
      </c>
      <c r="C37">
        <f>A37*E18</f>
        <v>3224.7999999999997</v>
      </c>
      <c r="D37" t="s">
        <v>691</v>
      </c>
    </row>
    <row r="39" spans="1:7">
      <c r="A39">
        <v>250</v>
      </c>
      <c r="B39" t="s">
        <v>700</v>
      </c>
      <c r="C39">
        <f>D25*A39</f>
        <v>9920.75</v>
      </c>
      <c r="D39" t="s">
        <v>691</v>
      </c>
    </row>
    <row r="40" spans="1:7">
      <c r="C40">
        <f>C39/E19</f>
        <v>10.467134416543574</v>
      </c>
      <c r="D40" t="s">
        <v>684</v>
      </c>
    </row>
    <row r="42" spans="1:7">
      <c r="A42">
        <v>3.63</v>
      </c>
      <c r="B42" t="s">
        <v>684</v>
      </c>
      <c r="C42">
        <f>A42*D26</f>
        <v>3440.5139999999997</v>
      </c>
      <c r="D42" t="s">
        <v>702</v>
      </c>
    </row>
    <row r="43" spans="1:7">
      <c r="A43">
        <v>250</v>
      </c>
      <c r="B43" t="s">
        <v>700</v>
      </c>
      <c r="C43">
        <f>A43*D25</f>
        <v>9920.75</v>
      </c>
      <c r="D43" t="s">
        <v>702</v>
      </c>
    </row>
    <row r="46" spans="1:7">
      <c r="A46" s="24" t="s">
        <v>703</v>
      </c>
      <c r="B46" s="25"/>
      <c r="C46" s="25"/>
    </row>
    <row r="47" spans="1:7">
      <c r="A47" t="s">
        <v>704</v>
      </c>
      <c r="B47" t="s">
        <v>649</v>
      </c>
      <c r="C47" t="s">
        <v>696</v>
      </c>
      <c r="D47" t="s">
        <v>651</v>
      </c>
      <c r="E47">
        <v>28.669</v>
      </c>
      <c r="F47" t="s">
        <v>705</v>
      </c>
      <c r="G47" s="28" t="s">
        <v>706</v>
      </c>
    </row>
    <row r="48" spans="1:7">
      <c r="A48" t="s">
        <v>704</v>
      </c>
      <c r="B48" t="s">
        <v>649</v>
      </c>
      <c r="C48" t="s">
        <v>707</v>
      </c>
      <c r="D48" t="s">
        <v>651</v>
      </c>
      <c r="E48">
        <v>0.90718500000000002</v>
      </c>
      <c r="F48" t="s">
        <v>708</v>
      </c>
    </row>
  </sheetData>
  <hyperlinks>
    <hyperlink ref="G9" r:id="rId1" xr:uid="{E469241F-DB8A-4DEF-8B51-C3DEAE95AE64}"/>
    <hyperlink ref="G10" r:id="rId2" xr:uid="{32EF9E21-9C53-4F21-B496-D91FFBAE329D}"/>
    <hyperlink ref="G11" r:id="rId3" xr:uid="{18916137-80BD-4C16-A95B-79FBAA565268}"/>
    <hyperlink ref="G18" r:id="rId4" xr:uid="{9BA0F176-A640-45A1-B675-963C69F7FE85}"/>
    <hyperlink ref="G21" r:id="rId5" xr:uid="{BF2DE267-0D43-4487-87A4-6DE5E6D4D2AF}"/>
    <hyperlink ref="G22" r:id="rId6" xr:uid="{0F6368C9-7844-445E-8069-6913EE02F9F5}"/>
    <hyperlink ref="G47" r:id="rId7" xr:uid="{5BEC7A60-6AD3-4942-BC54-A31977D45669}"/>
  </hyperlinks>
  <pageMargins left="0.7" right="0.7" top="0.75" bottom="0.75" header="0.3" footer="0.3"/>
  <pageSetup orientation="portrait" r:id="rId8"/>
  <headerFooter>
    <oddFooter>&amp;R_x000D_&amp;1#&amp;"Aptos"&amp;10&amp;K000000 Official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8A29D-123F-4AE1-AE7A-D0B3D9D57320}">
  <sheetPr>
    <tabColor rgb="FFFFC000"/>
  </sheetPr>
  <dimension ref="A1:F89"/>
  <sheetViews>
    <sheetView topLeftCell="A12" zoomScale="115" zoomScaleNormal="115" workbookViewId="0">
      <selection activeCell="E59" sqref="E59"/>
    </sheetView>
  </sheetViews>
  <sheetFormatPr defaultRowHeight="15"/>
  <cols>
    <col min="1" max="1" width="21.28515625" style="49" customWidth="1"/>
    <col min="2" max="2" width="45.5703125" customWidth="1"/>
    <col min="3" max="3" width="16.5703125" style="49" customWidth="1"/>
    <col min="4" max="4" width="49.28515625" customWidth="1"/>
    <col min="5" max="5" width="58.42578125" customWidth="1"/>
    <col min="6" max="6" width="63.85546875" customWidth="1"/>
  </cols>
  <sheetData>
    <row r="1" spans="1:6" s="23" customFormat="1">
      <c r="A1" s="47" t="s">
        <v>709</v>
      </c>
      <c r="B1" s="24" t="s">
        <v>710</v>
      </c>
      <c r="C1" s="48" t="s">
        <v>164</v>
      </c>
      <c r="D1" s="24" t="s">
        <v>711</v>
      </c>
      <c r="E1" s="24" t="s">
        <v>712</v>
      </c>
      <c r="F1" s="24" t="s">
        <v>713</v>
      </c>
    </row>
    <row r="2" spans="1:6">
      <c r="A2" s="49">
        <v>1</v>
      </c>
      <c r="B2" t="s">
        <v>714</v>
      </c>
      <c r="C2" s="49">
        <v>2022</v>
      </c>
      <c r="D2" t="s">
        <v>715</v>
      </c>
      <c r="E2" s="28" t="s">
        <v>716</v>
      </c>
      <c r="F2" t="s">
        <v>717</v>
      </c>
    </row>
    <row r="3" spans="1:6">
      <c r="A3" s="49">
        <v>2</v>
      </c>
      <c r="B3" t="s">
        <v>718</v>
      </c>
      <c r="C3" s="49">
        <v>2023</v>
      </c>
      <c r="D3" t="s">
        <v>719</v>
      </c>
      <c r="E3" s="28" t="s">
        <v>720</v>
      </c>
      <c r="F3" t="s">
        <v>721</v>
      </c>
    </row>
    <row r="4" spans="1:6">
      <c r="A4" s="49">
        <v>3</v>
      </c>
      <c r="B4" t="s">
        <v>722</v>
      </c>
      <c r="C4" s="49">
        <v>2022</v>
      </c>
      <c r="D4" t="s">
        <v>723</v>
      </c>
      <c r="E4" s="28" t="s">
        <v>724</v>
      </c>
      <c r="F4" t="s">
        <v>725</v>
      </c>
    </row>
    <row r="5" spans="1:6">
      <c r="A5" s="49">
        <v>4</v>
      </c>
      <c r="B5" t="s">
        <v>726</v>
      </c>
      <c r="C5" s="49">
        <v>2024</v>
      </c>
      <c r="D5" t="s">
        <v>727</v>
      </c>
      <c r="E5" s="28" t="s">
        <v>728</v>
      </c>
      <c r="F5" t="s">
        <v>729</v>
      </c>
    </row>
    <row r="6" spans="1:6">
      <c r="A6" s="49">
        <v>5</v>
      </c>
      <c r="B6" t="s">
        <v>730</v>
      </c>
      <c r="C6" s="49">
        <v>2023</v>
      </c>
      <c r="D6" t="s">
        <v>731</v>
      </c>
      <c r="E6" s="28" t="s">
        <v>732</v>
      </c>
      <c r="F6" t="s">
        <v>717</v>
      </c>
    </row>
    <row r="7" spans="1:6">
      <c r="A7" s="49">
        <v>6</v>
      </c>
      <c r="B7" t="s">
        <v>733</v>
      </c>
      <c r="C7" s="49">
        <v>2024</v>
      </c>
      <c r="D7" t="s">
        <v>734</v>
      </c>
      <c r="E7" s="28" t="s">
        <v>735</v>
      </c>
      <c r="F7" t="s">
        <v>736</v>
      </c>
    </row>
    <row r="8" spans="1:6">
      <c r="A8" s="49">
        <v>7</v>
      </c>
      <c r="B8" t="s">
        <v>737</v>
      </c>
      <c r="C8" s="49">
        <v>2024</v>
      </c>
      <c r="D8" t="s">
        <v>738</v>
      </c>
      <c r="E8" s="28" t="s">
        <v>739</v>
      </c>
      <c r="F8" t="s">
        <v>740</v>
      </c>
    </row>
    <row r="9" spans="1:6">
      <c r="A9" s="49">
        <v>8</v>
      </c>
      <c r="B9" t="s">
        <v>741</v>
      </c>
      <c r="C9" s="49">
        <v>2015</v>
      </c>
      <c r="D9" t="s">
        <v>742</v>
      </c>
      <c r="E9" s="28" t="s">
        <v>743</v>
      </c>
      <c r="F9" t="s">
        <v>744</v>
      </c>
    </row>
    <row r="10" spans="1:6">
      <c r="A10" s="49">
        <v>9</v>
      </c>
      <c r="B10" t="s">
        <v>745</v>
      </c>
      <c r="C10" s="49">
        <v>2024</v>
      </c>
      <c r="D10" t="s">
        <v>746</v>
      </c>
      <c r="E10" s="28" t="s">
        <v>747</v>
      </c>
      <c r="F10" t="s">
        <v>748</v>
      </c>
    </row>
    <row r="11" spans="1:6">
      <c r="A11" s="49">
        <v>10</v>
      </c>
      <c r="B11" t="s">
        <v>749</v>
      </c>
      <c r="C11" s="49">
        <v>2021</v>
      </c>
      <c r="D11" t="s">
        <v>750</v>
      </c>
      <c r="E11" s="28" t="s">
        <v>751</v>
      </c>
      <c r="F11" t="s">
        <v>752</v>
      </c>
    </row>
    <row r="12" spans="1:6">
      <c r="A12" s="49">
        <v>11</v>
      </c>
      <c r="B12" t="s">
        <v>753</v>
      </c>
      <c r="C12" s="49">
        <v>2024</v>
      </c>
      <c r="D12" t="s">
        <v>754</v>
      </c>
      <c r="E12" s="28" t="s">
        <v>755</v>
      </c>
      <c r="F12" t="s">
        <v>756</v>
      </c>
    </row>
    <row r="13" spans="1:6">
      <c r="A13" s="49">
        <v>12</v>
      </c>
      <c r="B13" t="s">
        <v>757</v>
      </c>
      <c r="C13" s="49">
        <v>2015</v>
      </c>
      <c r="D13" t="s">
        <v>758</v>
      </c>
      <c r="E13" s="28" t="s">
        <v>759</v>
      </c>
      <c r="F13" t="s">
        <v>760</v>
      </c>
    </row>
    <row r="14" spans="1:6">
      <c r="A14" s="49">
        <v>13</v>
      </c>
      <c r="B14" t="s">
        <v>761</v>
      </c>
      <c r="C14" s="49">
        <v>2015</v>
      </c>
      <c r="D14" t="s">
        <v>762</v>
      </c>
      <c r="E14" s="28" t="s">
        <v>763</v>
      </c>
      <c r="F14" t="s">
        <v>764</v>
      </c>
    </row>
    <row r="15" spans="1:6">
      <c r="A15" s="49">
        <v>14</v>
      </c>
      <c r="B15" t="s">
        <v>765</v>
      </c>
      <c r="C15" s="49">
        <v>2023</v>
      </c>
      <c r="D15" t="s">
        <v>766</v>
      </c>
      <c r="E15" s="28" t="s">
        <v>767</v>
      </c>
      <c r="F15" t="s">
        <v>768</v>
      </c>
    </row>
    <row r="16" spans="1:6">
      <c r="A16" s="49">
        <v>15</v>
      </c>
      <c r="B16" t="s">
        <v>769</v>
      </c>
      <c r="C16" s="49">
        <v>2021</v>
      </c>
      <c r="D16" t="s">
        <v>770</v>
      </c>
      <c r="E16" s="28" t="s">
        <v>771</v>
      </c>
      <c r="F16" t="s">
        <v>772</v>
      </c>
    </row>
    <row r="17" spans="1:6">
      <c r="A17" s="49">
        <v>16</v>
      </c>
      <c r="B17" t="s">
        <v>773</v>
      </c>
      <c r="C17" s="49">
        <v>2017</v>
      </c>
      <c r="D17" t="s">
        <v>774</v>
      </c>
      <c r="E17" s="28" t="s">
        <v>775</v>
      </c>
      <c r="F17" t="s">
        <v>776</v>
      </c>
    </row>
    <row r="18" spans="1:6">
      <c r="A18" s="49">
        <v>17</v>
      </c>
      <c r="B18" t="s">
        <v>777</v>
      </c>
      <c r="C18" s="49">
        <v>2006</v>
      </c>
      <c r="D18" t="s">
        <v>778</v>
      </c>
      <c r="E18" s="28" t="s">
        <v>779</v>
      </c>
      <c r="F18" t="s">
        <v>780</v>
      </c>
    </row>
    <row r="19" spans="1:6">
      <c r="A19" s="49">
        <v>18</v>
      </c>
      <c r="B19" t="s">
        <v>781</v>
      </c>
      <c r="C19" s="49">
        <v>2014</v>
      </c>
      <c r="D19" t="s">
        <v>782</v>
      </c>
      <c r="E19" s="28" t="s">
        <v>783</v>
      </c>
      <c r="F19" t="s">
        <v>784</v>
      </c>
    </row>
    <row r="20" spans="1:6">
      <c r="A20" s="49">
        <v>19</v>
      </c>
      <c r="B20" t="s">
        <v>785</v>
      </c>
      <c r="C20" s="49">
        <v>2023</v>
      </c>
      <c r="D20" t="s">
        <v>786</v>
      </c>
      <c r="E20" s="28" t="s">
        <v>787</v>
      </c>
      <c r="F20" t="s">
        <v>788</v>
      </c>
    </row>
    <row r="21" spans="1:6">
      <c r="A21" s="49">
        <v>20</v>
      </c>
      <c r="B21" t="s">
        <v>789</v>
      </c>
      <c r="C21" s="49">
        <v>2018</v>
      </c>
      <c r="D21" t="s">
        <v>790</v>
      </c>
      <c r="E21" s="28" t="s">
        <v>791</v>
      </c>
    </row>
    <row r="22" spans="1:6">
      <c r="A22" s="49">
        <v>21</v>
      </c>
      <c r="B22" t="s">
        <v>792</v>
      </c>
      <c r="C22" s="49">
        <v>2023</v>
      </c>
      <c r="D22" t="s">
        <v>793</v>
      </c>
      <c r="E22" s="28" t="s">
        <v>794</v>
      </c>
      <c r="F22" t="s">
        <v>795</v>
      </c>
    </row>
    <row r="23" spans="1:6">
      <c r="A23" s="49">
        <v>22</v>
      </c>
      <c r="B23" t="s">
        <v>796</v>
      </c>
      <c r="C23" s="49">
        <v>2011</v>
      </c>
      <c r="D23" t="s">
        <v>797</v>
      </c>
      <c r="E23" s="28" t="s">
        <v>798</v>
      </c>
    </row>
    <row r="24" spans="1:6">
      <c r="A24" s="49">
        <v>23</v>
      </c>
      <c r="B24" t="s">
        <v>799</v>
      </c>
      <c r="C24" s="49">
        <v>2025</v>
      </c>
      <c r="D24" t="s">
        <v>800</v>
      </c>
      <c r="E24" s="28" t="s">
        <v>801</v>
      </c>
      <c r="F24" t="s">
        <v>802</v>
      </c>
    </row>
    <row r="25" spans="1:6">
      <c r="A25" s="49">
        <v>24</v>
      </c>
      <c r="B25" t="s">
        <v>803</v>
      </c>
      <c r="C25" s="49">
        <v>2024</v>
      </c>
      <c r="D25" t="s">
        <v>804</v>
      </c>
      <c r="E25" s="28" t="s">
        <v>805</v>
      </c>
      <c r="F25" t="s">
        <v>806</v>
      </c>
    </row>
    <row r="26" spans="1:6">
      <c r="A26" s="49">
        <v>25</v>
      </c>
      <c r="B26" t="s">
        <v>781</v>
      </c>
      <c r="C26" s="49">
        <v>2023</v>
      </c>
      <c r="D26" t="s">
        <v>807</v>
      </c>
      <c r="E26" s="28" t="s">
        <v>808</v>
      </c>
    </row>
    <row r="27" spans="1:6">
      <c r="A27" s="49">
        <v>26</v>
      </c>
      <c r="B27" t="s">
        <v>809</v>
      </c>
      <c r="C27" s="49">
        <v>2019</v>
      </c>
      <c r="D27" t="s">
        <v>810</v>
      </c>
      <c r="E27" s="28" t="s">
        <v>811</v>
      </c>
      <c r="F27" t="s">
        <v>812</v>
      </c>
    </row>
    <row r="28" spans="1:6">
      <c r="A28" s="49">
        <v>27</v>
      </c>
      <c r="B28" t="s">
        <v>813</v>
      </c>
      <c r="C28" s="49">
        <v>2019</v>
      </c>
      <c r="D28" t="s">
        <v>814</v>
      </c>
      <c r="E28" s="28" t="s">
        <v>815</v>
      </c>
      <c r="F28" t="s">
        <v>816</v>
      </c>
    </row>
    <row r="29" spans="1:6">
      <c r="A29" s="49">
        <v>28</v>
      </c>
      <c r="B29" t="s">
        <v>817</v>
      </c>
      <c r="C29" s="49">
        <v>2022</v>
      </c>
      <c r="D29" t="s">
        <v>818</v>
      </c>
      <c r="E29" s="28" t="s">
        <v>819</v>
      </c>
    </row>
    <row r="30" spans="1:6">
      <c r="A30" s="49">
        <v>29</v>
      </c>
      <c r="B30" t="s">
        <v>820</v>
      </c>
      <c r="C30" s="49">
        <v>2023</v>
      </c>
      <c r="D30" t="s">
        <v>821</v>
      </c>
      <c r="E30" s="28" t="s">
        <v>822</v>
      </c>
      <c r="F30" t="s">
        <v>823</v>
      </c>
    </row>
    <row r="31" spans="1:6">
      <c r="A31" s="49">
        <v>30</v>
      </c>
      <c r="B31" t="s">
        <v>824</v>
      </c>
      <c r="C31" s="49">
        <v>2024</v>
      </c>
      <c r="D31" t="s">
        <v>825</v>
      </c>
      <c r="E31" s="28" t="s">
        <v>826</v>
      </c>
    </row>
    <row r="32" spans="1:6">
      <c r="A32" s="49">
        <v>31</v>
      </c>
      <c r="B32" t="s">
        <v>824</v>
      </c>
      <c r="C32" s="49">
        <v>2024</v>
      </c>
      <c r="D32" t="s">
        <v>827</v>
      </c>
      <c r="E32" s="28" t="s">
        <v>828</v>
      </c>
    </row>
    <row r="33" spans="1:6">
      <c r="A33" s="49">
        <v>32</v>
      </c>
      <c r="B33" t="s">
        <v>824</v>
      </c>
      <c r="C33" s="49">
        <v>2024</v>
      </c>
      <c r="D33" t="s">
        <v>829</v>
      </c>
      <c r="E33" s="28" t="s">
        <v>830</v>
      </c>
    </row>
    <row r="34" spans="1:6">
      <c r="A34" s="49">
        <v>33</v>
      </c>
      <c r="B34" t="s">
        <v>831</v>
      </c>
      <c r="C34" s="49">
        <v>2023</v>
      </c>
      <c r="D34" t="s">
        <v>832</v>
      </c>
      <c r="E34" s="28" t="s">
        <v>833</v>
      </c>
    </row>
    <row r="35" spans="1:6">
      <c r="A35" s="49">
        <v>34</v>
      </c>
      <c r="B35" t="s">
        <v>834</v>
      </c>
      <c r="C35" s="49">
        <v>2024</v>
      </c>
      <c r="D35" t="s">
        <v>835</v>
      </c>
      <c r="E35" s="28" t="s">
        <v>836</v>
      </c>
    </row>
    <row r="36" spans="1:6">
      <c r="A36" s="49">
        <v>35</v>
      </c>
      <c r="B36" t="s">
        <v>837</v>
      </c>
      <c r="C36" s="49">
        <v>2023</v>
      </c>
      <c r="D36" t="s">
        <v>838</v>
      </c>
      <c r="E36" s="28" t="s">
        <v>839</v>
      </c>
    </row>
    <row r="37" spans="1:6">
      <c r="A37" s="49">
        <v>36</v>
      </c>
      <c r="B37" t="s">
        <v>840</v>
      </c>
      <c r="C37" s="49">
        <v>2023</v>
      </c>
      <c r="D37" t="s">
        <v>841</v>
      </c>
      <c r="E37" s="28" t="s">
        <v>842</v>
      </c>
    </row>
    <row r="38" spans="1:6">
      <c r="A38" s="49">
        <v>37</v>
      </c>
      <c r="B38" t="s">
        <v>843</v>
      </c>
      <c r="C38" s="49">
        <v>2023</v>
      </c>
      <c r="D38" t="s">
        <v>844</v>
      </c>
      <c r="E38" s="28" t="s">
        <v>845</v>
      </c>
    </row>
    <row r="39" spans="1:6">
      <c r="A39" s="49">
        <v>38</v>
      </c>
      <c r="B39" t="s">
        <v>846</v>
      </c>
      <c r="C39" s="49">
        <v>2023</v>
      </c>
      <c r="D39" t="s">
        <v>847</v>
      </c>
      <c r="E39" s="28" t="s">
        <v>848</v>
      </c>
    </row>
    <row r="40" spans="1:6">
      <c r="A40" s="49">
        <v>39</v>
      </c>
      <c r="B40" t="s">
        <v>849</v>
      </c>
      <c r="C40" s="49">
        <v>2024</v>
      </c>
      <c r="D40" t="s">
        <v>850</v>
      </c>
      <c r="E40" s="28" t="s">
        <v>851</v>
      </c>
    </row>
    <row r="41" spans="1:6">
      <c r="A41" s="49">
        <v>40</v>
      </c>
      <c r="B41" t="s">
        <v>852</v>
      </c>
      <c r="C41" s="49">
        <v>2023</v>
      </c>
      <c r="D41" t="s">
        <v>853</v>
      </c>
      <c r="E41" s="28" t="s">
        <v>854</v>
      </c>
      <c r="F41" t="s">
        <v>855</v>
      </c>
    </row>
    <row r="42" spans="1:6">
      <c r="A42" s="49">
        <v>41</v>
      </c>
      <c r="B42" t="s">
        <v>856</v>
      </c>
      <c r="C42" s="49">
        <v>2024</v>
      </c>
      <c r="D42" t="s">
        <v>857</v>
      </c>
      <c r="E42" s="28" t="s">
        <v>858</v>
      </c>
    </row>
    <row r="43" spans="1:6">
      <c r="A43" s="49">
        <v>42</v>
      </c>
      <c r="B43" t="s">
        <v>859</v>
      </c>
      <c r="C43" s="49">
        <v>2024</v>
      </c>
      <c r="D43" t="s">
        <v>860</v>
      </c>
      <c r="E43" t="s">
        <v>861</v>
      </c>
      <c r="F43" t="s">
        <v>862</v>
      </c>
    </row>
    <row r="44" spans="1:6">
      <c r="A44" s="49">
        <v>43</v>
      </c>
      <c r="B44" t="s">
        <v>863</v>
      </c>
      <c r="C44" s="49">
        <v>2025</v>
      </c>
      <c r="D44" t="s">
        <v>864</v>
      </c>
      <c r="E44" s="28" t="s">
        <v>865</v>
      </c>
    </row>
    <row r="45" spans="1:6">
      <c r="A45" s="49">
        <v>44</v>
      </c>
      <c r="B45" t="s">
        <v>866</v>
      </c>
      <c r="C45" s="49">
        <v>2015</v>
      </c>
      <c r="D45" t="s">
        <v>867</v>
      </c>
      <c r="E45" s="28" t="s">
        <v>868</v>
      </c>
      <c r="F45" t="s">
        <v>869</v>
      </c>
    </row>
    <row r="46" spans="1:6">
      <c r="A46" s="49">
        <v>45</v>
      </c>
      <c r="B46" t="s">
        <v>870</v>
      </c>
      <c r="C46" s="49">
        <v>2021</v>
      </c>
      <c r="D46" t="s">
        <v>871</v>
      </c>
      <c r="E46" s="28" t="s">
        <v>872</v>
      </c>
      <c r="F46" t="s">
        <v>873</v>
      </c>
    </row>
    <row r="47" spans="1:6">
      <c r="A47" s="49">
        <v>46</v>
      </c>
      <c r="B47" t="s">
        <v>749</v>
      </c>
      <c r="C47" s="49">
        <v>2023</v>
      </c>
      <c r="D47" t="s">
        <v>874</v>
      </c>
      <c r="E47" s="28" t="s">
        <v>875</v>
      </c>
      <c r="F47" t="s">
        <v>876</v>
      </c>
    </row>
    <row r="48" spans="1:6">
      <c r="A48" s="49">
        <v>47</v>
      </c>
      <c r="B48" t="s">
        <v>877</v>
      </c>
      <c r="C48" s="49">
        <v>2021</v>
      </c>
      <c r="D48" t="s">
        <v>878</v>
      </c>
      <c r="E48" s="28" t="s">
        <v>879</v>
      </c>
      <c r="F48" t="s">
        <v>880</v>
      </c>
    </row>
    <row r="49" spans="1:6">
      <c r="A49" s="49">
        <v>48</v>
      </c>
      <c r="B49" t="s">
        <v>881</v>
      </c>
      <c r="C49" s="49">
        <v>2022</v>
      </c>
      <c r="D49" t="s">
        <v>882</v>
      </c>
      <c r="E49" s="28" t="s">
        <v>883</v>
      </c>
      <c r="F49" t="s">
        <v>884</v>
      </c>
    </row>
    <row r="50" spans="1:6">
      <c r="A50" s="49">
        <v>49</v>
      </c>
      <c r="B50" t="s">
        <v>881</v>
      </c>
      <c r="C50" s="49">
        <v>2019</v>
      </c>
      <c r="D50" t="s">
        <v>885</v>
      </c>
      <c r="E50" s="28" t="s">
        <v>886</v>
      </c>
      <c r="F50" t="s">
        <v>887</v>
      </c>
    </row>
    <row r="51" spans="1:6">
      <c r="A51" s="49">
        <v>50</v>
      </c>
      <c r="B51" t="s">
        <v>888</v>
      </c>
      <c r="C51" s="49">
        <v>2024</v>
      </c>
      <c r="D51" t="s">
        <v>889</v>
      </c>
      <c r="E51" s="28" t="s">
        <v>890</v>
      </c>
      <c r="F51" t="s">
        <v>891</v>
      </c>
    </row>
    <row r="52" spans="1:6">
      <c r="A52" s="49">
        <v>51</v>
      </c>
      <c r="B52" t="s">
        <v>892</v>
      </c>
      <c r="C52" s="49">
        <v>2024</v>
      </c>
      <c r="D52" t="s">
        <v>893</v>
      </c>
      <c r="E52" s="28" t="s">
        <v>894</v>
      </c>
      <c r="F52" t="s">
        <v>895</v>
      </c>
    </row>
    <row r="53" spans="1:6">
      <c r="A53" s="49">
        <v>52</v>
      </c>
      <c r="B53" t="s">
        <v>896</v>
      </c>
      <c r="C53" s="49">
        <v>2024</v>
      </c>
      <c r="D53" t="s">
        <v>897</v>
      </c>
      <c r="E53" s="28" t="s">
        <v>898</v>
      </c>
      <c r="F53" t="s">
        <v>899</v>
      </c>
    </row>
    <row r="54" spans="1:6">
      <c r="A54" s="49">
        <v>53</v>
      </c>
      <c r="B54" t="s">
        <v>900</v>
      </c>
      <c r="C54" s="49">
        <v>2025</v>
      </c>
      <c r="D54" t="s">
        <v>901</v>
      </c>
      <c r="E54" s="28" t="s">
        <v>902</v>
      </c>
    </row>
    <row r="55" spans="1:6">
      <c r="A55" s="49">
        <v>54</v>
      </c>
      <c r="B55" t="s">
        <v>749</v>
      </c>
      <c r="C55" s="49">
        <v>2024</v>
      </c>
      <c r="D55" t="s">
        <v>903</v>
      </c>
      <c r="E55" s="28" t="s">
        <v>904</v>
      </c>
    </row>
    <row r="56" spans="1:6">
      <c r="A56" s="49">
        <v>55</v>
      </c>
      <c r="B56" t="s">
        <v>905</v>
      </c>
      <c r="C56" s="49">
        <v>2024</v>
      </c>
      <c r="D56" t="s">
        <v>906</v>
      </c>
      <c r="E56" s="28" t="s">
        <v>907</v>
      </c>
      <c r="F56" t="s">
        <v>908</v>
      </c>
    </row>
    <row r="57" spans="1:6">
      <c r="A57" s="49">
        <v>56</v>
      </c>
      <c r="B57" t="s">
        <v>909</v>
      </c>
      <c r="C57" s="49">
        <v>2019</v>
      </c>
      <c r="D57" t="s">
        <v>910</v>
      </c>
      <c r="E57" s="28" t="s">
        <v>911</v>
      </c>
      <c r="F57" t="s">
        <v>912</v>
      </c>
    </row>
    <row r="58" spans="1:6">
      <c r="A58" s="49">
        <v>57</v>
      </c>
      <c r="B58" t="s">
        <v>909</v>
      </c>
      <c r="C58" s="49">
        <v>2024</v>
      </c>
      <c r="D58" t="s">
        <v>913</v>
      </c>
      <c r="E58" s="28" t="s">
        <v>914</v>
      </c>
    </row>
    <row r="59" spans="1:6">
      <c r="A59" s="49">
        <v>58</v>
      </c>
      <c r="B59" t="s">
        <v>915</v>
      </c>
      <c r="C59" s="49">
        <v>2023</v>
      </c>
      <c r="D59" t="s">
        <v>916</v>
      </c>
      <c r="E59" s="28" t="s">
        <v>917</v>
      </c>
      <c r="F59" t="s">
        <v>918</v>
      </c>
    </row>
    <row r="60" spans="1:6">
      <c r="A60" s="49">
        <v>59</v>
      </c>
      <c r="B60" t="s">
        <v>919</v>
      </c>
      <c r="C60" s="49">
        <v>2021</v>
      </c>
      <c r="D60" t="s">
        <v>920</v>
      </c>
      <c r="E60" s="28" t="s">
        <v>921</v>
      </c>
      <c r="F60" t="s">
        <v>922</v>
      </c>
    </row>
    <row r="61" spans="1:6">
      <c r="A61" s="49">
        <v>60</v>
      </c>
      <c r="B61" t="s">
        <v>749</v>
      </c>
      <c r="C61" s="49">
        <v>2024</v>
      </c>
      <c r="D61" t="s">
        <v>923</v>
      </c>
      <c r="E61" s="28" t="s">
        <v>924</v>
      </c>
      <c r="F61" t="s">
        <v>925</v>
      </c>
    </row>
    <row r="62" spans="1:6">
      <c r="A62" s="49">
        <v>61</v>
      </c>
      <c r="B62" t="s">
        <v>900</v>
      </c>
      <c r="C62" s="49">
        <v>2024</v>
      </c>
      <c r="D62" t="s">
        <v>926</v>
      </c>
      <c r="E62" s="28" t="s">
        <v>927</v>
      </c>
      <c r="F62" t="s">
        <v>928</v>
      </c>
    </row>
    <row r="63" spans="1:6">
      <c r="A63" s="49">
        <v>62</v>
      </c>
      <c r="B63" t="s">
        <v>892</v>
      </c>
      <c r="C63" s="49">
        <v>2023</v>
      </c>
      <c r="D63" t="s">
        <v>929</v>
      </c>
      <c r="E63" s="28" t="s">
        <v>930</v>
      </c>
      <c r="F63" t="s">
        <v>931</v>
      </c>
    </row>
    <row r="64" spans="1:6">
      <c r="A64" s="49">
        <v>63</v>
      </c>
      <c r="B64" t="s">
        <v>749</v>
      </c>
      <c r="C64" s="49">
        <v>2024</v>
      </c>
      <c r="D64" t="s">
        <v>932</v>
      </c>
      <c r="E64" s="28" t="s">
        <v>933</v>
      </c>
      <c r="F64" t="s">
        <v>934</v>
      </c>
    </row>
    <row r="65" spans="1:6">
      <c r="A65" s="49">
        <v>64</v>
      </c>
      <c r="B65" t="s">
        <v>935</v>
      </c>
      <c r="C65" s="49">
        <v>2022</v>
      </c>
      <c r="D65" t="s">
        <v>936</v>
      </c>
      <c r="E65" s="28" t="s">
        <v>937</v>
      </c>
      <c r="F65" t="s">
        <v>938</v>
      </c>
    </row>
    <row r="66" spans="1:6">
      <c r="A66" s="49">
        <v>65</v>
      </c>
      <c r="B66" t="s">
        <v>863</v>
      </c>
      <c r="C66" s="49">
        <v>2024</v>
      </c>
      <c r="D66" t="s">
        <v>939</v>
      </c>
      <c r="E66" s="28" t="s">
        <v>940</v>
      </c>
      <c r="F66" t="s">
        <v>941</v>
      </c>
    </row>
    <row r="67" spans="1:6">
      <c r="A67" s="49">
        <v>66</v>
      </c>
      <c r="B67" t="s">
        <v>942</v>
      </c>
      <c r="C67" s="49">
        <v>2024</v>
      </c>
      <c r="D67" t="s">
        <v>943</v>
      </c>
      <c r="E67" s="28" t="s">
        <v>944</v>
      </c>
      <c r="F67" t="s">
        <v>945</v>
      </c>
    </row>
    <row r="68" spans="1:6">
      <c r="A68" s="49">
        <v>67</v>
      </c>
      <c r="B68" t="s">
        <v>946</v>
      </c>
      <c r="C68" s="49">
        <v>2024</v>
      </c>
      <c r="D68" t="s">
        <v>947</v>
      </c>
      <c r="E68" s="28" t="s">
        <v>948</v>
      </c>
      <c r="F68" t="s">
        <v>949</v>
      </c>
    </row>
    <row r="69" spans="1:6">
      <c r="A69" s="49">
        <v>68</v>
      </c>
      <c r="B69" t="s">
        <v>950</v>
      </c>
      <c r="C69" s="49">
        <v>2022</v>
      </c>
      <c r="D69" t="s">
        <v>951</v>
      </c>
      <c r="E69" s="28" t="s">
        <v>952</v>
      </c>
      <c r="F69" t="s">
        <v>953</v>
      </c>
    </row>
    <row r="70" spans="1:6">
      <c r="A70" s="49">
        <v>69</v>
      </c>
      <c r="B70" t="s">
        <v>954</v>
      </c>
      <c r="C70" s="49">
        <v>2024</v>
      </c>
      <c r="D70" t="s">
        <v>955</v>
      </c>
      <c r="E70" s="28" t="s">
        <v>956</v>
      </c>
      <c r="F70" t="s">
        <v>957</v>
      </c>
    </row>
    <row r="71" spans="1:6">
      <c r="A71" s="49">
        <v>70</v>
      </c>
      <c r="B71" t="s">
        <v>761</v>
      </c>
      <c r="C71" s="49">
        <v>2024</v>
      </c>
      <c r="D71" t="s">
        <v>958</v>
      </c>
      <c r="E71" s="28" t="s">
        <v>959</v>
      </c>
      <c r="F71" t="s">
        <v>960</v>
      </c>
    </row>
    <row r="72" spans="1:6">
      <c r="A72" s="49">
        <v>71</v>
      </c>
      <c r="B72" t="s">
        <v>961</v>
      </c>
      <c r="C72" s="49">
        <v>2025</v>
      </c>
      <c r="D72" t="s">
        <v>962</v>
      </c>
      <c r="E72" s="28" t="s">
        <v>963</v>
      </c>
      <c r="F72" t="s">
        <v>964</v>
      </c>
    </row>
    <row r="73" spans="1:6">
      <c r="A73" s="49">
        <v>72</v>
      </c>
      <c r="B73" t="s">
        <v>965</v>
      </c>
      <c r="C73" s="49">
        <v>2024</v>
      </c>
      <c r="D73" t="s">
        <v>966</v>
      </c>
      <c r="E73" s="28" t="s">
        <v>967</v>
      </c>
      <c r="F73" t="s">
        <v>968</v>
      </c>
    </row>
    <row r="74" spans="1:6">
      <c r="A74" s="49">
        <v>73</v>
      </c>
      <c r="B74" t="s">
        <v>969</v>
      </c>
      <c r="C74" s="49">
        <v>2021</v>
      </c>
      <c r="D74" t="s">
        <v>970</v>
      </c>
      <c r="E74" s="28" t="s">
        <v>971</v>
      </c>
      <c r="F74" t="s">
        <v>972</v>
      </c>
    </row>
    <row r="75" spans="1:6">
      <c r="A75" s="49">
        <v>74</v>
      </c>
      <c r="B75" t="s">
        <v>973</v>
      </c>
      <c r="C75" s="49">
        <v>2024</v>
      </c>
      <c r="D75" t="s">
        <v>974</v>
      </c>
      <c r="E75" t="s">
        <v>975</v>
      </c>
      <c r="F75" t="s">
        <v>976</v>
      </c>
    </row>
    <row r="76" spans="1:6">
      <c r="A76" s="49">
        <v>75</v>
      </c>
      <c r="B76" t="s">
        <v>977</v>
      </c>
      <c r="C76" s="49">
        <v>2025</v>
      </c>
      <c r="D76" t="s">
        <v>978</v>
      </c>
      <c r="E76" s="28" t="s">
        <v>979</v>
      </c>
      <c r="F76" t="s">
        <v>980</v>
      </c>
    </row>
    <row r="77" spans="1:6">
      <c r="A77" s="49">
        <v>76</v>
      </c>
      <c r="B77" t="s">
        <v>981</v>
      </c>
      <c r="C77" s="49">
        <v>2020</v>
      </c>
      <c r="D77" t="s">
        <v>982</v>
      </c>
      <c r="E77" s="28" t="s">
        <v>983</v>
      </c>
      <c r="F77" t="s">
        <v>984</v>
      </c>
    </row>
    <row r="78" spans="1:6">
      <c r="A78" s="49">
        <v>77</v>
      </c>
      <c r="B78" t="s">
        <v>985</v>
      </c>
      <c r="C78" s="49">
        <v>2023</v>
      </c>
      <c r="D78" t="s">
        <v>986</v>
      </c>
      <c r="E78" s="28" t="s">
        <v>987</v>
      </c>
      <c r="F78" t="s">
        <v>988</v>
      </c>
    </row>
    <row r="79" spans="1:6">
      <c r="A79" s="49">
        <v>78</v>
      </c>
      <c r="B79" t="s">
        <v>989</v>
      </c>
      <c r="C79" s="49">
        <v>2023</v>
      </c>
      <c r="D79" s="1062" t="s">
        <v>990</v>
      </c>
      <c r="E79" s="28" t="s">
        <v>991</v>
      </c>
      <c r="F79" t="s">
        <v>899</v>
      </c>
    </row>
    <row r="80" spans="1:6">
      <c r="A80" s="49">
        <v>79</v>
      </c>
      <c r="B80" t="s">
        <v>992</v>
      </c>
      <c r="C80" s="49">
        <v>2024</v>
      </c>
      <c r="D80" t="s">
        <v>993</v>
      </c>
      <c r="E80" s="28" t="s">
        <v>994</v>
      </c>
      <c r="F80" t="s">
        <v>995</v>
      </c>
    </row>
    <row r="81" spans="1:6">
      <c r="A81" s="49">
        <v>80</v>
      </c>
      <c r="B81" t="s">
        <v>996</v>
      </c>
      <c r="C81" s="49">
        <v>2025</v>
      </c>
      <c r="D81" t="s">
        <v>997</v>
      </c>
      <c r="E81" s="28" t="s">
        <v>998</v>
      </c>
      <c r="F81" t="s">
        <v>999</v>
      </c>
    </row>
    <row r="82" spans="1:6">
      <c r="A82" s="49">
        <v>81</v>
      </c>
      <c r="B82" t="s">
        <v>1000</v>
      </c>
      <c r="C82" s="49">
        <v>2025</v>
      </c>
      <c r="D82" t="s">
        <v>1001</v>
      </c>
      <c r="E82" s="28" t="s">
        <v>1002</v>
      </c>
    </row>
    <row r="83" spans="1:6">
      <c r="A83" s="49">
        <v>82</v>
      </c>
      <c r="B83" t="s">
        <v>1003</v>
      </c>
      <c r="C83" s="49">
        <v>2025</v>
      </c>
      <c r="D83" t="s">
        <v>1004</v>
      </c>
      <c r="E83" t="s">
        <v>1005</v>
      </c>
      <c r="F83" t="s">
        <v>1006</v>
      </c>
    </row>
    <row r="84" spans="1:6">
      <c r="A84" s="49">
        <v>83</v>
      </c>
      <c r="B84" t="s">
        <v>1007</v>
      </c>
      <c r="C84" s="49">
        <v>2024</v>
      </c>
      <c r="D84" t="s">
        <v>1008</v>
      </c>
      <c r="E84" s="28" t="s">
        <v>1009</v>
      </c>
    </row>
    <row r="85" spans="1:6">
      <c r="A85" s="49">
        <v>85</v>
      </c>
      <c r="B85" t="s">
        <v>1010</v>
      </c>
      <c r="C85" s="49">
        <v>2024</v>
      </c>
      <c r="D85" t="s">
        <v>1011</v>
      </c>
      <c r="E85" s="28" t="s">
        <v>1012</v>
      </c>
      <c r="F85" t="s">
        <v>1013</v>
      </c>
    </row>
    <row r="86" spans="1:6">
      <c r="A86" s="49">
        <v>86</v>
      </c>
      <c r="B86" t="s">
        <v>777</v>
      </c>
      <c r="C86" s="49">
        <v>2023</v>
      </c>
      <c r="D86" t="s">
        <v>1014</v>
      </c>
      <c r="E86" s="28" t="s">
        <v>1015</v>
      </c>
    </row>
    <row r="87" spans="1:6">
      <c r="A87" s="49">
        <v>87</v>
      </c>
      <c r="B87" t="s">
        <v>1016</v>
      </c>
      <c r="C87" s="49">
        <v>2023</v>
      </c>
      <c r="D87" t="s">
        <v>1017</v>
      </c>
      <c r="E87" s="28" t="s">
        <v>1018</v>
      </c>
    </row>
    <row r="88" spans="1:6">
      <c r="A88" s="49">
        <v>88</v>
      </c>
      <c r="B88" t="s">
        <v>1019</v>
      </c>
      <c r="C88" s="49">
        <v>2024</v>
      </c>
      <c r="D88" t="s">
        <v>1020</v>
      </c>
      <c r="E88" s="28" t="s">
        <v>1021</v>
      </c>
    </row>
    <row r="89" spans="1:6">
      <c r="A89" s="49">
        <v>89</v>
      </c>
      <c r="B89" t="s">
        <v>1022</v>
      </c>
      <c r="C89" s="49">
        <v>2024</v>
      </c>
      <c r="D89" t="s">
        <v>1023</v>
      </c>
      <c r="E89" s="28" t="s">
        <v>1024</v>
      </c>
      <c r="F89" t="s">
        <v>1025</v>
      </c>
    </row>
  </sheetData>
  <hyperlinks>
    <hyperlink ref="E3" r:id="rId1" xr:uid="{06FA2F9D-6B0B-4270-9B5C-B264A8DD17CB}"/>
    <hyperlink ref="E9" r:id="rId2" xr:uid="{629589D8-7BF0-4427-A078-9FD316E086CF}"/>
    <hyperlink ref="E4" r:id="rId3" xr:uid="{4B694D72-EDB5-4B94-9755-E47AAB1C3809}"/>
    <hyperlink ref="E7" r:id="rId4" xr:uid="{A1C2ED3D-BECC-48ED-B190-327F908D13AB}"/>
    <hyperlink ref="E5" r:id="rId5" xr:uid="{8CEE167C-6C86-4567-AAA7-8DB956E82026}"/>
    <hyperlink ref="E8" r:id="rId6" location="f0005" xr:uid="{5E149A87-79EE-4339-AD6B-6D9791F2CB82}"/>
    <hyperlink ref="E10" r:id="rId7" xr:uid="{3BFFD786-EB91-40F2-A95B-52CBAA5194EE}"/>
    <hyperlink ref="E11" r:id="rId8" xr:uid="{A54399CF-71EC-4E22-8442-085B8972C066}"/>
    <hyperlink ref="E12" r:id="rId9" xr:uid="{E8DF9751-A426-45E0-87E4-E4687CCF8F3A}"/>
    <hyperlink ref="E13" r:id="rId10" xr:uid="{60E21B4C-0BCF-4EA9-8E34-309BAFE1B74A}"/>
    <hyperlink ref="E14" r:id="rId11" xr:uid="{6A5A9E68-6FDE-417C-9DCA-9679C52EB853}"/>
    <hyperlink ref="E15" r:id="rId12" xr:uid="{C9F57CB3-F1A7-4E74-A712-AF04CE09139B}"/>
    <hyperlink ref="E16" r:id="rId13" xr:uid="{FA13C023-AD4E-4869-B2CC-8EA42CD1FB12}"/>
    <hyperlink ref="E17" r:id="rId14" xr:uid="{63011AAC-5116-49A5-861C-4375114B724F}"/>
    <hyperlink ref="E18" r:id="rId15" xr:uid="{29B5CA52-23D7-491A-88D2-607D592B5B33}"/>
    <hyperlink ref="E19" r:id="rId16" xr:uid="{3DCA1135-F347-4F59-8F36-085D74217289}"/>
    <hyperlink ref="E20" r:id="rId17" xr:uid="{EAECD13F-F01D-4B85-96BE-985CEA02FE0D}"/>
    <hyperlink ref="E21" r:id="rId18" xr:uid="{4ECAE821-A367-4E76-B468-A5EFAC9AA640}"/>
    <hyperlink ref="E23" r:id="rId19" xr:uid="{93A8547E-E72E-453C-9A6D-D01FA45E4DF0}"/>
    <hyperlink ref="E26" r:id="rId20" xr:uid="{34430D38-1F1D-49AD-84CE-5D9FCB3564EB}"/>
    <hyperlink ref="E29" r:id="rId21" xr:uid="{F5951F3E-DDB3-4D8C-8325-E047C25EB79D}"/>
    <hyperlink ref="E30" r:id="rId22" xr:uid="{67DA6A9F-D82E-4563-A893-E985D32E15DF}"/>
    <hyperlink ref="E31" r:id="rId23" xr:uid="{D8CFD921-9069-44D5-A64D-0CB2961A5A70}"/>
    <hyperlink ref="E32" r:id="rId24" xr:uid="{9F316B78-2D1B-4614-AD9C-205D560A5137}"/>
    <hyperlink ref="E33" r:id="rId25" xr:uid="{246AC735-8628-468E-886D-4D05BB68129F}"/>
    <hyperlink ref="E34" r:id="rId26" xr:uid="{4B0C7132-D7DD-4DB4-8EBC-184424716F79}"/>
    <hyperlink ref="E35" r:id="rId27" xr:uid="{9A10BD90-382A-4010-B4FE-BB22C330E3D4}"/>
    <hyperlink ref="E36" r:id="rId28" xr:uid="{DA9FD2A2-C5D8-4A36-B4AA-ACAFF10303E8}"/>
    <hyperlink ref="E37" r:id="rId29" xr:uid="{5976A229-C16D-4519-95FB-661E995E11E4}"/>
    <hyperlink ref="E38" r:id="rId30" xr:uid="{F7FB48C5-FB9C-49AA-8FC9-0E8248257AA5}"/>
    <hyperlink ref="E39" r:id="rId31" xr:uid="{425EC012-F144-4B0C-A6EC-10DD79A0C053}"/>
    <hyperlink ref="E40" r:id="rId32" xr:uid="{3212E356-99B0-4C0D-B61B-BE0E75AC01E0}"/>
    <hyperlink ref="E27" r:id="rId33" xr:uid="{2F6F06F9-4713-4AF7-8D0F-33E9A48C6FB7}"/>
    <hyperlink ref="E6" r:id="rId34" xr:uid="{5DD59089-D67F-4492-B9C9-68994D6A666D}"/>
    <hyperlink ref="E42" r:id="rId35" xr:uid="{BDE8EA90-C921-4642-86F0-5FC809DA0F84}"/>
    <hyperlink ref="E44" r:id="rId36" xr:uid="{6BCEE655-84AF-4047-B26C-403A424A273D}"/>
    <hyperlink ref="E45" r:id="rId37" xr:uid="{CD73C748-BB7A-4108-BEA7-266A069F916F}"/>
    <hyperlink ref="E46" r:id="rId38" xr:uid="{57314D53-34F1-4A2E-AD1B-B12CDEACE1EC}"/>
    <hyperlink ref="E47" r:id="rId39" xr:uid="{560439DC-CBAD-42EE-908B-8141ED59CE91}"/>
    <hyperlink ref="E49" r:id="rId40" xr:uid="{A11DA767-C0C9-47A3-8E68-1E8B4B492E0E}"/>
    <hyperlink ref="E50" r:id="rId41" xr:uid="{050897F1-7F1C-419F-9EC3-8281E2508D75}"/>
    <hyperlink ref="E51" r:id="rId42" xr:uid="{E4DE71C5-A624-4FCB-A64C-B2D56D04582F}"/>
    <hyperlink ref="E52" r:id="rId43" xr:uid="{49437E03-41E4-4CAC-904D-FD599DB96818}"/>
    <hyperlink ref="E54" r:id="rId44" xr:uid="{8156F909-4CF0-4D1B-BB74-1F3888E729C6}"/>
    <hyperlink ref="E55" r:id="rId45" xr:uid="{C97D3C62-2942-4B89-8D6C-F750B13E35C4}"/>
    <hyperlink ref="E56" r:id="rId46" display="https://www.nature.com/articles/s41586-024-07117-5.epdf?sharing_token=Bz9hCH3_7tfqyvlUpFupYdRgN0jAjWel9jnR3ZoTv0OG-aLaQDkYFvre5Flei_ikYuEYlQ6CJ8itXbSxbFRFs3WDwDOGkIGeF8-LhmE43BNK04TT10wIBhf-iwgyxUVC0WdV0z4FlGn4KaAKeEYS-tnc4MYrtoBA9WUGkWWMfqCLr4P44jmgxkoWxQAVzggJfV6t-CJB5tzAI4HclAd2JnspXeS64NFhk2PGtFBPCt0%3D&amp;tracking_referrer=www.technologyreview.com" xr:uid="{972D39DC-40C7-471B-8811-A5131C13C35F}"/>
    <hyperlink ref="E58" r:id="rId47" xr:uid="{F1202D64-A209-4004-B62B-E9E44CC9154B}"/>
    <hyperlink ref="E60" r:id="rId48" xr:uid="{9284891C-0CE7-41CE-9D4F-B85FE0410695}"/>
    <hyperlink ref="E61" r:id="rId49" xr:uid="{243AE139-DA73-4FEB-8603-AA2C7EABFAB9}"/>
    <hyperlink ref="E57" r:id="rId50" xr:uid="{DCC77AEA-DFD6-4793-8635-1E28F938B352}"/>
    <hyperlink ref="E62" r:id="rId51" xr:uid="{867B97C8-9FD0-4F7A-B61A-64D2AA30D7F4}"/>
    <hyperlink ref="E63" r:id="rId52" xr:uid="{4B9F40BC-E375-4E86-957A-A5C123DB501D}"/>
    <hyperlink ref="E64" r:id="rId53" xr:uid="{FE68B853-F025-460C-9DBE-487BEDDDFDB5}"/>
    <hyperlink ref="E65" r:id="rId54" xr:uid="{7AD3D90F-DDA0-43C4-B222-B968B1208C24}"/>
    <hyperlink ref="E67" r:id="rId55" xr:uid="{7FFF6ADC-D6E6-4750-87E2-192ED125248A}"/>
    <hyperlink ref="E68" r:id="rId56" xr:uid="{EA7C27E2-8CF6-4440-9288-8549E3E917F6}"/>
    <hyperlink ref="E69" r:id="rId57" xr:uid="{B934D886-7FE1-4983-8954-A15A7688CC0E}"/>
    <hyperlink ref="E70" r:id="rId58" xr:uid="{36F6B78C-2B4E-4B56-B887-82CB9DB0CC12}"/>
    <hyperlink ref="E76" r:id="rId59" xr:uid="{99CA72D4-0D27-40C2-B58D-7C330B3E2BAA}"/>
    <hyperlink ref="E41" r:id="rId60" xr:uid="{0695C84F-2187-491C-8ED7-405A063ED5F0}"/>
    <hyperlink ref="E79" r:id="rId61" xr:uid="{6940D420-1B8F-4342-9B89-DCDEFEE29B66}"/>
    <hyperlink ref="E77" r:id="rId62" xr:uid="{2B501306-1126-4A18-AAAB-1DF3A0506E2F}"/>
    <hyperlink ref="E78" r:id="rId63" xr:uid="{385D34DE-BC87-4DE6-A11F-8EE2D651A3F4}"/>
    <hyperlink ref="E2" r:id="rId64" xr:uid="{AD69C4DF-CE21-4D3C-912E-5695B16113C3}"/>
    <hyperlink ref="E81" r:id="rId65" xr:uid="{0F58AF65-FCAB-418E-A3E1-EDDA4E81B408}"/>
    <hyperlink ref="E82" r:id="rId66" xr:uid="{370D6A58-20FB-4A1C-AFFF-BFAC11494401}"/>
    <hyperlink ref="E24" r:id="rId67" xr:uid="{35345C6B-24FA-41F6-801C-D437BF588511}"/>
    <hyperlink ref="E80" r:id="rId68" xr:uid="{B05806B4-7478-484B-B526-3FBA05AA6CC3}"/>
    <hyperlink ref="E74" r:id="rId69" xr:uid="{D0B432D8-E483-4EA0-8CAA-D3D1DD9C2093}"/>
    <hyperlink ref="E25" r:id="rId70" xr:uid="{1EAAEEA0-4420-4C28-916F-E034BEF700CE}"/>
    <hyperlink ref="E84" r:id="rId71" xr:uid="{A0DA54CC-190D-44F2-80C3-4D656FE6CE29}"/>
    <hyperlink ref="E85" r:id="rId72" xr:uid="{32747CED-C003-48C9-AE41-1ACC702F63AA}"/>
    <hyperlink ref="E86" r:id="rId73" xr:uid="{CC164F1D-97C9-4308-95FF-CD79C5BB7897}"/>
    <hyperlink ref="E87" r:id="rId74" xr:uid="{B909D0E5-4826-4401-98AF-B2F9D88A0A34}"/>
    <hyperlink ref="E88" r:id="rId75" xr:uid="{5FFA43D1-F794-4590-805C-04B182069C16}"/>
    <hyperlink ref="E89" r:id="rId76" xr:uid="{B3A31DC3-BBA6-485F-A87B-37F4C5A183C4}"/>
    <hyperlink ref="E48" r:id="rId77" xr:uid="{33DB43C0-AF3D-41A0-9D25-15D2CE61C65B}"/>
    <hyperlink ref="E73" r:id="rId78" xr:uid="{D5525CE2-03A5-4551-B95D-3DF3E8FDC0E1}"/>
    <hyperlink ref="E71" r:id="rId79" xr:uid="{3E60F192-53BD-4985-91B7-C10A082BB4E6}"/>
  </hyperlinks>
  <pageMargins left="0.7" right="0.7" top="0.75" bottom="0.75" header="0.3" footer="0.3"/>
  <headerFooter>
    <oddFooter>&amp;R_x000D_&amp;1#&amp;"Aptos"&amp;10&amp;K000000 Official Use Only</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14BA-6F72-46B2-9CA3-74F9194A695F}">
  <dimension ref="A1:H193"/>
  <sheetViews>
    <sheetView topLeftCell="A99" zoomScale="115" zoomScaleNormal="115" workbookViewId="0">
      <selection activeCell="A99" sqref="A99"/>
    </sheetView>
  </sheetViews>
  <sheetFormatPr defaultRowHeight="15"/>
  <cols>
    <col min="1" max="1" width="37.7109375" customWidth="1"/>
    <col min="2" max="4" width="18.42578125" customWidth="1"/>
    <col min="5" max="5" width="15.42578125" customWidth="1"/>
    <col min="6" max="6" width="37.85546875" customWidth="1"/>
    <col min="7" max="7" width="42.140625" bestFit="1" customWidth="1"/>
  </cols>
  <sheetData>
    <row r="1" spans="1:7">
      <c r="A1" s="106" t="s">
        <v>1026</v>
      </c>
      <c r="B1" s="107"/>
      <c r="C1" s="107"/>
      <c r="D1" s="107"/>
      <c r="E1" s="107"/>
      <c r="F1" s="107"/>
      <c r="G1" s="107"/>
    </row>
    <row r="3" spans="1:7">
      <c r="A3" s="23" t="s">
        <v>1027</v>
      </c>
    </row>
    <row r="4" spans="1:7">
      <c r="A4" s="23" t="s">
        <v>17</v>
      </c>
    </row>
    <row r="5" spans="1:7">
      <c r="A5" s="601"/>
      <c r="B5" s="693">
        <v>2022</v>
      </c>
      <c r="C5" s="693">
        <v>2030</v>
      </c>
      <c r="D5" s="693">
        <v>2060</v>
      </c>
      <c r="E5" s="693" t="s">
        <v>116</v>
      </c>
      <c r="F5" s="693" t="s">
        <v>612</v>
      </c>
      <c r="G5" s="727" t="s">
        <v>505</v>
      </c>
    </row>
    <row r="6" spans="1:7">
      <c r="A6" s="22" t="s">
        <v>1028</v>
      </c>
      <c r="B6" s="591">
        <f>AVERAGE(1380, 1420)</f>
        <v>1400</v>
      </c>
      <c r="C6">
        <f>AVERAGE(400,500)</f>
        <v>450</v>
      </c>
      <c r="E6" t="s">
        <v>1029</v>
      </c>
      <c r="F6" t="s">
        <v>1030</v>
      </c>
      <c r="G6" s="595" t="s">
        <v>1031</v>
      </c>
    </row>
    <row r="7" spans="1:7">
      <c r="A7" s="22" t="s">
        <v>1028</v>
      </c>
      <c r="B7" s="591"/>
      <c r="C7" s="591">
        <f>AVERAGE(1029, 2308)</f>
        <v>1668.5</v>
      </c>
      <c r="D7" s="591">
        <f>AVERAGE(964, 2112)</f>
        <v>1538</v>
      </c>
      <c r="E7" t="s">
        <v>1029</v>
      </c>
      <c r="F7" t="s">
        <v>1032</v>
      </c>
      <c r="G7" s="595" t="s">
        <v>1033</v>
      </c>
    </row>
    <row r="8" spans="1:7">
      <c r="A8" s="22" t="s">
        <v>1028</v>
      </c>
      <c r="B8" s="591"/>
      <c r="C8" s="591">
        <f>AVERAGE(562, 1521)</f>
        <v>1041.5</v>
      </c>
      <c r="D8" s="591">
        <f>AVERAGE(514, 1375)</f>
        <v>944.5</v>
      </c>
      <c r="E8" t="s">
        <v>1029</v>
      </c>
      <c r="F8" t="s">
        <v>1032</v>
      </c>
      <c r="G8" s="595" t="s">
        <v>1034</v>
      </c>
    </row>
    <row r="9" spans="1:7">
      <c r="A9" s="22" t="s">
        <v>1028</v>
      </c>
      <c r="B9" s="591"/>
      <c r="C9" s="591">
        <f>AVERAGE(402, 1042)</f>
        <v>722</v>
      </c>
      <c r="D9" s="591">
        <f>AVERAGE(370, 944)</f>
        <v>657</v>
      </c>
      <c r="E9" t="s">
        <v>1029</v>
      </c>
      <c r="F9" t="s">
        <v>1032</v>
      </c>
      <c r="G9" s="595" t="s">
        <v>1035</v>
      </c>
    </row>
    <row r="10" spans="1:7">
      <c r="A10" s="22"/>
      <c r="B10" s="591"/>
      <c r="C10" s="591"/>
      <c r="D10" s="591"/>
      <c r="G10" s="595"/>
    </row>
    <row r="11" spans="1:7">
      <c r="A11" s="22" t="s">
        <v>1028</v>
      </c>
      <c r="B11" s="591">
        <v>650</v>
      </c>
      <c r="C11" s="591">
        <v>450</v>
      </c>
      <c r="D11" s="591">
        <v>250</v>
      </c>
      <c r="E11" t="s">
        <v>1036</v>
      </c>
      <c r="F11" t="s">
        <v>1037</v>
      </c>
      <c r="G11" s="595" t="s">
        <v>1038</v>
      </c>
    </row>
    <row r="12" spans="1:7">
      <c r="A12" s="22" t="s">
        <v>1028</v>
      </c>
      <c r="B12" s="591">
        <v>2000</v>
      </c>
      <c r="C12" s="648"/>
      <c r="D12" s="648"/>
      <c r="E12" t="s">
        <v>1039</v>
      </c>
      <c r="F12" s="739" t="s">
        <v>1040</v>
      </c>
      <c r="G12" s="595" t="s">
        <v>1041</v>
      </c>
    </row>
    <row r="13" spans="1:7">
      <c r="A13" s="22" t="s">
        <v>1028</v>
      </c>
      <c r="B13" s="591">
        <f>AVERAGE(2000,3000)</f>
        <v>2500</v>
      </c>
      <c r="C13" s="591"/>
      <c r="D13" s="591"/>
      <c r="E13" t="s">
        <v>1039</v>
      </c>
      <c r="F13" s="739" t="s">
        <v>1042</v>
      </c>
      <c r="G13" s="595" t="s">
        <v>1043</v>
      </c>
    </row>
    <row r="14" spans="1:7">
      <c r="A14" s="22" t="s">
        <v>1028</v>
      </c>
      <c r="B14" s="591">
        <f>AVERAGE(6000,8000)</f>
        <v>7000</v>
      </c>
      <c r="C14" s="591"/>
      <c r="D14" s="591"/>
      <c r="E14" t="s">
        <v>1039</v>
      </c>
      <c r="F14" s="739" t="s">
        <v>1042</v>
      </c>
      <c r="G14" s="595" t="s">
        <v>1044</v>
      </c>
    </row>
    <row r="15" spans="1:7">
      <c r="A15" s="22"/>
      <c r="B15" s="591"/>
      <c r="C15" s="591"/>
      <c r="D15" s="591"/>
      <c r="G15" s="595"/>
    </row>
    <row r="16" spans="1:7">
      <c r="A16" s="22" t="s">
        <v>1028</v>
      </c>
      <c r="B16" s="591">
        <f>B11*'Unit Conversions'!$E$11</f>
        <v>703.46320346320351</v>
      </c>
      <c r="C16" s="591">
        <f>C11*'Unit Conversions'!$E$11</f>
        <v>487.01298701298703</v>
      </c>
      <c r="D16" s="591">
        <f>D11*'Unit Conversions'!$E$11</f>
        <v>270.56277056277054</v>
      </c>
      <c r="E16" t="s">
        <v>1029</v>
      </c>
      <c r="F16" t="s">
        <v>1037</v>
      </c>
      <c r="G16" s="595" t="s">
        <v>1045</v>
      </c>
    </row>
    <row r="17" spans="1:7">
      <c r="A17" s="22" t="s">
        <v>1028</v>
      </c>
      <c r="B17" s="591">
        <f>B12*'Unit Conversions'!$E$9</f>
        <v>282.8</v>
      </c>
      <c r="C17" s="591"/>
      <c r="D17" s="591"/>
      <c r="E17" t="s">
        <v>1029</v>
      </c>
      <c r="F17" s="739" t="s">
        <v>1040</v>
      </c>
      <c r="G17" s="595" t="s">
        <v>1046</v>
      </c>
    </row>
    <row r="18" spans="1:7">
      <c r="A18" s="22" t="s">
        <v>1028</v>
      </c>
      <c r="B18" s="591">
        <f>B13*'Unit Conversions'!$E$9</f>
        <v>353.5</v>
      </c>
      <c r="C18" s="591"/>
      <c r="D18" s="591"/>
      <c r="E18" t="s">
        <v>1029</v>
      </c>
      <c r="F18" s="739" t="s">
        <v>1042</v>
      </c>
      <c r="G18" s="595" t="s">
        <v>1043</v>
      </c>
    </row>
    <row r="19" spans="1:7">
      <c r="A19" s="22" t="s">
        <v>1028</v>
      </c>
      <c r="B19" s="591">
        <f>B14*'Unit Conversions'!$E$9</f>
        <v>989.8</v>
      </c>
      <c r="C19" s="591"/>
      <c r="D19" s="591"/>
      <c r="E19" t="s">
        <v>1029</v>
      </c>
      <c r="F19" s="739" t="s">
        <v>1042</v>
      </c>
      <c r="G19" s="595" t="s">
        <v>1044</v>
      </c>
    </row>
    <row r="20" spans="1:7">
      <c r="A20" s="22"/>
      <c r="G20" s="595"/>
    </row>
    <row r="21" spans="1:7">
      <c r="A21" s="22"/>
      <c r="G21" s="595"/>
    </row>
    <row r="22" spans="1:7">
      <c r="A22" s="741" t="s">
        <v>1047</v>
      </c>
      <c r="B22" s="1203">
        <f>AVERAGE(B16:B19)</f>
        <v>582.39080086580088</v>
      </c>
      <c r="C22" s="1204">
        <f>AVERAGE(C16:C19)</f>
        <v>487.01298701298703</v>
      </c>
      <c r="D22" s="1204">
        <f>AVERAGE(D16:D19)</f>
        <v>270.56277056277054</v>
      </c>
      <c r="E22" s="1205" t="s">
        <v>1029</v>
      </c>
      <c r="F22" s="523" t="s">
        <v>1048</v>
      </c>
      <c r="G22" s="605" t="s">
        <v>1049</v>
      </c>
    </row>
    <row r="23" spans="1:7">
      <c r="A23" s="22"/>
      <c r="C23" s="591"/>
      <c r="D23" s="591"/>
      <c r="G23" s="595"/>
    </row>
    <row r="24" spans="1:7">
      <c r="A24" s="22" t="s">
        <v>1050</v>
      </c>
      <c r="B24">
        <f>AVERAGE(1700, 1800)</f>
        <v>1750</v>
      </c>
      <c r="C24">
        <f>AVERAGE(500, 600)</f>
        <v>550</v>
      </c>
      <c r="E24" t="s">
        <v>1029</v>
      </c>
      <c r="F24" t="s">
        <v>1030</v>
      </c>
      <c r="G24" s="595" t="s">
        <v>1051</v>
      </c>
    </row>
    <row r="25" spans="1:7">
      <c r="A25" s="22" t="s">
        <v>1050</v>
      </c>
      <c r="B25">
        <v>4490</v>
      </c>
      <c r="C25">
        <v>1900</v>
      </c>
      <c r="D25">
        <v>785</v>
      </c>
      <c r="E25" t="s">
        <v>1036</v>
      </c>
      <c r="F25" t="s">
        <v>1037</v>
      </c>
      <c r="G25" s="595" t="s">
        <v>1038</v>
      </c>
    </row>
    <row r="26" spans="1:7">
      <c r="A26" s="31" t="s">
        <v>1050</v>
      </c>
      <c r="B26" s="523">
        <v>12000</v>
      </c>
      <c r="C26" s="523"/>
      <c r="D26" s="523"/>
      <c r="E26" s="523" t="s">
        <v>1039</v>
      </c>
      <c r="F26" s="740" t="s">
        <v>1040</v>
      </c>
      <c r="G26" s="605" t="s">
        <v>1041</v>
      </c>
    </row>
    <row r="29" spans="1:7">
      <c r="A29" s="23" t="s">
        <v>142</v>
      </c>
    </row>
    <row r="30" spans="1:7">
      <c r="A30" s="601"/>
      <c r="B30" s="693">
        <v>2022</v>
      </c>
      <c r="C30" s="693">
        <v>2030</v>
      </c>
      <c r="D30" s="693">
        <v>2060</v>
      </c>
      <c r="E30" s="521" t="s">
        <v>116</v>
      </c>
      <c r="F30" s="521"/>
      <c r="G30" s="639"/>
    </row>
    <row r="31" spans="1:7">
      <c r="A31" s="22" t="s">
        <v>1028</v>
      </c>
      <c r="B31">
        <v>1102</v>
      </c>
      <c r="C31">
        <v>500</v>
      </c>
      <c r="D31">
        <v>300</v>
      </c>
      <c r="E31" t="s">
        <v>1029</v>
      </c>
      <c r="F31" s="742" t="s">
        <v>1052</v>
      </c>
      <c r="G31" s="595" t="s">
        <v>1053</v>
      </c>
    </row>
    <row r="32" spans="1:7">
      <c r="A32" s="31" t="s">
        <v>1050</v>
      </c>
      <c r="B32" s="523">
        <v>1808</v>
      </c>
      <c r="C32" s="523">
        <v>800</v>
      </c>
      <c r="D32" s="523">
        <v>400</v>
      </c>
      <c r="E32" s="523" t="s">
        <v>1029</v>
      </c>
      <c r="F32" s="710" t="s">
        <v>1052</v>
      </c>
      <c r="G32" s="605" t="s">
        <v>1053</v>
      </c>
    </row>
    <row r="35" spans="1:7">
      <c r="A35" s="23" t="s">
        <v>166</v>
      </c>
    </row>
    <row r="36" spans="1:7">
      <c r="A36" s="601"/>
      <c r="B36" s="693">
        <v>2022</v>
      </c>
      <c r="C36" s="693">
        <v>2030</v>
      </c>
      <c r="D36" s="693">
        <v>2060</v>
      </c>
      <c r="E36" s="521" t="s">
        <v>116</v>
      </c>
      <c r="F36" s="521"/>
      <c r="G36" s="639"/>
    </row>
    <row r="37" spans="1:7">
      <c r="A37" s="22" t="s">
        <v>1028</v>
      </c>
      <c r="B37" s="577">
        <f>AVERAGE(B31,B22)</f>
        <v>842.19540043290044</v>
      </c>
      <c r="C37" s="577">
        <f t="shared" ref="C37:D37" si="0">AVERAGE(C31,C22)</f>
        <v>493.50649350649348</v>
      </c>
      <c r="D37" s="577">
        <f t="shared" si="0"/>
        <v>285.28138528138527</v>
      </c>
      <c r="E37" t="s">
        <v>1029</v>
      </c>
      <c r="G37" s="595"/>
    </row>
    <row r="38" spans="1:7">
      <c r="A38" s="31" t="s">
        <v>1050</v>
      </c>
      <c r="B38" s="593">
        <f>AVERAGE(B32,B26,B25,B24)</f>
        <v>5012</v>
      </c>
      <c r="C38" s="593">
        <f t="shared" ref="C38:D38" si="1">AVERAGE(C32,C26,C25,C24)</f>
        <v>1083.3333333333333</v>
      </c>
      <c r="D38" s="593">
        <f t="shared" si="1"/>
        <v>592.5</v>
      </c>
      <c r="E38" s="523" t="s">
        <v>1029</v>
      </c>
      <c r="F38" s="523"/>
      <c r="G38" s="605"/>
    </row>
    <row r="40" spans="1:7">
      <c r="A40" s="23" t="s">
        <v>167</v>
      </c>
      <c r="B40" s="23">
        <v>2050</v>
      </c>
      <c r="F40" s="98" t="s">
        <v>612</v>
      </c>
    </row>
    <row r="41" spans="1:7">
      <c r="A41" t="s">
        <v>1054</v>
      </c>
      <c r="B41">
        <v>634</v>
      </c>
      <c r="F41" s="49">
        <v>70</v>
      </c>
    </row>
    <row r="43" spans="1:7">
      <c r="A43" s="45" t="s">
        <v>1055</v>
      </c>
      <c r="B43" s="51"/>
      <c r="C43" s="51"/>
      <c r="D43" s="51"/>
    </row>
    <row r="44" spans="1:7">
      <c r="A44" s="23" t="s">
        <v>265</v>
      </c>
      <c r="B44" s="23" t="s">
        <v>595</v>
      </c>
      <c r="C44" s="23" t="s">
        <v>116</v>
      </c>
      <c r="D44" s="23" t="s">
        <v>505</v>
      </c>
    </row>
    <row r="45" spans="1:7">
      <c r="A45" t="s">
        <v>1056</v>
      </c>
      <c r="B45" s="499">
        <f>D22+(C22-D22)/3</f>
        <v>342.7128427128427</v>
      </c>
      <c r="C45" t="s">
        <v>1029</v>
      </c>
      <c r="D45" t="s">
        <v>1057</v>
      </c>
    </row>
    <row r="46" spans="1:7">
      <c r="A46" t="s">
        <v>1058</v>
      </c>
      <c r="B46">
        <f>B62</f>
        <v>7008</v>
      </c>
      <c r="C46" t="s">
        <v>1059</v>
      </c>
      <c r="D46" t="s">
        <v>1060</v>
      </c>
    </row>
    <row r="47" spans="1:7">
      <c r="A47" t="s">
        <v>1061</v>
      </c>
      <c r="B47" s="546">
        <f>B45/B46</f>
        <v>4.890308828664993E-2</v>
      </c>
      <c r="C47" t="s">
        <v>1062</v>
      </c>
    </row>
    <row r="48" spans="1:7">
      <c r="A48" t="s">
        <v>1061</v>
      </c>
      <c r="B48" s="546">
        <f>B47/'Unit Conversions'!E6</f>
        <v>13584568.537832664</v>
      </c>
      <c r="C48" t="s">
        <v>1063</v>
      </c>
      <c r="D48" t="s">
        <v>1064</v>
      </c>
    </row>
    <row r="49" spans="1:6">
      <c r="A49" t="s">
        <v>1061</v>
      </c>
      <c r="B49" s="793">
        <f>B48/10^6</f>
        <v>13.584568537832665</v>
      </c>
      <c r="C49" t="s">
        <v>1065</v>
      </c>
      <c r="D49" s="58" t="s">
        <v>1066</v>
      </c>
    </row>
    <row r="51" spans="1:6">
      <c r="A51" t="s">
        <v>1067</v>
      </c>
    </row>
    <row r="52" spans="1:6">
      <c r="A52" t="s">
        <v>1068</v>
      </c>
    </row>
    <row r="53" spans="1:6">
      <c r="A53" t="s">
        <v>1069</v>
      </c>
    </row>
    <row r="54" spans="1:6">
      <c r="A54" t="s">
        <v>1070</v>
      </c>
    </row>
    <row r="56" spans="1:6">
      <c r="A56" s="106" t="s">
        <v>1071</v>
      </c>
      <c r="B56" s="107"/>
      <c r="C56" s="107"/>
      <c r="D56" s="107"/>
      <c r="E56" s="107"/>
      <c r="F56" s="107"/>
    </row>
    <row r="57" spans="1:6">
      <c r="A57" s="538" t="s">
        <v>1072</v>
      </c>
    </row>
    <row r="59" spans="1:6">
      <c r="A59" t="s">
        <v>1073</v>
      </c>
    </row>
    <row r="60" spans="1:6">
      <c r="A60" t="s">
        <v>1074</v>
      </c>
      <c r="B60">
        <v>8760</v>
      </c>
      <c r="C60" s="49" t="s">
        <v>1075</v>
      </c>
    </row>
    <row r="61" spans="1:6">
      <c r="A61" t="s">
        <v>1076</v>
      </c>
      <c r="B61" s="46">
        <v>0.8</v>
      </c>
      <c r="C61" s="49" t="s">
        <v>282</v>
      </c>
    </row>
    <row r="62" spans="1:6">
      <c r="A62" t="s">
        <v>1077</v>
      </c>
      <c r="B62" s="974">
        <f>B60*B61</f>
        <v>7008</v>
      </c>
      <c r="C62" s="49" t="s">
        <v>1059</v>
      </c>
    </row>
    <row r="65" spans="1:8">
      <c r="A65" s="106" t="s">
        <v>1078</v>
      </c>
      <c r="B65" s="107"/>
      <c r="C65" s="107"/>
      <c r="D65" s="107"/>
      <c r="E65" s="107"/>
      <c r="F65" s="107"/>
    </row>
    <row r="66" spans="1:8">
      <c r="A66" t="s">
        <v>1079</v>
      </c>
    </row>
    <row r="67" spans="1:8">
      <c r="A67" t="s">
        <v>1080</v>
      </c>
    </row>
    <row r="69" spans="1:8">
      <c r="A69" s="1124" t="s">
        <v>1081</v>
      </c>
    </row>
    <row r="70" spans="1:8">
      <c r="A70" s="1117" t="s">
        <v>1082</v>
      </c>
      <c r="B70" s="25"/>
      <c r="C70" s="25"/>
      <c r="D70" s="25"/>
      <c r="E70" s="25"/>
    </row>
    <row r="71" spans="1:8">
      <c r="B71" s="1110">
        <v>2022</v>
      </c>
      <c r="C71" s="1110">
        <v>2030</v>
      </c>
      <c r="D71" s="1110">
        <v>2040</v>
      </c>
      <c r="E71" s="1110">
        <v>2050</v>
      </c>
      <c r="F71" s="1123" t="s">
        <v>116</v>
      </c>
      <c r="G71" s="1123" t="s">
        <v>612</v>
      </c>
      <c r="H71" s="23" t="s">
        <v>1083</v>
      </c>
    </row>
    <row r="72" spans="1:8">
      <c r="A72" t="s">
        <v>166</v>
      </c>
      <c r="B72" s="1118" t="s">
        <v>1084</v>
      </c>
      <c r="C72" s="1118" t="s">
        <v>1085</v>
      </c>
      <c r="D72" s="1118" t="s">
        <v>1086</v>
      </c>
      <c r="E72" s="1118" t="s">
        <v>1087</v>
      </c>
      <c r="F72" s="49" t="s">
        <v>1088</v>
      </c>
      <c r="G72" s="49">
        <v>84</v>
      </c>
    </row>
    <row r="73" spans="1:8">
      <c r="A73" t="s">
        <v>166</v>
      </c>
      <c r="B73" s="1119">
        <f>AVERAGE(4.75, 5)</f>
        <v>4.875</v>
      </c>
      <c r="C73" s="1119">
        <f>AVERAGE(2.75, 3)</f>
        <v>2.875</v>
      </c>
      <c r="D73" s="1119">
        <f>AVERAGE(1.75, 2)</f>
        <v>1.875</v>
      </c>
      <c r="E73" s="1119">
        <f>AVERAGE(1.25, 1.5)</f>
        <v>1.375</v>
      </c>
      <c r="F73" s="49" t="s">
        <v>1088</v>
      </c>
    </row>
    <row r="74" spans="1:8">
      <c r="A74" t="s">
        <v>166</v>
      </c>
      <c r="B74" s="1120">
        <f>B73*'Unit Conversions'!$E$11</f>
        <v>5.2759740259740262</v>
      </c>
      <c r="C74" s="1120">
        <f>C73*'Unit Conversions'!$E$11</f>
        <v>3.1114718614718613</v>
      </c>
      <c r="D74" s="1120">
        <f>D73*'Unit Conversions'!$E$11</f>
        <v>2.029220779220779</v>
      </c>
      <c r="E74" s="1120">
        <f>E73*'Unit Conversions'!$E$11</f>
        <v>1.4880952380952381</v>
      </c>
      <c r="F74" s="49" t="s">
        <v>1089</v>
      </c>
    </row>
    <row r="75" spans="1:8">
      <c r="F75" s="49"/>
    </row>
    <row r="76" spans="1:8">
      <c r="A76" t="s">
        <v>166</v>
      </c>
      <c r="B76" s="529">
        <v>10</v>
      </c>
      <c r="C76" s="1120">
        <f>AVERAGE(4, 4.5)</f>
        <v>4.25</v>
      </c>
      <c r="F76" s="49" t="s">
        <v>1089</v>
      </c>
      <c r="G76" s="49">
        <v>85</v>
      </c>
    </row>
    <row r="77" spans="1:8">
      <c r="A77" t="s">
        <v>166</v>
      </c>
      <c r="E77" s="529">
        <v>2.42</v>
      </c>
      <c r="F77" s="49" t="s">
        <v>1089</v>
      </c>
      <c r="G77" s="49">
        <v>86</v>
      </c>
    </row>
    <row r="78" spans="1:8">
      <c r="A78" t="s">
        <v>142</v>
      </c>
      <c r="B78" s="529">
        <v>11</v>
      </c>
      <c r="C78" s="1120">
        <f>AVERAGE(4, 4.5)</f>
        <v>4.25</v>
      </c>
      <c r="F78" s="49" t="s">
        <v>1089</v>
      </c>
      <c r="G78" s="49">
        <v>85</v>
      </c>
    </row>
    <row r="79" spans="1:8">
      <c r="A79" t="s">
        <v>142</v>
      </c>
      <c r="B79" s="529">
        <v>11</v>
      </c>
      <c r="C79" s="529">
        <v>4</v>
      </c>
      <c r="D79" s="942"/>
      <c r="E79" s="529">
        <v>1</v>
      </c>
      <c r="F79" s="49" t="s">
        <v>1089</v>
      </c>
      <c r="G79" s="49">
        <v>87</v>
      </c>
    </row>
    <row r="80" spans="1:8">
      <c r="E80" s="529"/>
      <c r="F80" s="49"/>
      <c r="G80" s="1111"/>
    </row>
    <row r="81" spans="1:8">
      <c r="A81" t="s">
        <v>166</v>
      </c>
      <c r="E81" s="1119">
        <f>AVERAGE(1.25, 1.5)</f>
        <v>1.375</v>
      </c>
      <c r="F81" s="49" t="s">
        <v>1088</v>
      </c>
      <c r="G81" s="49">
        <v>88</v>
      </c>
    </row>
    <row r="82" spans="1:8">
      <c r="A82" t="s">
        <v>166</v>
      </c>
      <c r="E82" s="1119">
        <f>E81*'Unit Conversions'!$E$11</f>
        <v>1.4880952380952381</v>
      </c>
      <c r="F82" s="49" t="s">
        <v>1089</v>
      </c>
    </row>
    <row r="83" spans="1:8">
      <c r="F83" s="49"/>
    </row>
    <row r="84" spans="1:8">
      <c r="A84" t="s">
        <v>166</v>
      </c>
      <c r="B84" s="529">
        <f>9.05-0.31</f>
        <v>8.74</v>
      </c>
      <c r="C84" s="529">
        <f>4.55-0.31</f>
        <v>4.24</v>
      </c>
      <c r="F84" s="49" t="s">
        <v>1089</v>
      </c>
      <c r="G84" s="49">
        <v>47</v>
      </c>
      <c r="H84" t="s">
        <v>1090</v>
      </c>
    </row>
    <row r="85" spans="1:8">
      <c r="A85" t="s">
        <v>142</v>
      </c>
      <c r="B85" s="529">
        <f>11.93-0.31</f>
        <v>11.62</v>
      </c>
      <c r="C85" s="529">
        <v>4.7300000000000004</v>
      </c>
      <c r="F85" s="49" t="s">
        <v>1089</v>
      </c>
      <c r="G85" s="49">
        <v>47</v>
      </c>
      <c r="H85" t="s">
        <v>1091</v>
      </c>
    </row>
    <row r="86" spans="1:8">
      <c r="F86" s="49"/>
    </row>
    <row r="87" spans="1:8">
      <c r="F87" s="49"/>
    </row>
    <row r="88" spans="1:8">
      <c r="A88" t="s">
        <v>1092</v>
      </c>
      <c r="B88" s="1120">
        <f>AVERAGE(2.9, 9.8)</f>
        <v>6.3500000000000005</v>
      </c>
      <c r="C88" s="1120">
        <f>AVERAGE(2.67)</f>
        <v>2.67</v>
      </c>
      <c r="D88" s="529"/>
      <c r="E88" s="1120">
        <f>AVERAGE(2, 5.5)</f>
        <v>3.75</v>
      </c>
      <c r="F88" s="49" t="s">
        <v>1089</v>
      </c>
      <c r="G88" s="49">
        <v>89</v>
      </c>
      <c r="H88" t="s">
        <v>1093</v>
      </c>
    </row>
    <row r="89" spans="1:8">
      <c r="A89" t="s">
        <v>1094</v>
      </c>
      <c r="B89" s="1120">
        <f>AVERAGE(4.1, 12.7)</f>
        <v>8.3999999999999986</v>
      </c>
      <c r="C89" s="1120">
        <f>AVERAGE(3, 9)</f>
        <v>6</v>
      </c>
      <c r="D89" s="529"/>
      <c r="E89" s="1120">
        <f>AVERAGE(2.2, 6.1)</f>
        <v>4.1500000000000004</v>
      </c>
      <c r="F89" s="49" t="s">
        <v>1089</v>
      </c>
      <c r="G89" s="49">
        <v>89</v>
      </c>
      <c r="H89" t="s">
        <v>1093</v>
      </c>
    </row>
    <row r="90" spans="1:8">
      <c r="A90" t="s">
        <v>1095</v>
      </c>
      <c r="B90" s="1120">
        <f>AVERAGE(5, 24.8)</f>
        <v>14.9</v>
      </c>
      <c r="C90" s="1120">
        <f>AVERAGE(2,7, 11.5)</f>
        <v>6.833333333333333</v>
      </c>
      <c r="D90" s="529"/>
      <c r="E90" s="1120">
        <f>AVERAGE(2, 5.4)</f>
        <v>3.7</v>
      </c>
      <c r="F90" s="49" t="s">
        <v>1089</v>
      </c>
      <c r="G90" s="49">
        <v>89</v>
      </c>
      <c r="H90" t="s">
        <v>1093</v>
      </c>
    </row>
    <row r="91" spans="1:8">
      <c r="F91" s="49"/>
    </row>
    <row r="92" spans="1:8">
      <c r="F92" s="49"/>
    </row>
    <row r="93" spans="1:8">
      <c r="F93" s="49"/>
    </row>
    <row r="94" spans="1:8">
      <c r="A94" t="s">
        <v>1096</v>
      </c>
      <c r="B94" s="529">
        <v>8.5299999999999994</v>
      </c>
      <c r="C94" s="529">
        <v>4.0199999999999996</v>
      </c>
      <c r="D94" s="529"/>
      <c r="E94" s="529">
        <v>2.76</v>
      </c>
      <c r="F94" s="49" t="s">
        <v>1089</v>
      </c>
      <c r="G94" s="49">
        <v>89</v>
      </c>
      <c r="H94" t="s">
        <v>1097</v>
      </c>
    </row>
    <row r="95" spans="1:8">
      <c r="A95" t="s">
        <v>1098</v>
      </c>
      <c r="B95" s="529">
        <v>9.5</v>
      </c>
      <c r="C95" s="529">
        <v>4.38</v>
      </c>
      <c r="D95" s="529"/>
      <c r="E95" s="529">
        <v>2.7</v>
      </c>
      <c r="F95" s="49" t="s">
        <v>1089</v>
      </c>
      <c r="G95" s="49">
        <v>89</v>
      </c>
      <c r="H95" t="s">
        <v>1097</v>
      </c>
    </row>
    <row r="96" spans="1:8">
      <c r="A96" t="s">
        <v>1099</v>
      </c>
      <c r="B96" s="529">
        <v>12.85</v>
      </c>
      <c r="C96" s="529">
        <v>6.11</v>
      </c>
      <c r="D96" s="529"/>
      <c r="E96" s="529">
        <v>4.33</v>
      </c>
      <c r="F96" s="49" t="s">
        <v>1089</v>
      </c>
      <c r="G96" s="49">
        <v>89</v>
      </c>
      <c r="H96" t="s">
        <v>1097</v>
      </c>
    </row>
    <row r="97" spans="1:8">
      <c r="A97" t="s">
        <v>1100</v>
      </c>
      <c r="B97" s="529">
        <v>13.28</v>
      </c>
      <c r="C97" s="529">
        <v>6.21</v>
      </c>
      <c r="D97" s="529"/>
      <c r="E97" s="529">
        <v>4.07</v>
      </c>
      <c r="F97" s="49" t="s">
        <v>1089</v>
      </c>
      <c r="G97" s="49">
        <v>89</v>
      </c>
      <c r="H97" t="s">
        <v>1097</v>
      </c>
    </row>
    <row r="98" spans="1:8">
      <c r="B98" s="529"/>
      <c r="C98" s="529"/>
      <c r="D98" s="529"/>
      <c r="E98" s="529"/>
      <c r="F98" s="49"/>
      <c r="G98" s="1111"/>
    </row>
    <row r="99" spans="1:8">
      <c r="A99" t="s">
        <v>1101</v>
      </c>
      <c r="B99" s="529"/>
      <c r="C99" s="1120">
        <f>AVERAGE(1.1, 2)</f>
        <v>1.55</v>
      </c>
      <c r="E99" s="1120">
        <f>AVERAGE(0.7, 1.3)</f>
        <v>1</v>
      </c>
      <c r="F99" s="49" t="s">
        <v>1089</v>
      </c>
      <c r="G99" s="49">
        <v>89</v>
      </c>
      <c r="H99" t="s">
        <v>1102</v>
      </c>
    </row>
    <row r="100" spans="1:8">
      <c r="B100" s="529"/>
      <c r="C100" s="529"/>
      <c r="D100" s="529"/>
      <c r="E100" s="529"/>
      <c r="F100" s="49"/>
      <c r="G100" s="1111"/>
    </row>
    <row r="101" spans="1:8">
      <c r="A101" s="1121" t="s">
        <v>1103</v>
      </c>
      <c r="B101" s="1112">
        <v>2022</v>
      </c>
      <c r="C101" s="1112">
        <v>2030</v>
      </c>
      <c r="D101" s="1112">
        <v>2040</v>
      </c>
      <c r="E101" s="1112">
        <v>2050</v>
      </c>
      <c r="F101" s="1125" t="s">
        <v>116</v>
      </c>
      <c r="G101" s="1111"/>
    </row>
    <row r="102" spans="1:8">
      <c r="A102" s="1113" t="s">
        <v>166</v>
      </c>
      <c r="B102" s="1114">
        <f>AVERAGE(B74, B76, B94,B95)</f>
        <v>8.3264935064935059</v>
      </c>
      <c r="C102" s="1114">
        <f>AVERAGE(C74,C76,C84, C94,C95)</f>
        <v>4.0002943722943716</v>
      </c>
      <c r="D102" s="1114"/>
      <c r="E102" s="1114">
        <f>AVERAGE(E74,E77,E82,E94,E95)</f>
        <v>2.1712380952380954</v>
      </c>
      <c r="F102" s="1126" t="s">
        <v>1089</v>
      </c>
      <c r="G102" s="1111"/>
    </row>
    <row r="103" spans="1:8">
      <c r="A103" s="1115" t="s">
        <v>142</v>
      </c>
      <c r="B103" s="1116">
        <f>AVERAGE(B79, B78, B88:B90,B96:B97)</f>
        <v>11.111428571428572</v>
      </c>
      <c r="C103" s="1116">
        <f>AVERAGE(C79, C78,C85, C88:C90,C96:C97)</f>
        <v>5.1004166666666668</v>
      </c>
      <c r="D103" s="1116"/>
      <c r="E103" s="1116">
        <f>AVERAGE(E79, E88:E90,E96:E97)</f>
        <v>3.5</v>
      </c>
      <c r="F103" s="1127" t="s">
        <v>1089</v>
      </c>
      <c r="G103" s="1111"/>
    </row>
    <row r="104" spans="1:8">
      <c r="G104" s="1111"/>
    </row>
    <row r="106" spans="1:8">
      <c r="A106" s="45" t="s">
        <v>1104</v>
      </c>
    </row>
    <row r="107" spans="1:8">
      <c r="A107" s="538" t="s">
        <v>1105</v>
      </c>
    </row>
    <row r="108" spans="1:8">
      <c r="A108" s="24" t="s">
        <v>265</v>
      </c>
      <c r="B108" s="57" t="s">
        <v>17</v>
      </c>
      <c r="C108" s="57" t="s">
        <v>167</v>
      </c>
      <c r="D108" s="48" t="s">
        <v>116</v>
      </c>
    </row>
    <row r="109" spans="1:8">
      <c r="A109" t="s">
        <v>1106</v>
      </c>
      <c r="B109">
        <v>3.9</v>
      </c>
      <c r="C109">
        <v>7.25</v>
      </c>
      <c r="D109" s="49" t="s">
        <v>1107</v>
      </c>
    </row>
    <row r="110" spans="1:8">
      <c r="A110" t="s">
        <v>1108</v>
      </c>
      <c r="B110">
        <v>2.5</v>
      </c>
      <c r="C110">
        <v>5</v>
      </c>
      <c r="D110" s="49" t="s">
        <v>1107</v>
      </c>
    </row>
    <row r="111" spans="1:8">
      <c r="A111" t="s">
        <v>1109</v>
      </c>
      <c r="B111">
        <v>1.8</v>
      </c>
      <c r="C111">
        <v>3</v>
      </c>
      <c r="D111" s="49" t="s">
        <v>1107</v>
      </c>
    </row>
    <row r="132" spans="1:6">
      <c r="A132" s="23" t="s">
        <v>1110</v>
      </c>
      <c r="B132" s="30" t="s">
        <v>1111</v>
      </c>
      <c r="C132" s="30" t="s">
        <v>1112</v>
      </c>
      <c r="D132" s="30" t="s">
        <v>31</v>
      </c>
    </row>
    <row r="133" spans="1:6">
      <c r="A133" s="23" t="s">
        <v>1113</v>
      </c>
      <c r="B133" s="30" t="s">
        <v>1114</v>
      </c>
      <c r="C133" s="30" t="s">
        <v>1115</v>
      </c>
      <c r="D133" s="30" t="s">
        <v>1116</v>
      </c>
      <c r="F133" s="98" t="s">
        <v>116</v>
      </c>
    </row>
    <row r="134" spans="1:6">
      <c r="A134" t="s">
        <v>17</v>
      </c>
      <c r="B134" s="828">
        <f>B109</f>
        <v>3.9</v>
      </c>
      <c r="C134" s="828">
        <f>B110</f>
        <v>2.5</v>
      </c>
      <c r="D134" s="828">
        <f>B111</f>
        <v>1.8</v>
      </c>
      <c r="F134" s="49" t="s">
        <v>1117</v>
      </c>
    </row>
    <row r="135" spans="1:6">
      <c r="A135" t="s">
        <v>142</v>
      </c>
      <c r="B135" s="828">
        <f>B103</f>
        <v>11.111428571428572</v>
      </c>
      <c r="C135" s="828">
        <f>C103</f>
        <v>5.1004166666666668</v>
      </c>
      <c r="D135" s="828">
        <f>E103</f>
        <v>3.5</v>
      </c>
      <c r="F135" s="49" t="s">
        <v>1117</v>
      </c>
    </row>
    <row r="136" spans="1:6">
      <c r="A136" t="s">
        <v>166</v>
      </c>
      <c r="B136" s="828">
        <f>B102</f>
        <v>8.3264935064935059</v>
      </c>
      <c r="C136" s="828">
        <f>C102</f>
        <v>4.0002943722943716</v>
      </c>
      <c r="D136" s="828">
        <f>E102</f>
        <v>2.1712380952380954</v>
      </c>
      <c r="F136" s="49" t="s">
        <v>1117</v>
      </c>
    </row>
    <row r="137" spans="1:6">
      <c r="A137" t="s">
        <v>167</v>
      </c>
      <c r="B137" s="828">
        <f>C109</f>
        <v>7.25</v>
      </c>
      <c r="C137" s="828">
        <f>C110</f>
        <v>5</v>
      </c>
      <c r="D137" s="828">
        <f>C111</f>
        <v>3</v>
      </c>
      <c r="F137" s="49" t="s">
        <v>1117</v>
      </c>
    </row>
    <row r="139" spans="1:6">
      <c r="A139" t="s">
        <v>1118</v>
      </c>
      <c r="B139" t="str">
        <f>Graphs!H8</f>
        <v>High Improvement</v>
      </c>
    </row>
    <row r="140" spans="1:6">
      <c r="A140" t="s">
        <v>1119</v>
      </c>
      <c r="B140" t="str">
        <f>Graphs!B1</f>
        <v>China</v>
      </c>
    </row>
    <row r="141" spans="1:6">
      <c r="A141" t="s">
        <v>1120</v>
      </c>
      <c r="B141" s="1122" cm="1">
        <f t="array" ref="B141">SUMPRODUCT(B134:D137*(B139=B132:D132)*(B140=A134:A137))</f>
        <v>1.8</v>
      </c>
      <c r="C141" s="49" t="s">
        <v>1107</v>
      </c>
      <c r="D141" s="1131"/>
    </row>
    <row r="143" spans="1:6">
      <c r="A143" t="s">
        <v>1121</v>
      </c>
      <c r="B143">
        <v>120</v>
      </c>
      <c r="C143" s="49" t="s">
        <v>1122</v>
      </c>
      <c r="D143" s="28" t="s">
        <v>1123</v>
      </c>
    </row>
    <row r="145" spans="1:6">
      <c r="A145" t="s">
        <v>1106</v>
      </c>
      <c r="B145" s="824">
        <f>B109/$B$143</f>
        <v>3.2500000000000001E-2</v>
      </c>
      <c r="C145" s="49" t="s">
        <v>1124</v>
      </c>
    </row>
    <row r="146" spans="1:6">
      <c r="A146" t="s">
        <v>1125</v>
      </c>
      <c r="B146" s="824">
        <f>B141/$B$143</f>
        <v>1.5000000000000001E-2</v>
      </c>
      <c r="C146" s="49" t="s">
        <v>1124</v>
      </c>
    </row>
    <row r="147" spans="1:6">
      <c r="B147" s="500"/>
      <c r="C147" s="49"/>
    </row>
    <row r="148" spans="1:6">
      <c r="A148" s="45" t="s">
        <v>1126</v>
      </c>
      <c r="B148" s="51"/>
      <c r="C148" s="51"/>
      <c r="D148" s="51"/>
      <c r="E148" s="51"/>
      <c r="F148" s="51"/>
    </row>
    <row r="149" spans="1:6">
      <c r="A149" s="51" t="s">
        <v>1127</v>
      </c>
      <c r="B149" s="51"/>
      <c r="C149" s="51"/>
      <c r="D149" s="51"/>
      <c r="E149" s="51"/>
      <c r="F149" s="51"/>
    </row>
    <row r="150" spans="1:6">
      <c r="A150" s="51" t="s">
        <v>1128</v>
      </c>
      <c r="B150" s="51"/>
      <c r="C150" s="51"/>
      <c r="D150" s="51"/>
      <c r="E150" s="51"/>
      <c r="F150" s="51"/>
    </row>
    <row r="151" spans="1:6">
      <c r="A151" s="51" t="s">
        <v>1129</v>
      </c>
      <c r="B151" s="51"/>
      <c r="C151" s="51"/>
      <c r="D151" s="51"/>
      <c r="E151" s="51"/>
      <c r="F151" s="51"/>
    </row>
    <row r="153" spans="1:6">
      <c r="A153" s="106" t="s">
        <v>1130</v>
      </c>
      <c r="B153" s="107"/>
      <c r="C153" s="107"/>
      <c r="D153" s="107"/>
      <c r="E153" s="107"/>
      <c r="F153" s="107"/>
    </row>
    <row r="154" spans="1:6">
      <c r="A154" s="58" t="s">
        <v>1131</v>
      </c>
    </row>
    <row r="156" spans="1:6">
      <c r="B156" s="30" t="s">
        <v>17</v>
      </c>
      <c r="C156" s="30" t="s">
        <v>142</v>
      </c>
      <c r="D156" s="30" t="s">
        <v>166</v>
      </c>
      <c r="E156" s="30" t="s">
        <v>167</v>
      </c>
      <c r="F156" s="98" t="s">
        <v>116</v>
      </c>
    </row>
    <row r="157" spans="1:6">
      <c r="A157" t="s">
        <v>1132</v>
      </c>
      <c r="B157" s="27">
        <f>D22+(C22-D22)/3</f>
        <v>342.7128427128427</v>
      </c>
      <c r="C157" s="27">
        <f>D31+(C31-D31)/3</f>
        <v>366.66666666666669</v>
      </c>
      <c r="D157" s="27">
        <f>D37+(C37-D31)/3</f>
        <v>349.78354978354974</v>
      </c>
      <c r="E157">
        <f>B41</f>
        <v>634</v>
      </c>
      <c r="F157" s="49" t="s">
        <v>1029</v>
      </c>
    </row>
    <row r="158" spans="1:6">
      <c r="F158" s="49"/>
    </row>
    <row r="159" spans="1:6">
      <c r="A159" t="s">
        <v>617</v>
      </c>
      <c r="F159" s="49"/>
    </row>
    <row r="160" spans="1:6">
      <c r="A160" t="s">
        <v>618</v>
      </c>
      <c r="F160" s="49"/>
    </row>
    <row r="161" spans="1:8">
      <c r="F161" s="49"/>
    </row>
    <row r="162" spans="1:8">
      <c r="A162" t="s">
        <v>1133</v>
      </c>
      <c r="B162">
        <v>10</v>
      </c>
      <c r="F162" s="49" t="s">
        <v>1134</v>
      </c>
      <c r="G162" s="538" t="s">
        <v>1135</v>
      </c>
      <c r="H162" t="s">
        <v>1136</v>
      </c>
    </row>
    <row r="163" spans="1:8">
      <c r="A163" t="s">
        <v>1137</v>
      </c>
      <c r="B163" s="929" t="str">
        <f>Calculations!B578</f>
        <v>7%</v>
      </c>
      <c r="F163" s="49"/>
    </row>
    <row r="164" spans="1:8">
      <c r="F164" s="49"/>
    </row>
    <row r="165" spans="1:8">
      <c r="A165" t="s">
        <v>1138</v>
      </c>
      <c r="B165" s="501">
        <f>(B157*$B$163)/(1-(1+$B$163)^-$B$162)</f>
        <v>48.79459869805067</v>
      </c>
      <c r="C165" s="501">
        <f t="shared" ref="C165:D165" si="2">(C157*$B$163)/(1-(1+$B$163)^-$B$162)</f>
        <v>52.205084333367068</v>
      </c>
      <c r="D165" s="501">
        <f t="shared" si="2"/>
        <v>49.801308313294662</v>
      </c>
      <c r="E165" s="501">
        <f t="shared" ref="E165" si="3">(E157*$B$163)/(1-(1+$B$163)^-$B$162)</f>
        <v>90.267336729149221</v>
      </c>
      <c r="F165" s="49" t="s">
        <v>1139</v>
      </c>
    </row>
    <row r="166" spans="1:8">
      <c r="A166" t="s">
        <v>1140</v>
      </c>
      <c r="B166">
        <f>B165/$B$46</f>
        <v>6.9626995859090567E-3</v>
      </c>
      <c r="C166">
        <f t="shared" ref="C166:E166" si="4">C165/$B$46</f>
        <v>7.4493556411768073E-3</v>
      </c>
      <c r="D166">
        <f t="shared" si="4"/>
        <v>7.1063510721025491E-3</v>
      </c>
      <c r="E166">
        <f t="shared" si="4"/>
        <v>1.2880613117743895E-2</v>
      </c>
      <c r="F166" s="49" t="s">
        <v>1141</v>
      </c>
    </row>
    <row r="167" spans="1:8">
      <c r="A167" t="s">
        <v>1140</v>
      </c>
      <c r="B167">
        <f>B166/'Unit Conversions'!$E$7</f>
        <v>1.9341369440453429E-3</v>
      </c>
      <c r="C167">
        <f>C166/'Unit Conversions'!$E$7</f>
        <v>2.0693229367659861E-3</v>
      </c>
      <c r="D167">
        <f>D166/'Unit Conversions'!$E$7</f>
        <v>1.9740412431014363E-3</v>
      </c>
      <c r="E167">
        <f>E166/'Unit Conversions'!$E$7</f>
        <v>3.5780474779353684E-3</v>
      </c>
      <c r="F167" s="49" t="s">
        <v>1142</v>
      </c>
    </row>
    <row r="169" spans="1:8">
      <c r="A169" t="s">
        <v>1143</v>
      </c>
      <c r="B169" s="501">
        <f>B167*$B$143/'Other Technical Data'!$B$16</f>
        <v>0.30539004379663309</v>
      </c>
      <c r="C169" s="501">
        <f>C167*$B$143/'Other Technical Data'!$B$16</f>
        <v>0.32673520054199778</v>
      </c>
      <c r="D169" s="501">
        <f>D167*$B$143/'Other Technical Data'!$B$16</f>
        <v>0.31169072259496361</v>
      </c>
      <c r="E169" s="501">
        <f>E167*$B$143/'Other Technical Data'!$B$16</f>
        <v>0.5649548649371634</v>
      </c>
      <c r="F169" s="49" t="s">
        <v>1144</v>
      </c>
      <c r="G169" t="s">
        <v>1145</v>
      </c>
    </row>
    <row r="170" spans="1:8">
      <c r="F170" s="49"/>
    </row>
    <row r="171" spans="1:8">
      <c r="F171" s="49"/>
    </row>
    <row r="172" spans="1:8">
      <c r="E172" s="52" t="s">
        <v>1146</v>
      </c>
    </row>
    <row r="173" spans="1:8" ht="30">
      <c r="A173" s="37" t="s">
        <v>209</v>
      </c>
      <c r="B173" s="30" t="s">
        <v>205</v>
      </c>
      <c r="C173" s="30" t="s">
        <v>1147</v>
      </c>
      <c r="D173" s="101" t="s">
        <v>1148</v>
      </c>
      <c r="E173" s="101" t="s">
        <v>1149</v>
      </c>
    </row>
    <row r="174" spans="1:8">
      <c r="A174" s="1101">
        <v>0</v>
      </c>
      <c r="B174">
        <f>A174/10^3</f>
        <v>0</v>
      </c>
      <c r="C174">
        <f>B174/'Unit Conversions'!$E$7</f>
        <v>0</v>
      </c>
      <c r="D174">
        <f>C174*$B$143/'Other Technical Data'!$B$16</f>
        <v>0</v>
      </c>
      <c r="E174" s="1129">
        <f>D174+INDEX($B$169:$E$169,MATCH($B$140,$B$156:$E$156,0))</f>
        <v>0.30539004379663309</v>
      </c>
    </row>
    <row r="175" spans="1:8">
      <c r="A175" s="1101">
        <v>20</v>
      </c>
      <c r="B175">
        <f>A175/10^3</f>
        <v>0.02</v>
      </c>
      <c r="C175">
        <f>B175/'Unit Conversions'!$E$7</f>
        <v>5.5557098800000006E-3</v>
      </c>
      <c r="D175">
        <f>C175*$B$143/'Other Technical Data'!$B$16</f>
        <v>0.87721734947368435</v>
      </c>
      <c r="E175" s="1129">
        <f t="shared" ref="E175:E179" si="5">D175+INDEX($B$169:$E$169,MATCH($B$140,$B$156:$E$156,0))</f>
        <v>1.1826073932703174</v>
      </c>
    </row>
    <row r="176" spans="1:8">
      <c r="A176" s="1101">
        <v>40</v>
      </c>
      <c r="B176">
        <f t="shared" ref="B176:B179" si="6">A176/10^3</f>
        <v>0.04</v>
      </c>
      <c r="C176">
        <f>B176/'Unit Conversions'!$E$7</f>
        <v>1.1111419760000001E-2</v>
      </c>
      <c r="D176">
        <f>C176*$B$143/'Other Technical Data'!$B$16</f>
        <v>1.7544346989473687</v>
      </c>
      <c r="E176" s="1129">
        <f t="shared" si="5"/>
        <v>2.0598247427440017</v>
      </c>
      <c r="F176" s="49"/>
    </row>
    <row r="177" spans="1:6">
      <c r="A177" s="1101">
        <v>60</v>
      </c>
      <c r="B177">
        <f t="shared" si="6"/>
        <v>0.06</v>
      </c>
      <c r="C177">
        <f>B177/'Unit Conversions'!$E$7</f>
        <v>1.666712964E-2</v>
      </c>
      <c r="D177">
        <f>C177*$B$143/'Other Technical Data'!$B$16</f>
        <v>2.6316520484210528</v>
      </c>
      <c r="E177" s="1129">
        <f t="shared" si="5"/>
        <v>2.9370420922176859</v>
      </c>
      <c r="F177" s="49"/>
    </row>
    <row r="178" spans="1:6">
      <c r="A178" s="1101">
        <v>80</v>
      </c>
      <c r="B178">
        <f t="shared" si="6"/>
        <v>0.08</v>
      </c>
      <c r="C178">
        <f>B178/'Unit Conversions'!$E$7</f>
        <v>2.2222839520000003E-2</v>
      </c>
      <c r="D178">
        <f>C178*$B$143/'Other Technical Data'!$B$16</f>
        <v>3.5088693978947374</v>
      </c>
      <c r="E178" s="1129">
        <f t="shared" si="5"/>
        <v>3.8142594416913704</v>
      </c>
      <c r="F178" s="49"/>
    </row>
    <row r="179" spans="1:6">
      <c r="A179" s="1101">
        <v>100</v>
      </c>
      <c r="B179">
        <f t="shared" si="6"/>
        <v>0.1</v>
      </c>
      <c r="C179">
        <f>B179/'Unit Conversions'!$E$7</f>
        <v>2.7778549400000005E-2</v>
      </c>
      <c r="D179">
        <f>C179*$B$143/'Other Technical Data'!$B$16</f>
        <v>4.386086747368422</v>
      </c>
      <c r="E179" s="1129">
        <f t="shared" si="5"/>
        <v>4.691476791165055</v>
      </c>
      <c r="F179" s="49"/>
    </row>
    <row r="180" spans="1:6">
      <c r="F180" s="49"/>
    </row>
    <row r="181" spans="1:6">
      <c r="F181" s="49"/>
    </row>
    <row r="182" spans="1:6">
      <c r="A182" s="538" t="s">
        <v>1150</v>
      </c>
      <c r="B182" s="539"/>
      <c r="C182" s="539"/>
      <c r="D182" s="539"/>
      <c r="E182" s="539"/>
      <c r="F182" s="539"/>
    </row>
    <row r="183" spans="1:6">
      <c r="A183" s="502" t="s">
        <v>1072</v>
      </c>
    </row>
    <row r="184" spans="1:6">
      <c r="A184" s="23" t="s">
        <v>1151</v>
      </c>
    </row>
    <row r="185" spans="1:6">
      <c r="A185" t="s">
        <v>1152</v>
      </c>
    </row>
    <row r="187" spans="1:6">
      <c r="A187" s="23" t="s">
        <v>1153</v>
      </c>
      <c r="B187" s="99" t="s">
        <v>1154</v>
      </c>
      <c r="C187" s="23" t="s">
        <v>271</v>
      </c>
    </row>
    <row r="188" spans="1:6">
      <c r="A188" s="1093">
        <v>0</v>
      </c>
      <c r="B188" s="1092" cm="1">
        <f t="array" ref="B188">TREND($B$189:$B$190,$A$189:$A$190,A188)</f>
        <v>0.80000000000000027</v>
      </c>
      <c r="C188" t="s">
        <v>1155</v>
      </c>
    </row>
    <row r="189" spans="1:6">
      <c r="A189" s="1093">
        <v>20</v>
      </c>
      <c r="B189" s="1094">
        <v>1.8</v>
      </c>
      <c r="C189" t="s">
        <v>1156</v>
      </c>
    </row>
    <row r="190" spans="1:6">
      <c r="A190" s="1093">
        <v>40</v>
      </c>
      <c r="B190" s="1094">
        <v>2.8</v>
      </c>
      <c r="C190" t="s">
        <v>1156</v>
      </c>
    </row>
    <row r="191" spans="1:6">
      <c r="A191" s="1093">
        <v>60</v>
      </c>
      <c r="B191" s="1094">
        <v>3.8</v>
      </c>
      <c r="C191" t="s">
        <v>1156</v>
      </c>
    </row>
    <row r="192" spans="1:6">
      <c r="A192" s="1093">
        <v>80</v>
      </c>
      <c r="B192" s="1092" cm="1">
        <f t="array" ref="B192">TREND($B$189:$B$190,$A$189:$A$190,A192)</f>
        <v>4.7999999999999989</v>
      </c>
      <c r="C192" t="s">
        <v>1155</v>
      </c>
    </row>
    <row r="193" spans="1:3">
      <c r="A193" s="1093">
        <v>100</v>
      </c>
      <c r="B193" s="1092" cm="1">
        <f t="array" ref="B193">TREND($B$189:$B$190,$A$189:$A$190,A193)</f>
        <v>5.7999999999999989</v>
      </c>
      <c r="C193" t="s">
        <v>1155</v>
      </c>
    </row>
  </sheetData>
  <hyperlinks>
    <hyperlink ref="F12" r:id="rId1" xr:uid="{730927CD-960D-401D-AB1A-C6B1BB496F35}"/>
    <hyperlink ref="F26" r:id="rId2" xr:uid="{8365E3B8-014F-491C-9E90-2EE6352D4737}"/>
    <hyperlink ref="F17" r:id="rId3" xr:uid="{73BFD091-01CF-419C-BA5B-A18C3DA313FC}"/>
    <hyperlink ref="F13" r:id="rId4" xr:uid="{A0FEACBB-E872-4A9E-BF4A-E3AF76AB9154}"/>
    <hyperlink ref="F14" r:id="rId5" xr:uid="{031FB3E7-3077-409D-BBC3-6350E186B482}"/>
    <hyperlink ref="F18" r:id="rId6" xr:uid="{378C45F9-D960-4BDF-82E5-8DC5DB6CFCB1}"/>
    <hyperlink ref="F19" r:id="rId7" xr:uid="{2981FCE3-C7E1-40F0-AABA-B8490443C5C7}"/>
    <hyperlink ref="F31" r:id="rId8" xr:uid="{1BC1CDFA-3350-49E7-AAFF-9871AF894CEF}"/>
    <hyperlink ref="F32" r:id="rId9" xr:uid="{3D0AB408-DB91-4211-828B-1436705A8203}"/>
    <hyperlink ref="D143" r:id="rId10" xr:uid="{CE4069CC-9061-4262-871B-24DD25068B15}"/>
  </hyperlinks>
  <pageMargins left="0.7" right="0.7" top="0.75" bottom="0.75" header="0.3" footer="0.3"/>
  <pageSetup orientation="portrait" r:id="rId11"/>
  <headerFooter>
    <oddFooter>&amp;R_x000D_&amp;1#&amp;"Aptos"&amp;10&amp;K000000 Official Use Only</oddFooter>
  </headerFooter>
  <drawing r:id="rId12"/>
  <legacy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405CF-4B62-44C8-A63E-7D21B4AD651D}">
  <dimension ref="A1:K27"/>
  <sheetViews>
    <sheetView workbookViewId="0"/>
  </sheetViews>
  <sheetFormatPr defaultColWidth="8.85546875" defaultRowHeight="15"/>
  <cols>
    <col min="1" max="1" width="35" customWidth="1"/>
    <col min="2" max="11" width="13.28515625" customWidth="1"/>
  </cols>
  <sheetData>
    <row r="1" spans="1:11">
      <c r="A1" s="538" t="s">
        <v>1157</v>
      </c>
    </row>
    <row r="2" spans="1:11" s="33" customFormat="1" ht="45">
      <c r="A2" s="779" t="s">
        <v>1158</v>
      </c>
      <c r="B2" s="780" t="s">
        <v>1159</v>
      </c>
      <c r="C2" s="780" t="s">
        <v>1160</v>
      </c>
      <c r="D2" s="780" t="s">
        <v>1161</v>
      </c>
      <c r="E2" s="780" t="s">
        <v>1162</v>
      </c>
      <c r="F2" s="780" t="s">
        <v>1163</v>
      </c>
      <c r="G2" s="780" t="s">
        <v>1164</v>
      </c>
      <c r="H2" s="780" t="s">
        <v>1165</v>
      </c>
      <c r="I2" s="780" t="s">
        <v>1166</v>
      </c>
      <c r="J2" s="780" t="s">
        <v>1167</v>
      </c>
      <c r="K2" s="780" t="s">
        <v>1168</v>
      </c>
    </row>
    <row r="3" spans="1:11">
      <c r="A3" s="781" t="s">
        <v>1169</v>
      </c>
      <c r="B3" s="782">
        <v>5.6711966224873446E-5</v>
      </c>
      <c r="C3" s="782">
        <v>1.4986595988547842E-5</v>
      </c>
      <c r="D3" s="782">
        <v>1.5989491110961776E-5</v>
      </c>
      <c r="E3" s="783">
        <v>1.4986595988547842E-5</v>
      </c>
      <c r="F3" s="782">
        <v>9.436004881678272E-6</v>
      </c>
      <c r="G3" s="25">
        <v>0</v>
      </c>
      <c r="H3" s="783">
        <v>9.436004881678272E-6</v>
      </c>
      <c r="I3" s="783">
        <v>9.436004881678272E-6</v>
      </c>
      <c r="J3" s="783">
        <v>9.436004881678272E-6</v>
      </c>
      <c r="K3" s="782">
        <v>2.3984236666442662E-5</v>
      </c>
    </row>
    <row r="4" spans="1:11">
      <c r="A4" s="781" t="s">
        <v>1170</v>
      </c>
      <c r="B4" s="783">
        <v>5.6711966224873446E-5</v>
      </c>
      <c r="C4" s="783">
        <v>1.4986595988547842E-5</v>
      </c>
      <c r="D4" s="783">
        <v>1.5989491110961776E-5</v>
      </c>
      <c r="E4" s="783">
        <v>1.4986595988547842E-5</v>
      </c>
      <c r="F4" s="783">
        <v>9.436004881678272E-6</v>
      </c>
      <c r="G4" s="25">
        <v>0</v>
      </c>
      <c r="H4" s="783">
        <v>9.436004881678272E-6</v>
      </c>
      <c r="I4" s="783">
        <v>9.436004881678272E-6</v>
      </c>
      <c r="J4" s="783">
        <v>9.436004881678272E-6</v>
      </c>
      <c r="K4" s="783">
        <v>2.3984236666442662E-5</v>
      </c>
    </row>
    <row r="5" spans="1:11">
      <c r="A5" s="781" t="s">
        <v>1171</v>
      </c>
      <c r="B5" s="782">
        <v>3.4771933032458345E-5</v>
      </c>
      <c r="C5" s="783">
        <v>3.1780367029653324E-5</v>
      </c>
      <c r="D5" s="782">
        <v>3.1780367029653324E-5</v>
      </c>
      <c r="E5" s="783">
        <v>3.1780367029653324E-5</v>
      </c>
      <c r="F5" s="783">
        <v>3.1780367029653324E-5</v>
      </c>
      <c r="G5" s="25">
        <v>0</v>
      </c>
      <c r="H5" s="783">
        <v>3.1780367029653324E-5</v>
      </c>
      <c r="I5" s="783">
        <v>3.1780367029653324E-5</v>
      </c>
      <c r="J5" s="783">
        <v>3.1780367029653324E-5</v>
      </c>
      <c r="K5" s="783">
        <v>3.1780367029653324E-5</v>
      </c>
    </row>
    <row r="6" spans="1:11">
      <c r="A6" s="781" t="s">
        <v>1172</v>
      </c>
      <c r="B6" s="782">
        <v>1.7204637228083889E-4</v>
      </c>
      <c r="C6" s="782">
        <v>4.5951806950193628E-6</v>
      </c>
      <c r="D6" s="782">
        <v>2.0725243194734525E-5</v>
      </c>
      <c r="E6" s="783">
        <v>4.5951806950193628E-6</v>
      </c>
      <c r="F6" s="783">
        <v>1.2230751723262388E-5</v>
      </c>
      <c r="G6" s="25">
        <v>0</v>
      </c>
      <c r="H6" s="783">
        <v>1.2230751723262388E-5</v>
      </c>
      <c r="I6" s="783">
        <v>1.2230751723262388E-5</v>
      </c>
      <c r="J6" s="783">
        <v>1.2230751723262388E-5</v>
      </c>
      <c r="K6" s="782">
        <v>3.265784625690839E-5</v>
      </c>
    </row>
    <row r="7" spans="1:11">
      <c r="A7" s="781" t="s">
        <v>1173</v>
      </c>
      <c r="B7" s="782">
        <v>4.4520366169683022E-5</v>
      </c>
      <c r="C7" s="783">
        <v>1.8088159747275158E-5</v>
      </c>
      <c r="D7" s="782">
        <v>1.8088159747275158E-5</v>
      </c>
      <c r="E7" s="783">
        <v>1.8088159747275158E-5</v>
      </c>
      <c r="F7" s="783">
        <v>1.8088159747275158E-5</v>
      </c>
      <c r="G7" s="25">
        <v>0</v>
      </c>
      <c r="H7" s="783">
        <v>1.8088159747275158E-5</v>
      </c>
      <c r="I7" s="783">
        <v>1.8088159747275158E-5</v>
      </c>
      <c r="J7" s="783">
        <v>1.8088159747275158E-5</v>
      </c>
      <c r="K7" s="783">
        <v>2.7132239620912736E-5</v>
      </c>
    </row>
    <row r="8" spans="1:11">
      <c r="A8" s="781" t="s">
        <v>1174</v>
      </c>
      <c r="B8" s="782">
        <v>2.9652197760109964E-5</v>
      </c>
      <c r="C8" s="783">
        <v>7.0734511678239686E-5</v>
      </c>
      <c r="D8" s="783">
        <v>7.0734511678239686E-5</v>
      </c>
      <c r="E8" s="783">
        <v>7.0734511678239686E-5</v>
      </c>
      <c r="F8" s="782">
        <v>7.0734511678239686E-5</v>
      </c>
      <c r="G8" s="25">
        <v>0</v>
      </c>
      <c r="H8" s="783">
        <v>7.0734511678239686E-5</v>
      </c>
      <c r="I8" s="783">
        <v>7.0734511678239686E-5</v>
      </c>
      <c r="J8" s="783">
        <v>7.0734511678239686E-5</v>
      </c>
      <c r="K8" s="783">
        <v>7.0734511678239686E-5</v>
      </c>
    </row>
    <row r="9" spans="1:11">
      <c r="A9" s="781" t="s">
        <v>1175</v>
      </c>
      <c r="B9" s="782">
        <v>4.4539618429716232E-5</v>
      </c>
      <c r="C9" s="25">
        <v>0</v>
      </c>
      <c r="D9" s="25">
        <v>0</v>
      </c>
      <c r="E9" s="25">
        <v>0</v>
      </c>
      <c r="F9" s="25">
        <v>0</v>
      </c>
      <c r="G9" s="25">
        <v>0</v>
      </c>
      <c r="H9" s="25">
        <v>0</v>
      </c>
      <c r="I9" s="25">
        <v>0</v>
      </c>
      <c r="J9" s="25">
        <v>0</v>
      </c>
      <c r="K9" s="25">
        <v>0</v>
      </c>
    </row>
    <row r="10" spans="1:11">
      <c r="A10" s="781" t="s">
        <v>1176</v>
      </c>
      <c r="B10" s="782">
        <v>7.0401933942914745E-6</v>
      </c>
      <c r="C10" s="783">
        <v>2.0886792055175448E-5</v>
      </c>
      <c r="D10" s="782">
        <v>2.2284525195577483E-5</v>
      </c>
      <c r="E10" s="783">
        <v>2.0886792055175448E-5</v>
      </c>
      <c r="F10" s="783">
        <v>1.3150943145851209E-5</v>
      </c>
      <c r="G10" s="25">
        <v>0</v>
      </c>
      <c r="H10" s="783">
        <v>1.3150943145851209E-5</v>
      </c>
      <c r="I10" s="783">
        <v>1.3150943145851209E-5</v>
      </c>
      <c r="J10" s="783">
        <v>1.3150943145851209E-5</v>
      </c>
      <c r="K10" s="783">
        <v>3.3426787793366228E-5</v>
      </c>
    </row>
    <row r="12" spans="1:11">
      <c r="A12" s="558" t="s">
        <v>1177</v>
      </c>
    </row>
    <row r="13" spans="1:11">
      <c r="A13" t="s">
        <v>1178</v>
      </c>
    </row>
    <row r="16" spans="1:11">
      <c r="A16" s="784" t="s">
        <v>1179</v>
      </c>
    </row>
    <row r="17" spans="1:11" ht="45">
      <c r="A17" s="23" t="s">
        <v>1180</v>
      </c>
      <c r="B17" s="101" t="s">
        <v>1181</v>
      </c>
      <c r="C17" s="101" t="s">
        <v>1182</v>
      </c>
      <c r="D17" s="101" t="s">
        <v>275</v>
      </c>
      <c r="E17" s="101" t="s">
        <v>1183</v>
      </c>
      <c r="F17" s="101" t="s">
        <v>1184</v>
      </c>
      <c r="G17" s="101" t="s">
        <v>1185</v>
      </c>
      <c r="H17" s="101" t="s">
        <v>1186</v>
      </c>
      <c r="I17" s="101" t="s">
        <v>1187</v>
      </c>
      <c r="J17" s="101" t="s">
        <v>1188</v>
      </c>
      <c r="K17" s="101" t="s">
        <v>1189</v>
      </c>
    </row>
    <row r="18" spans="1:11">
      <c r="A18" s="781" t="s">
        <v>1169</v>
      </c>
      <c r="B18" s="501">
        <f>B3*10^6*'Unit Conversions'!$E$5</f>
        <v>59.834526737935391</v>
      </c>
      <c r="C18" s="501">
        <f>C3*10^6*'Unit Conversions'!$E$5</f>
        <v>15.811757871905844</v>
      </c>
      <c r="D18" s="501">
        <f>D3*10^6*'Unit Conversions'!$E$5</f>
        <v>16.869872393618593</v>
      </c>
      <c r="E18" s="501">
        <f>E3*10^6*'Unit Conversions'!$E$5</f>
        <v>15.811757871905844</v>
      </c>
      <c r="F18" s="501">
        <f>F3*10^6*'Unit Conversions'!$E$5</f>
        <v>9.9555512526814578</v>
      </c>
      <c r="G18" s="501">
        <f>G3*10^6*'Unit Conversions'!$E$5</f>
        <v>0</v>
      </c>
      <c r="H18" s="501">
        <f>H3*10^6*'Unit Conversions'!$E$5</f>
        <v>9.9555512526814578</v>
      </c>
      <c r="I18" s="501">
        <f>I3*10^6*'Unit Conversions'!$E$5</f>
        <v>9.9555512526814578</v>
      </c>
      <c r="J18" s="501">
        <f>J3*10^6*'Unit Conversions'!$E$5</f>
        <v>9.9555512526814578</v>
      </c>
      <c r="K18" s="501">
        <f>K3*10^6*'Unit Conversions'!$E$5</f>
        <v>25.304808590427886</v>
      </c>
    </row>
    <row r="19" spans="1:11">
      <c r="A19" s="781" t="s">
        <v>1170</v>
      </c>
      <c r="B19" s="501">
        <f>B4*10^6*'Unit Conversions'!$E$5</f>
        <v>59.834526737935391</v>
      </c>
      <c r="C19" s="501">
        <f>C4*10^6*'Unit Conversions'!$E$5</f>
        <v>15.811757871905844</v>
      </c>
      <c r="D19" s="501">
        <f>D4*10^6*'Unit Conversions'!$E$5</f>
        <v>16.869872393618593</v>
      </c>
      <c r="E19" s="501">
        <f>E4*10^6*'Unit Conversions'!$E$5</f>
        <v>15.811757871905844</v>
      </c>
      <c r="F19" s="501">
        <f>F4*10^6*'Unit Conversions'!$E$5</f>
        <v>9.9555512526814578</v>
      </c>
      <c r="G19" s="501">
        <f>G4*10^6*'Unit Conversions'!$E$5</f>
        <v>0</v>
      </c>
      <c r="H19" s="501">
        <f>H4*10^6*'Unit Conversions'!$E$5</f>
        <v>9.9555512526814578</v>
      </c>
      <c r="I19" s="501">
        <f>I4*10^6*'Unit Conversions'!$E$5</f>
        <v>9.9555512526814578</v>
      </c>
      <c r="J19" s="501">
        <f>J4*10^6*'Unit Conversions'!$E$5</f>
        <v>9.9555512526814578</v>
      </c>
      <c r="K19" s="501">
        <f>K4*10^6*'Unit Conversions'!$E$5</f>
        <v>25.304808590427886</v>
      </c>
    </row>
    <row r="20" spans="1:11">
      <c r="A20" s="781" t="s">
        <v>1171</v>
      </c>
      <c r="B20" s="501">
        <f>B5*10^6*'Unit Conversions'!$E$5</f>
        <v>36.686475452297195</v>
      </c>
      <c r="C20" s="501">
        <f>C5*10^6*'Unit Conversions'!$E$5</f>
        <v>33.530193843696793</v>
      </c>
      <c r="D20" s="501">
        <f>D5*10^6*'Unit Conversions'!$E$5</f>
        <v>33.530193843696793</v>
      </c>
      <c r="E20" s="501">
        <f>E5*10^6*'Unit Conversions'!$E$5</f>
        <v>33.530193843696793</v>
      </c>
      <c r="F20" s="501">
        <f>F5*10^6*'Unit Conversions'!$E$5</f>
        <v>33.530193843696793</v>
      </c>
      <c r="G20" s="501">
        <f>G5*10^6*'Unit Conversions'!$E$5</f>
        <v>0</v>
      </c>
      <c r="H20" s="501">
        <f>H5*10^6*'Unit Conversions'!$E$5</f>
        <v>33.530193843696793</v>
      </c>
      <c r="I20" s="501">
        <f>I5*10^6*'Unit Conversions'!$E$5</f>
        <v>33.530193843696793</v>
      </c>
      <c r="J20" s="501">
        <f>J5*10^6*'Unit Conversions'!$E$5</f>
        <v>33.530193843696793</v>
      </c>
      <c r="K20" s="501">
        <f>K5*10^6*'Unit Conversions'!$E$5</f>
        <v>33.530193843696793</v>
      </c>
    </row>
    <row r="21" spans="1:11">
      <c r="A21" s="781" t="s">
        <v>1172</v>
      </c>
      <c r="B21" s="501">
        <f>B6*10^6*'Unit Conversions'!$E$5</f>
        <v>181.51924448508419</v>
      </c>
      <c r="C21" s="501">
        <f>C6*10^6*'Unit Conversions'!$E$5</f>
        <v>4.8481913159482266</v>
      </c>
      <c r="D21" s="501">
        <f>D6*10^6*'Unit Conversions'!$E$5</f>
        <v>21.866374958124165</v>
      </c>
      <c r="E21" s="501">
        <f>E6*10^6*'Unit Conversions'!$E$5</f>
        <v>4.8481913159482266</v>
      </c>
      <c r="F21" s="501">
        <f>F6*10^6*'Unit Conversions'!$E$5</f>
        <v>12.904176838249374</v>
      </c>
      <c r="G21" s="501">
        <f>G6*10^6*'Unit Conversions'!$E$5</f>
        <v>0</v>
      </c>
      <c r="H21" s="501">
        <f>H6*10^6*'Unit Conversions'!$E$5</f>
        <v>12.904176838249374</v>
      </c>
      <c r="I21" s="501">
        <f>I6*10^6*'Unit Conversions'!$E$5</f>
        <v>12.904176838249374</v>
      </c>
      <c r="J21" s="501">
        <f>J6*10^6*'Unit Conversions'!$E$5</f>
        <v>12.904176838249374</v>
      </c>
      <c r="K21" s="501">
        <f>K6*10^6*'Unit Conversions'!$E$5</f>
        <v>34.455987071831217</v>
      </c>
    </row>
    <row r="22" spans="1:11">
      <c r="A22" s="781" t="s">
        <v>1173</v>
      </c>
      <c r="B22" s="501">
        <f>B7*10^6*'Unit Conversions'!$E$5</f>
        <v>46.971657258362271</v>
      </c>
      <c r="C22" s="501">
        <f>C7*10^6*'Unit Conversions'!$E$5</f>
        <v>19.084093712196051</v>
      </c>
      <c r="D22" s="501">
        <f>D7*10^6*'Unit Conversions'!$E$5</f>
        <v>19.084093712196051</v>
      </c>
      <c r="E22" s="501">
        <f>E7*10^6*'Unit Conversions'!$E$5</f>
        <v>19.084093712196051</v>
      </c>
      <c r="F22" s="501">
        <f>F7*10^6*'Unit Conversions'!$E$5</f>
        <v>19.084093712196051</v>
      </c>
      <c r="G22" s="501">
        <f>G7*10^6*'Unit Conversions'!$E$5</f>
        <v>0</v>
      </c>
      <c r="H22" s="501">
        <f>H7*10^6*'Unit Conversions'!$E$5</f>
        <v>19.084093712196051</v>
      </c>
      <c r="I22" s="501">
        <f>I7*10^6*'Unit Conversions'!$E$5</f>
        <v>19.084093712196051</v>
      </c>
      <c r="J22" s="501">
        <f>J7*10^6*'Unit Conversions'!$E$5</f>
        <v>19.084093712196051</v>
      </c>
      <c r="K22" s="501">
        <f>K7*10^6*'Unit Conversions'!$E$5</f>
        <v>28.626140568294069</v>
      </c>
    </row>
    <row r="23" spans="1:11">
      <c r="A23" s="781" t="s">
        <v>1174</v>
      </c>
      <c r="B23" s="501">
        <f>B8*10^6</f>
        <v>29.652197760109964</v>
      </c>
      <c r="C23" s="501">
        <f>C8*10^6*'Unit Conversions'!$E$5</f>
        <v>74.629153458095956</v>
      </c>
      <c r="D23" s="501">
        <f>D8*10^6*'Unit Conversions'!$E$5</f>
        <v>74.629153458095956</v>
      </c>
      <c r="E23" s="501">
        <f>E8*10^6*'Unit Conversions'!$E$5</f>
        <v>74.629153458095956</v>
      </c>
      <c r="F23" s="501">
        <f>F8*10^6*'Unit Conversions'!$E$5</f>
        <v>74.629153458095956</v>
      </c>
      <c r="G23" s="501">
        <f>G8*10^6*'Unit Conversions'!$E$5</f>
        <v>0</v>
      </c>
      <c r="H23" s="501">
        <f>H8*10^6*'Unit Conversions'!$E$5</f>
        <v>74.629153458095956</v>
      </c>
      <c r="I23" s="501">
        <f>I8*10^6*'Unit Conversions'!$E$5</f>
        <v>74.629153458095956</v>
      </c>
      <c r="J23" s="501">
        <f>J8*10^6*'Unit Conversions'!$E$5</f>
        <v>74.629153458095956</v>
      </c>
      <c r="K23" s="501">
        <f>K8*10^6*'Unit Conversions'!$E$5</f>
        <v>74.629153458095956</v>
      </c>
    </row>
    <row r="24" spans="1:11">
      <c r="A24" s="781" t="s">
        <v>1175</v>
      </c>
      <c r="B24" s="501">
        <f>B9*10^6*'Unit Conversions'!$E$5</f>
        <v>46.991969547715023</v>
      </c>
      <c r="C24" s="501">
        <f>C9*10^6*'Unit Conversions'!$E$5</f>
        <v>0</v>
      </c>
      <c r="D24" s="501">
        <f>D9*10^6*'Unit Conversions'!$E$5</f>
        <v>0</v>
      </c>
      <c r="E24" s="501">
        <f>E9*10^6*'Unit Conversions'!$E$5</f>
        <v>0</v>
      </c>
      <c r="F24" s="501">
        <f>F9*10^6*'Unit Conversions'!$E$5</f>
        <v>0</v>
      </c>
      <c r="G24" s="501">
        <f>G9*10^6*'Unit Conversions'!$E$5</f>
        <v>0</v>
      </c>
      <c r="H24" s="501">
        <f>H9*10^6*'Unit Conversions'!$E$5</f>
        <v>0</v>
      </c>
      <c r="I24" s="501">
        <f>I9*10^6*'Unit Conversions'!$E$5</f>
        <v>0</v>
      </c>
      <c r="J24" s="501">
        <f>J9*10^6*'Unit Conversions'!$E$5</f>
        <v>0</v>
      </c>
      <c r="K24" s="501">
        <f>K9*10^6*'Unit Conversions'!$E$5</f>
        <v>0</v>
      </c>
    </row>
    <row r="25" spans="1:11">
      <c r="A25" s="781" t="s">
        <v>1176</v>
      </c>
      <c r="B25" s="501">
        <f>B10*10^6*'Unit Conversions'!$E$5</f>
        <v>7.4278263994700584</v>
      </c>
      <c r="C25" s="501">
        <f>C10*10^6*'Unit Conversions'!$E$5</f>
        <v>22.036818697831713</v>
      </c>
      <c r="D25" s="501">
        <f>D10*10^6*'Unit Conversions'!$E$5</f>
        <v>23.511511016385171</v>
      </c>
      <c r="E25" s="501">
        <f>E10*10^6*'Unit Conversions'!$E$5</f>
        <v>22.036818697831713</v>
      </c>
      <c r="F25" s="501">
        <f>F10*10^6*'Unit Conversions'!$E$5</f>
        <v>13.875033994931078</v>
      </c>
      <c r="G25" s="501">
        <f>G10*10^6*'Unit Conversions'!$E$5</f>
        <v>0</v>
      </c>
      <c r="H25" s="501">
        <f>H10*10^6*'Unit Conversions'!$E$5</f>
        <v>13.875033994931078</v>
      </c>
      <c r="I25" s="501">
        <f>I10*10^6*'Unit Conversions'!$E$5</f>
        <v>13.875033994931078</v>
      </c>
      <c r="J25" s="501">
        <f>J10*10^6*'Unit Conversions'!$E$5</f>
        <v>13.875033994931078</v>
      </c>
      <c r="K25" s="501">
        <f>K10*10^6*'Unit Conversions'!$E$5</f>
        <v>35.267266524577757</v>
      </c>
    </row>
    <row r="27" spans="1:11">
      <c r="A27" s="962" t="s">
        <v>349</v>
      </c>
    </row>
  </sheetData>
  <pageMargins left="0.7" right="0.7" top="0.75" bottom="0.75" header="0.3" footer="0.3"/>
  <headerFooter>
    <oddFooter>&amp;R_x000D_&amp;1#&amp;"Aptos"&amp;10&amp;K000000 Official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74AF6-E8D4-44C4-8522-21B4D1AA18F6}">
  <dimension ref="A1:J7"/>
  <sheetViews>
    <sheetView workbookViewId="0">
      <selection activeCell="J3" sqref="A3:J3"/>
    </sheetView>
  </sheetViews>
  <sheetFormatPr defaultRowHeight="15"/>
  <cols>
    <col min="1" max="1" width="23.42578125" customWidth="1"/>
    <col min="2" max="2" width="24.28515625" customWidth="1"/>
    <col min="3" max="3" width="11.85546875" customWidth="1"/>
    <col min="5" max="5" width="20.140625" customWidth="1"/>
    <col min="6" max="6" width="29.140625" customWidth="1"/>
  </cols>
  <sheetData>
    <row r="1" spans="1:10">
      <c r="A1" s="538" t="s">
        <v>1190</v>
      </c>
    </row>
    <row r="3" spans="1:10">
      <c r="A3" t="s">
        <v>1191</v>
      </c>
      <c r="B3" t="s">
        <v>1192</v>
      </c>
      <c r="C3" t="s">
        <v>1193</v>
      </c>
      <c r="D3" t="s">
        <v>1194</v>
      </c>
      <c r="E3" t="s">
        <v>1195</v>
      </c>
      <c r="F3" s="558" t="s">
        <v>1196</v>
      </c>
      <c r="G3">
        <v>2020</v>
      </c>
      <c r="H3">
        <v>2021</v>
      </c>
      <c r="I3">
        <v>2022</v>
      </c>
      <c r="J3">
        <v>2023</v>
      </c>
    </row>
    <row r="4" spans="1:10">
      <c r="A4" t="s">
        <v>1197</v>
      </c>
      <c r="B4" t="s">
        <v>1198</v>
      </c>
      <c r="C4" t="s">
        <v>1199</v>
      </c>
      <c r="D4" t="s">
        <v>1200</v>
      </c>
      <c r="E4" t="s">
        <v>1201</v>
      </c>
      <c r="F4" s="558" t="s">
        <v>1202</v>
      </c>
      <c r="G4">
        <v>1100000</v>
      </c>
      <c r="H4">
        <v>1090000</v>
      </c>
      <c r="I4">
        <v>979000</v>
      </c>
      <c r="J4">
        <v>929000</v>
      </c>
    </row>
    <row r="5" spans="1:10">
      <c r="A5" t="s">
        <v>1197</v>
      </c>
      <c r="B5" t="s">
        <v>1198</v>
      </c>
      <c r="C5" t="s">
        <v>1203</v>
      </c>
      <c r="D5" t="s">
        <v>1200</v>
      </c>
      <c r="E5" t="s">
        <v>1201</v>
      </c>
      <c r="F5" s="558" t="s">
        <v>1202</v>
      </c>
      <c r="G5">
        <v>28600</v>
      </c>
      <c r="H5">
        <v>29600</v>
      </c>
      <c r="I5">
        <v>29200</v>
      </c>
      <c r="J5">
        <v>28200</v>
      </c>
    </row>
    <row r="6" spans="1:10">
      <c r="A6" t="s">
        <v>1197</v>
      </c>
      <c r="B6" t="s">
        <v>1198</v>
      </c>
      <c r="C6" t="s">
        <v>1204</v>
      </c>
      <c r="D6" t="s">
        <v>1200</v>
      </c>
      <c r="E6" t="s">
        <v>1201</v>
      </c>
      <c r="F6" s="558" t="s">
        <v>1202</v>
      </c>
      <c r="G6">
        <v>62900</v>
      </c>
      <c r="H6">
        <v>63700</v>
      </c>
      <c r="I6">
        <v>66400</v>
      </c>
      <c r="J6">
        <v>63700</v>
      </c>
    </row>
    <row r="7" spans="1:10">
      <c r="A7" t="s">
        <v>1197</v>
      </c>
      <c r="B7" t="s">
        <v>1198</v>
      </c>
      <c r="C7" t="s">
        <v>1205</v>
      </c>
      <c r="D7" t="s">
        <v>1200</v>
      </c>
      <c r="E7" t="s">
        <v>1201</v>
      </c>
      <c r="F7" s="558" t="s">
        <v>1202</v>
      </c>
      <c r="G7">
        <v>66800</v>
      </c>
      <c r="H7">
        <v>69000</v>
      </c>
      <c r="I7">
        <v>65300</v>
      </c>
      <c r="J7">
        <v>59800</v>
      </c>
    </row>
  </sheetData>
  <pageMargins left="0.7" right="0.7" top="0.75" bottom="0.75" header="0.3" footer="0.3"/>
  <headerFooter>
    <oddFooter>&amp;R_x000D_&amp;1#&amp;"Aptos"&amp;10&amp;K000000 Official Use Only</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54DDB-C021-466D-90A8-BBE518E053FA}">
  <sheetPr>
    <tabColor theme="5" tint="-0.249977111117893"/>
  </sheetPr>
  <dimension ref="A1:I103"/>
  <sheetViews>
    <sheetView zoomScale="175" zoomScaleNormal="175" workbookViewId="0">
      <selection activeCell="K28" sqref="K28"/>
    </sheetView>
  </sheetViews>
  <sheetFormatPr defaultRowHeight="15"/>
  <cols>
    <col min="1" max="1" width="28" customWidth="1"/>
    <col min="2" max="2" width="16.5703125" customWidth="1"/>
    <col min="3" max="3" width="17.42578125" customWidth="1"/>
    <col min="4" max="5" width="10" bestFit="1" customWidth="1"/>
    <col min="7" max="7" width="16" customWidth="1"/>
    <col min="8" max="8" width="18.42578125" customWidth="1"/>
    <col min="9" max="9" width="17" customWidth="1"/>
  </cols>
  <sheetData>
    <row r="1" spans="1:9" ht="15.75">
      <c r="A1" s="575" t="s">
        <v>1206</v>
      </c>
      <c r="B1" s="575"/>
    </row>
    <row r="2" spans="1:9" ht="15.75">
      <c r="A2" s="575" t="s">
        <v>163</v>
      </c>
      <c r="B2" s="23" t="s">
        <v>17</v>
      </c>
    </row>
    <row r="3" spans="1:9" ht="15.75">
      <c r="A3" s="575" t="s">
        <v>1207</v>
      </c>
      <c r="B3" s="23" t="s">
        <v>1208</v>
      </c>
    </row>
    <row r="5" spans="1:9">
      <c r="A5" s="700" t="s">
        <v>1209</v>
      </c>
      <c r="B5" s="521"/>
      <c r="C5" s="521"/>
      <c r="D5" s="521"/>
      <c r="E5" s="639"/>
    </row>
    <row r="6" spans="1:9">
      <c r="A6" s="645" t="s">
        <v>1210</v>
      </c>
      <c r="E6" s="595"/>
    </row>
    <row r="7" spans="1:9">
      <c r="A7" s="22"/>
      <c r="B7">
        <v>2020</v>
      </c>
      <c r="C7">
        <v>2030</v>
      </c>
      <c r="D7">
        <v>2040</v>
      </c>
      <c r="E7" s="595">
        <v>2050</v>
      </c>
    </row>
    <row r="8" spans="1:9">
      <c r="A8" s="22" t="s">
        <v>40</v>
      </c>
      <c r="B8" s="591">
        <v>1057.5833333333333</v>
      </c>
      <c r="C8" s="591">
        <v>829</v>
      </c>
      <c r="D8" s="591">
        <v>276.33333333333331</v>
      </c>
      <c r="E8" s="592">
        <v>0</v>
      </c>
    </row>
    <row r="9" spans="1:9">
      <c r="A9" s="22" t="s">
        <v>1211</v>
      </c>
      <c r="B9" s="591">
        <v>10.58</v>
      </c>
      <c r="C9" s="591">
        <v>11.24</v>
      </c>
      <c r="D9" s="591">
        <v>10.44</v>
      </c>
      <c r="E9" s="592">
        <v>0</v>
      </c>
    </row>
    <row r="10" spans="1:9">
      <c r="A10" s="22" t="s">
        <v>44</v>
      </c>
      <c r="B10" s="591">
        <v>110</v>
      </c>
      <c r="C10" s="591">
        <v>160.79</v>
      </c>
      <c r="D10" s="591">
        <v>224.94</v>
      </c>
      <c r="E10" s="592">
        <v>0</v>
      </c>
    </row>
    <row r="11" spans="1:9">
      <c r="A11" s="22" t="s">
        <v>367</v>
      </c>
      <c r="B11" s="591">
        <v>380</v>
      </c>
      <c r="C11" s="591">
        <v>410.21</v>
      </c>
      <c r="D11" s="591">
        <v>443.87</v>
      </c>
      <c r="E11" s="592">
        <v>501.03</v>
      </c>
      <c r="G11" s="499"/>
    </row>
    <row r="12" spans="1:9">
      <c r="A12" s="22" t="s">
        <v>366</v>
      </c>
      <c r="B12" s="591">
        <v>58</v>
      </c>
      <c r="C12" s="591">
        <v>99.54</v>
      </c>
      <c r="D12" s="591">
        <v>155.04</v>
      </c>
      <c r="E12" s="592">
        <v>221.2</v>
      </c>
    </row>
    <row r="13" spans="1:9">
      <c r="A13" s="22" t="s">
        <v>368</v>
      </c>
      <c r="B13" s="591">
        <v>281.5</v>
      </c>
      <c r="C13" s="591">
        <v>928.04522651261505</v>
      </c>
      <c r="D13" s="591">
        <v>1432.9649681757503</v>
      </c>
      <c r="E13" s="592">
        <v>2055.0493482785396</v>
      </c>
      <c r="F13" s="498"/>
      <c r="G13" s="498"/>
    </row>
    <row r="14" spans="1:9">
      <c r="A14" s="22" t="s">
        <v>369</v>
      </c>
      <c r="B14" s="591">
        <v>244.70738726999997</v>
      </c>
      <c r="C14" s="591">
        <v>1540.991351452956</v>
      </c>
      <c r="D14" s="591">
        <v>3395.040673238781</v>
      </c>
      <c r="E14" s="592">
        <v>4896.6038985580544</v>
      </c>
      <c r="F14" s="498"/>
    </row>
    <row r="15" spans="1:9">
      <c r="A15" s="22" t="s">
        <v>1212</v>
      </c>
      <c r="B15" s="591">
        <v>0.30000000000000004</v>
      </c>
      <c r="C15" s="591">
        <v>0.37</v>
      </c>
      <c r="D15" s="591">
        <v>0.46</v>
      </c>
      <c r="E15" s="592">
        <v>0.56000000000000005</v>
      </c>
    </row>
    <row r="16" spans="1:9">
      <c r="A16" s="22" t="s">
        <v>1213</v>
      </c>
      <c r="B16" s="591">
        <v>40</v>
      </c>
      <c r="C16" s="591">
        <v>60</v>
      </c>
      <c r="D16" s="591">
        <v>60</v>
      </c>
      <c r="E16" s="592">
        <v>60</v>
      </c>
      <c r="G16" s="50"/>
      <c r="H16" s="50"/>
      <c r="I16" s="50"/>
    </row>
    <row r="17" spans="1:5">
      <c r="A17" s="22" t="s">
        <v>1214</v>
      </c>
      <c r="B17" s="591">
        <v>0</v>
      </c>
      <c r="C17" s="591">
        <v>4.138685846588336</v>
      </c>
      <c r="D17" s="591">
        <v>368.38882979284244</v>
      </c>
      <c r="E17" s="592">
        <v>1150.3056763944721</v>
      </c>
    </row>
    <row r="18" spans="1:5">
      <c r="A18" s="22"/>
      <c r="E18" s="595"/>
    </row>
    <row r="19" spans="1:5">
      <c r="A19" s="645" t="s">
        <v>1215</v>
      </c>
      <c r="E19" s="595"/>
    </row>
    <row r="20" spans="1:5">
      <c r="A20" s="22"/>
      <c r="B20">
        <v>2020</v>
      </c>
      <c r="C20">
        <v>2030</v>
      </c>
      <c r="D20">
        <v>2040</v>
      </c>
      <c r="E20" s="595">
        <v>2050</v>
      </c>
    </row>
    <row r="21" spans="1:5">
      <c r="A21" s="22" t="s">
        <v>40</v>
      </c>
      <c r="B21" s="600">
        <v>0.41164832357063058</v>
      </c>
      <c r="C21" s="600">
        <v>0.46298505425317549</v>
      </c>
      <c r="D21" s="600">
        <v>0.297473591272369</v>
      </c>
      <c r="E21" s="680"/>
    </row>
    <row r="22" spans="1:5">
      <c r="A22" s="22" t="s">
        <v>1211</v>
      </c>
      <c r="B22" s="600">
        <v>0</v>
      </c>
      <c r="C22" s="600">
        <v>6.9734217370201315E-2</v>
      </c>
      <c r="D22" s="600">
        <v>7.5264204392463299E-2</v>
      </c>
      <c r="E22" s="680"/>
    </row>
    <row r="23" spans="1:5">
      <c r="A23" s="22" t="s">
        <v>44</v>
      </c>
      <c r="B23" s="600">
        <v>0.35256608390008987</v>
      </c>
      <c r="C23" s="600">
        <v>0.42566336423046669</v>
      </c>
      <c r="D23" s="600">
        <v>0.41205848010123319</v>
      </c>
      <c r="E23" s="680"/>
    </row>
    <row r="24" spans="1:5">
      <c r="A24" s="22" t="s">
        <v>367</v>
      </c>
      <c r="B24" s="600">
        <v>0.45685846457320128</v>
      </c>
      <c r="C24" s="600">
        <v>0.46198732630045175</v>
      </c>
      <c r="D24" s="600">
        <v>0.46299091469781395</v>
      </c>
      <c r="E24" s="680">
        <v>0.46026022061886929</v>
      </c>
    </row>
    <row r="25" spans="1:5">
      <c r="A25" s="22" t="s">
        <v>366</v>
      </c>
      <c r="B25" s="600">
        <v>0.84531328807214368</v>
      </c>
      <c r="C25" s="600">
        <v>0.85132672846093416</v>
      </c>
      <c r="D25" s="600">
        <v>0.85678799961401586</v>
      </c>
      <c r="E25" s="680">
        <v>0.85677768939556087</v>
      </c>
    </row>
    <row r="26" spans="1:5">
      <c r="A26" s="22" t="s">
        <v>368</v>
      </c>
      <c r="B26" s="600">
        <v>0.26268110426841818</v>
      </c>
      <c r="C26" s="600">
        <v>0.26664267643580053</v>
      </c>
      <c r="D26" s="600">
        <v>0.27035542645432159</v>
      </c>
      <c r="E26" s="680">
        <v>0.27218795729832068</v>
      </c>
    </row>
    <row r="27" spans="1:5">
      <c r="A27" s="22" t="s">
        <v>369</v>
      </c>
      <c r="B27" s="600">
        <v>0.14592220635345388</v>
      </c>
      <c r="C27" s="600">
        <v>0.15056838634287115</v>
      </c>
      <c r="D27" s="600">
        <v>0.15331192785538308</v>
      </c>
      <c r="E27" s="680">
        <v>9.7199724016265324E-2</v>
      </c>
    </row>
    <row r="28" spans="1:5">
      <c r="A28" s="22"/>
      <c r="E28" s="595"/>
    </row>
    <row r="29" spans="1:5">
      <c r="A29" s="645" t="s">
        <v>1216</v>
      </c>
      <c r="E29" s="595"/>
    </row>
    <row r="30" spans="1:5">
      <c r="A30" s="22"/>
      <c r="B30">
        <v>2020</v>
      </c>
      <c r="C30">
        <v>2030</v>
      </c>
      <c r="D30">
        <v>2040</v>
      </c>
      <c r="E30" s="595">
        <v>2050</v>
      </c>
    </row>
    <row r="31" spans="1:5">
      <c r="A31" s="22" t="s">
        <v>40</v>
      </c>
      <c r="B31" s="591">
        <v>3813.687078337457</v>
      </c>
      <c r="C31" s="591">
        <v>3362.2159833887304</v>
      </c>
      <c r="D31" s="591">
        <v>720.08837292119813</v>
      </c>
      <c r="E31" s="592">
        <v>0</v>
      </c>
    </row>
    <row r="32" spans="1:5">
      <c r="A32" s="22" t="s">
        <v>1211</v>
      </c>
      <c r="B32" s="591">
        <v>0</v>
      </c>
      <c r="C32" s="591">
        <v>6.8661984043917101</v>
      </c>
      <c r="D32" s="591">
        <v>6.8832426541900951</v>
      </c>
      <c r="E32" s="592">
        <v>0</v>
      </c>
    </row>
    <row r="33" spans="1:7">
      <c r="A33" s="22" t="s">
        <v>44</v>
      </c>
      <c r="B33" s="591">
        <v>339.73267844612661</v>
      </c>
      <c r="C33" s="591">
        <v>599.55553205124261</v>
      </c>
      <c r="D33" s="591">
        <v>811.9506863423893</v>
      </c>
      <c r="E33" s="592">
        <v>0</v>
      </c>
    </row>
    <row r="34" spans="1:7">
      <c r="A34" s="22" t="s">
        <v>367</v>
      </c>
      <c r="B34" s="591">
        <v>1520.7904568712725</v>
      </c>
      <c r="C34" s="591">
        <v>1660.1235530261647</v>
      </c>
      <c r="D34" s="591">
        <v>1800.2481292086077</v>
      </c>
      <c r="E34" s="592">
        <v>2020.0926022292472</v>
      </c>
    </row>
    <row r="35" spans="1:7">
      <c r="A35" s="22" t="s">
        <v>366</v>
      </c>
      <c r="B35" s="591">
        <v>429.48677540369476</v>
      </c>
      <c r="C35" s="591">
        <v>742.33170794677221</v>
      </c>
      <c r="D35" s="591">
        <v>1163.6469643909754</v>
      </c>
      <c r="E35" s="592">
        <v>1660.188410074051</v>
      </c>
    </row>
    <row r="36" spans="1:7">
      <c r="A36" s="22" t="s">
        <v>368</v>
      </c>
      <c r="B36" s="591">
        <v>647.75584225966315</v>
      </c>
      <c r="C36" s="591">
        <v>2167.7186163249416</v>
      </c>
      <c r="D36" s="591">
        <v>3393.7103303716635</v>
      </c>
      <c r="E36" s="592">
        <v>4899.9908340753846</v>
      </c>
    </row>
    <row r="37" spans="1:7">
      <c r="A37" s="22" t="s">
        <v>369</v>
      </c>
      <c r="B37" s="591">
        <v>312.80419870610484</v>
      </c>
      <c r="C37" s="591">
        <v>2032.5353309317443</v>
      </c>
      <c r="D37" s="591">
        <v>4559.5820214722753</v>
      </c>
      <c r="E37" s="592">
        <v>4169.3092765976708</v>
      </c>
    </row>
    <row r="38" spans="1:7">
      <c r="A38" s="31" t="s">
        <v>1212</v>
      </c>
      <c r="B38" s="593">
        <v>0.31656137325013756</v>
      </c>
      <c r="C38" s="593">
        <v>0.39320312740097979</v>
      </c>
      <c r="D38" s="593">
        <v>0.49198309156236203</v>
      </c>
      <c r="E38" s="594">
        <v>0.59892873021658677</v>
      </c>
    </row>
    <row r="40" spans="1:7">
      <c r="A40" s="700" t="s">
        <v>1217</v>
      </c>
      <c r="B40" s="521"/>
      <c r="C40" s="521"/>
      <c r="D40" s="521"/>
      <c r="E40" s="521"/>
      <c r="F40" s="639"/>
    </row>
    <row r="41" spans="1:7">
      <c r="A41" s="22"/>
      <c r="B41">
        <v>2023</v>
      </c>
      <c r="C41">
        <v>2030</v>
      </c>
      <c r="D41">
        <v>2040</v>
      </c>
      <c r="E41">
        <v>2050</v>
      </c>
      <c r="F41" s="595" t="s">
        <v>116</v>
      </c>
    </row>
    <row r="42" spans="1:7">
      <c r="A42" s="22" t="s">
        <v>40</v>
      </c>
      <c r="B42" s="591">
        <v>4169</v>
      </c>
      <c r="C42" s="591">
        <f>B42</f>
        <v>4169</v>
      </c>
      <c r="D42" s="591">
        <f>C42</f>
        <v>4169</v>
      </c>
      <c r="E42" s="591">
        <f>D42</f>
        <v>4169</v>
      </c>
      <c r="F42" s="595" t="s">
        <v>1218</v>
      </c>
    </row>
    <row r="43" spans="1:7">
      <c r="A43" s="22" t="s">
        <v>1211</v>
      </c>
      <c r="B43" s="591"/>
      <c r="C43" s="591"/>
      <c r="D43" s="591"/>
      <c r="E43" s="591"/>
      <c r="F43" s="595"/>
    </row>
    <row r="44" spans="1:7">
      <c r="A44" s="22" t="s">
        <v>44</v>
      </c>
      <c r="B44" s="591">
        <v>2159</v>
      </c>
      <c r="C44" s="591">
        <f>B44</f>
        <v>2159</v>
      </c>
      <c r="D44" s="591">
        <f>C44</f>
        <v>2159</v>
      </c>
      <c r="E44" s="591">
        <f>D44</f>
        <v>2159</v>
      </c>
      <c r="F44" s="595" t="s">
        <v>1218</v>
      </c>
    </row>
    <row r="45" spans="1:7">
      <c r="A45" s="22" t="s">
        <v>367</v>
      </c>
      <c r="B45" s="591">
        <v>14523</v>
      </c>
      <c r="C45" s="591">
        <f t="shared" ref="C45:E51" si="0">B45</f>
        <v>14523</v>
      </c>
      <c r="D45" s="591">
        <f t="shared" si="0"/>
        <v>14523</v>
      </c>
      <c r="E45" s="591">
        <f t="shared" si="0"/>
        <v>14523</v>
      </c>
      <c r="F45" s="595" t="s">
        <v>1218</v>
      </c>
    </row>
    <row r="46" spans="1:7">
      <c r="A46" s="22" t="s">
        <v>366</v>
      </c>
      <c r="B46" s="591">
        <v>17800</v>
      </c>
      <c r="C46" s="591">
        <f t="shared" si="0"/>
        <v>17800</v>
      </c>
      <c r="D46" s="591">
        <f t="shared" si="0"/>
        <v>17800</v>
      </c>
      <c r="E46" s="591">
        <f t="shared" si="0"/>
        <v>17800</v>
      </c>
      <c r="F46" s="595" t="s">
        <v>1218</v>
      </c>
    </row>
    <row r="47" spans="1:7">
      <c r="A47" s="22" t="s">
        <v>1219</v>
      </c>
      <c r="B47" s="591">
        <v>4723</v>
      </c>
      <c r="C47" s="591">
        <f>B47*(1-29%)</f>
        <v>3353.33</v>
      </c>
      <c r="D47" s="591">
        <f>C47-(C47-E47)/20*10</f>
        <v>2975.49</v>
      </c>
      <c r="E47" s="591">
        <f>B47*(1-45%)</f>
        <v>2597.65</v>
      </c>
      <c r="F47" s="595" t="s">
        <v>1218</v>
      </c>
      <c r="G47" t="s">
        <v>1220</v>
      </c>
    </row>
    <row r="48" spans="1:7">
      <c r="A48" s="22" t="s">
        <v>1221</v>
      </c>
      <c r="B48" s="591">
        <v>12133</v>
      </c>
      <c r="C48" s="591">
        <f>B48*(1-27%)</f>
        <v>8857.09</v>
      </c>
      <c r="D48" s="591">
        <f>C48-(C48-E48)/20*10</f>
        <v>8068.4449999999997</v>
      </c>
      <c r="E48" s="591">
        <f>B48*(1-40%)</f>
        <v>7279.8</v>
      </c>
      <c r="F48" s="595" t="s">
        <v>1218</v>
      </c>
      <c r="G48" t="s">
        <v>1222</v>
      </c>
    </row>
    <row r="49" spans="1:7">
      <c r="A49" s="22" t="s">
        <v>369</v>
      </c>
      <c r="B49" s="591">
        <v>3813</v>
      </c>
      <c r="C49" s="591">
        <f>B49*(1-33%)</f>
        <v>2554.7099999999996</v>
      </c>
      <c r="D49" s="591">
        <f>C49-(C49-E49)/20*10</f>
        <v>2001.8249999999998</v>
      </c>
      <c r="E49" s="591">
        <f>B49*(1-62%)</f>
        <v>1448.94</v>
      </c>
      <c r="F49" s="595" t="s">
        <v>1218</v>
      </c>
      <c r="G49" t="s">
        <v>1223</v>
      </c>
    </row>
    <row r="50" spans="1:7">
      <c r="A50" s="22" t="s">
        <v>1212</v>
      </c>
      <c r="B50" s="591">
        <f>B64/'Unit Conversions'!$E$9</f>
        <v>47742.079207920789</v>
      </c>
      <c r="C50" s="591">
        <f>C64/'Unit Conversions'!$E$9</f>
        <v>37619.971711456863</v>
      </c>
      <c r="D50" s="591">
        <f>D64/'Unit Conversions'!$E$9</f>
        <v>34078.026874115982</v>
      </c>
      <c r="E50" s="591">
        <f>E64/'Unit Conversions'!$E$9</f>
        <v>30536.082036775104</v>
      </c>
      <c r="F50" s="595" t="s">
        <v>1218</v>
      </c>
      <c r="G50" t="s">
        <v>1224</v>
      </c>
    </row>
    <row r="51" spans="1:7">
      <c r="A51" s="22" t="s">
        <v>1213</v>
      </c>
      <c r="B51" s="591">
        <v>6230</v>
      </c>
      <c r="C51" s="591">
        <f t="shared" si="0"/>
        <v>6230</v>
      </c>
      <c r="D51" s="591">
        <f t="shared" si="0"/>
        <v>6230</v>
      </c>
      <c r="E51" s="591">
        <f t="shared" si="0"/>
        <v>6230</v>
      </c>
      <c r="F51" s="595" t="s">
        <v>1218</v>
      </c>
    </row>
    <row r="52" spans="1:7">
      <c r="A52" s="743" t="s">
        <v>1214</v>
      </c>
      <c r="B52" s="591">
        <f>B66/'Unit Conversions'!$E$9</f>
        <v>13796.796322489392</v>
      </c>
      <c r="C52" s="591">
        <f>C66/'Unit Conversions'!$E$9</f>
        <v>9661.5700141442721</v>
      </c>
      <c r="D52" s="591">
        <f>D66/'Unit Conversions'!$E$9</f>
        <v>7723.9391796322489</v>
      </c>
      <c r="E52" s="591">
        <f>E66/'Unit Conversions'!$E$9</f>
        <v>5786.3083451202265</v>
      </c>
      <c r="F52" s="595" t="s">
        <v>1218</v>
      </c>
      <c r="G52" t="s">
        <v>1225</v>
      </c>
    </row>
    <row r="53" spans="1:7">
      <c r="A53" s="22"/>
      <c r="F53" s="595"/>
    </row>
    <row r="54" spans="1:7">
      <c r="A54" s="645" t="s">
        <v>1217</v>
      </c>
      <c r="F54" s="595"/>
    </row>
    <row r="55" spans="1:7">
      <c r="A55" s="22"/>
      <c r="B55">
        <v>2023</v>
      </c>
      <c r="C55">
        <v>2030</v>
      </c>
      <c r="D55">
        <v>2040</v>
      </c>
      <c r="E55">
        <v>2050</v>
      </c>
      <c r="F55" s="595" t="s">
        <v>116</v>
      </c>
    </row>
    <row r="56" spans="1:7">
      <c r="A56" s="22" t="s">
        <v>40</v>
      </c>
      <c r="B56" s="499">
        <f>B42*'Unit Conversions'!$E$9</f>
        <v>589.49659999999994</v>
      </c>
      <c r="C56" s="499">
        <f>C42*'Unit Conversions'!$E$9</f>
        <v>589.49659999999994</v>
      </c>
      <c r="D56" s="499">
        <f>D42*'Unit Conversions'!$E$9</f>
        <v>589.49659999999994</v>
      </c>
      <c r="E56" s="499">
        <f>E42*'Unit Conversions'!$E$9</f>
        <v>589.49659999999994</v>
      </c>
      <c r="F56" s="595" t="s">
        <v>1029</v>
      </c>
    </row>
    <row r="57" spans="1:7">
      <c r="A57" s="22" t="s">
        <v>1211</v>
      </c>
      <c r="B57" s="499"/>
      <c r="C57" s="499"/>
      <c r="D57" s="499"/>
      <c r="E57" s="499"/>
      <c r="F57" s="595"/>
    </row>
    <row r="58" spans="1:7">
      <c r="A58" s="22" t="s">
        <v>44</v>
      </c>
      <c r="B58" s="499">
        <f>B44*'Unit Conversions'!$E$9</f>
        <v>305.2826</v>
      </c>
      <c r="C58" s="499">
        <f>C44*'Unit Conversions'!$E$9</f>
        <v>305.2826</v>
      </c>
      <c r="D58" s="499">
        <f>D44*'Unit Conversions'!$E$9</f>
        <v>305.2826</v>
      </c>
      <c r="E58" s="499">
        <f>E44*'Unit Conversions'!$E$9</f>
        <v>305.2826</v>
      </c>
      <c r="F58" s="595" t="s">
        <v>1029</v>
      </c>
    </row>
    <row r="59" spans="1:7">
      <c r="A59" s="22" t="s">
        <v>367</v>
      </c>
      <c r="B59" s="499">
        <f>B45*'Unit Conversions'!$E$9</f>
        <v>2053.5522000000001</v>
      </c>
      <c r="C59" s="499">
        <f>C45*'Unit Conversions'!$E$9</f>
        <v>2053.5522000000001</v>
      </c>
      <c r="D59" s="499">
        <f>D45*'Unit Conversions'!$E$9</f>
        <v>2053.5522000000001</v>
      </c>
      <c r="E59" s="499">
        <f>E45*'Unit Conversions'!$E$9</f>
        <v>2053.5522000000001</v>
      </c>
      <c r="F59" s="595" t="s">
        <v>1029</v>
      </c>
    </row>
    <row r="60" spans="1:7">
      <c r="A60" s="22" t="s">
        <v>366</v>
      </c>
      <c r="B60" s="499">
        <f>B46*'Unit Conversions'!$E$9</f>
        <v>2516.92</v>
      </c>
      <c r="C60" s="499">
        <f>C46*'Unit Conversions'!$E$9</f>
        <v>2516.92</v>
      </c>
      <c r="D60" s="499">
        <f>D46*'Unit Conversions'!$E$9</f>
        <v>2516.92</v>
      </c>
      <c r="E60" s="499">
        <f>E46*'Unit Conversions'!$E$9</f>
        <v>2516.92</v>
      </c>
      <c r="F60" s="595" t="s">
        <v>1029</v>
      </c>
    </row>
    <row r="61" spans="1:7">
      <c r="A61" s="22" t="s">
        <v>1219</v>
      </c>
      <c r="B61" s="499">
        <f>B47*'Unit Conversions'!$E$9</f>
        <v>667.83219999999994</v>
      </c>
      <c r="C61" s="499">
        <f>C47*'Unit Conversions'!$E$9</f>
        <v>474.16086200000001</v>
      </c>
      <c r="D61" s="499">
        <f>D47*'Unit Conversions'!$E$9</f>
        <v>420.73428599999994</v>
      </c>
      <c r="E61" s="499">
        <f>E47*'Unit Conversions'!$E$9</f>
        <v>367.30770999999999</v>
      </c>
      <c r="F61" s="595" t="s">
        <v>1029</v>
      </c>
      <c r="G61" t="s">
        <v>1220</v>
      </c>
    </row>
    <row r="62" spans="1:7">
      <c r="A62" s="22" t="s">
        <v>1221</v>
      </c>
      <c r="B62" s="499">
        <f>B48*'Unit Conversions'!$E$9</f>
        <v>1715.6061999999999</v>
      </c>
      <c r="C62" s="499">
        <f>C48*'Unit Conversions'!$E$9</f>
        <v>1252.3925260000001</v>
      </c>
      <c r="D62" s="499">
        <f>D48*'Unit Conversions'!$E$9</f>
        <v>1140.878123</v>
      </c>
      <c r="E62" s="499">
        <f>E48*'Unit Conversions'!$E$9</f>
        <v>1029.3637200000001</v>
      </c>
      <c r="F62" s="595" t="s">
        <v>1029</v>
      </c>
      <c r="G62" t="s">
        <v>1222</v>
      </c>
    </row>
    <row r="63" spans="1:7">
      <c r="A63" s="22" t="s">
        <v>369</v>
      </c>
      <c r="B63" s="499">
        <f>B49*'Unit Conversions'!$E$9</f>
        <v>539.15819999999997</v>
      </c>
      <c r="C63" s="499">
        <f>C49*'Unit Conversions'!$E$9</f>
        <v>361.23599399999995</v>
      </c>
      <c r="D63" s="499">
        <f>D49*'Unit Conversions'!$E$9</f>
        <v>283.05805499999997</v>
      </c>
      <c r="E63" s="499">
        <f>E49*'Unit Conversions'!$E$9</f>
        <v>204.88011600000002</v>
      </c>
      <c r="F63" s="595" t="s">
        <v>1029</v>
      </c>
      <c r="G63" t="s">
        <v>1223</v>
      </c>
    </row>
    <row r="64" spans="1:7">
      <c r="A64" s="22" t="s">
        <v>1212</v>
      </c>
      <c r="B64" s="499">
        <v>6750.73</v>
      </c>
      <c r="C64" s="499">
        <v>5319.4639999999999</v>
      </c>
      <c r="D64" s="633">
        <f>C64-(C64-E64)/20*10</f>
        <v>4818.6329999999998</v>
      </c>
      <c r="E64" s="499">
        <v>4317.8019999999997</v>
      </c>
      <c r="F64" s="595" t="s">
        <v>1029</v>
      </c>
      <c r="G64" t="s">
        <v>1224</v>
      </c>
    </row>
    <row r="65" spans="1:7">
      <c r="A65" s="22" t="s">
        <v>1213</v>
      </c>
      <c r="B65" s="499">
        <f>B51*'Unit Conversions'!$E$9</f>
        <v>880.92200000000003</v>
      </c>
      <c r="C65" s="499">
        <f>C51*'Unit Conversions'!$E$9</f>
        <v>880.92200000000003</v>
      </c>
      <c r="D65" s="499">
        <f>D51*'Unit Conversions'!$E$9</f>
        <v>880.92200000000003</v>
      </c>
      <c r="E65" s="499">
        <f>E51*'Unit Conversions'!$E$9</f>
        <v>880.92200000000003</v>
      </c>
      <c r="F65" s="595" t="s">
        <v>1029</v>
      </c>
    </row>
    <row r="66" spans="1:7">
      <c r="A66" s="31" t="s">
        <v>1214</v>
      </c>
      <c r="B66" s="631">
        <v>1950.867</v>
      </c>
      <c r="C66" s="631">
        <v>1366.146</v>
      </c>
      <c r="D66" s="744">
        <f>C66-(C66-E66)/20*10</f>
        <v>1092.165</v>
      </c>
      <c r="E66" s="631">
        <v>818.18399999999997</v>
      </c>
      <c r="F66" s="605" t="s">
        <v>1029</v>
      </c>
      <c r="G66" t="s">
        <v>1226</v>
      </c>
    </row>
    <row r="68" spans="1:7">
      <c r="A68" s="700" t="s">
        <v>1227</v>
      </c>
      <c r="B68" s="521"/>
      <c r="C68" s="521"/>
      <c r="D68" s="521"/>
      <c r="E68" s="521"/>
      <c r="F68" s="521"/>
      <c r="G68" s="639"/>
    </row>
    <row r="69" spans="1:7">
      <c r="A69" s="22"/>
      <c r="B69" t="s">
        <v>1228</v>
      </c>
      <c r="C69" t="s">
        <v>1229</v>
      </c>
      <c r="E69" t="s">
        <v>1228</v>
      </c>
      <c r="F69" t="s">
        <v>1229</v>
      </c>
      <c r="G69" s="595" t="s">
        <v>116</v>
      </c>
    </row>
    <row r="70" spans="1:7">
      <c r="A70" s="22" t="s">
        <v>40</v>
      </c>
      <c r="B70" s="499">
        <f>C8-B8</f>
        <v>-228.58333333333326</v>
      </c>
      <c r="C70" s="499">
        <f>E8-C8</f>
        <v>-829</v>
      </c>
      <c r="G70" s="595" t="s">
        <v>1230</v>
      </c>
    </row>
    <row r="71" spans="1:7">
      <c r="A71" s="22" t="s">
        <v>1211</v>
      </c>
      <c r="B71" s="499">
        <f>C9-B9</f>
        <v>0.66000000000000014</v>
      </c>
      <c r="C71" s="499">
        <f>E9-C9</f>
        <v>-11.24</v>
      </c>
      <c r="G71" s="595" t="s">
        <v>1230</v>
      </c>
    </row>
    <row r="72" spans="1:7">
      <c r="A72" s="22" t="s">
        <v>44</v>
      </c>
      <c r="B72" s="499">
        <f>C10-B10</f>
        <v>50.789999999999992</v>
      </c>
      <c r="C72" s="499">
        <f>E10-C10</f>
        <v>-160.79</v>
      </c>
      <c r="G72" s="595" t="s">
        <v>1230</v>
      </c>
    </row>
    <row r="73" spans="1:7">
      <c r="A73" s="22" t="s">
        <v>367</v>
      </c>
      <c r="B73" s="499">
        <f>C11-B11</f>
        <v>30.20999999999998</v>
      </c>
      <c r="C73" s="499">
        <f>E11-C11</f>
        <v>90.82</v>
      </c>
      <c r="E73" s="648">
        <f>B73/E$81</f>
        <v>1.4817627840340594E-2</v>
      </c>
      <c r="F73" s="648">
        <f>C73/F$81</f>
        <v>1.5547499868215089E-2</v>
      </c>
      <c r="G73" s="595" t="s">
        <v>1230</v>
      </c>
    </row>
    <row r="74" spans="1:7">
      <c r="A74" s="22" t="s">
        <v>366</v>
      </c>
      <c r="B74" s="499">
        <f>C12-B12</f>
        <v>41.540000000000006</v>
      </c>
      <c r="C74" s="499">
        <f>E12-C12</f>
        <v>121.65999999999998</v>
      </c>
      <c r="E74" s="648">
        <f t="shared" ref="E74:F80" si="1">B74/E$81</f>
        <v>2.0374851389862586E-2</v>
      </c>
      <c r="F74" s="648">
        <f t="shared" si="1"/>
        <v>2.0827007641125828E-2</v>
      </c>
      <c r="G74" s="595" t="s">
        <v>1230</v>
      </c>
    </row>
    <row r="75" spans="1:7">
      <c r="A75" s="22" t="s">
        <v>1219</v>
      </c>
      <c r="B75" s="499">
        <f>B$83*B84</f>
        <v>259.95117354630918</v>
      </c>
      <c r="C75" s="499">
        <f>C$83*C84</f>
        <v>755.09276158316936</v>
      </c>
      <c r="E75" s="648">
        <f t="shared" si="1"/>
        <v>0.12750280523896071</v>
      </c>
      <c r="F75" s="648">
        <f t="shared" si="1"/>
        <v>0.12926452996261281</v>
      </c>
      <c r="G75" s="595" t="s">
        <v>1230</v>
      </c>
    </row>
    <row r="76" spans="1:7">
      <c r="A76" s="22" t="s">
        <v>1221</v>
      </c>
      <c r="B76" s="499">
        <f>B$83*B85</f>
        <v>386.59405296630587</v>
      </c>
      <c r="C76" s="499">
        <f>C$83*C85</f>
        <v>371.91136018275512</v>
      </c>
      <c r="E76" s="648">
        <f t="shared" si="1"/>
        <v>0.18961955650922355</v>
      </c>
      <c r="F76" s="648">
        <f t="shared" si="1"/>
        <v>6.3667604309943629E-2</v>
      </c>
      <c r="G76" s="595" t="s">
        <v>1230</v>
      </c>
    </row>
    <row r="77" spans="1:7">
      <c r="A77" s="22" t="s">
        <v>369</v>
      </c>
      <c r="B77" s="499">
        <f>C14-B14</f>
        <v>1296.283964182956</v>
      </c>
      <c r="C77" s="499">
        <f>E14-C14</f>
        <v>3355.6125471050982</v>
      </c>
      <c r="E77" s="648">
        <f t="shared" si="1"/>
        <v>0.63581110084953496</v>
      </c>
      <c r="F77" s="648">
        <f t="shared" si="1"/>
        <v>0.57444820121005746</v>
      </c>
      <c r="G77" s="595" t="s">
        <v>1230</v>
      </c>
    </row>
    <row r="78" spans="1:7">
      <c r="A78" s="22" t="s">
        <v>1212</v>
      </c>
      <c r="B78" s="499">
        <f>C15-B15</f>
        <v>6.9999999999999951E-2</v>
      </c>
      <c r="C78" s="499">
        <f>E15-C15</f>
        <v>0.19000000000000006</v>
      </c>
      <c r="E78" s="648">
        <f t="shared" si="1"/>
        <v>3.4334126078246991E-5</v>
      </c>
      <c r="F78" s="648">
        <f t="shared" si="1"/>
        <v>3.2526150351914424E-5</v>
      </c>
      <c r="G78" s="595" t="s">
        <v>1230</v>
      </c>
    </row>
    <row r="79" spans="1:7">
      <c r="A79" s="22" t="s">
        <v>1213</v>
      </c>
      <c r="B79" s="499">
        <f>C16-B16</f>
        <v>20</v>
      </c>
      <c r="C79" s="499">
        <f>E16-C16</f>
        <v>0</v>
      </c>
      <c r="E79" s="648">
        <f t="shared" si="1"/>
        <v>9.809750308070575E-3</v>
      </c>
      <c r="F79" s="648">
        <f t="shared" si="1"/>
        <v>0</v>
      </c>
      <c r="G79" s="595" t="s">
        <v>1230</v>
      </c>
    </row>
    <row r="80" spans="1:7">
      <c r="A80" s="22" t="s">
        <v>1214</v>
      </c>
      <c r="B80" s="499">
        <f>C17-B17</f>
        <v>4.138685846588336</v>
      </c>
      <c r="C80" s="499">
        <f>E17-C17</f>
        <v>1146.1669905478839</v>
      </c>
      <c r="E80" s="648">
        <f t="shared" si="1"/>
        <v>2.029973737928863E-3</v>
      </c>
      <c r="F80" s="648">
        <f t="shared" si="1"/>
        <v>0.19621263085769339</v>
      </c>
      <c r="G80" s="595" t="s">
        <v>1230</v>
      </c>
    </row>
    <row r="81" spans="1:7">
      <c r="A81" s="31" t="s">
        <v>1231</v>
      </c>
      <c r="B81" s="631"/>
      <c r="C81" s="631"/>
      <c r="D81" s="523"/>
      <c r="E81" s="631">
        <f>SUM(B73:B80)</f>
        <v>2038.7878765421592</v>
      </c>
      <c r="F81" s="631">
        <f>SUM(C73:C80)</f>
        <v>5841.4536594189058</v>
      </c>
      <c r="G81" s="605" t="s">
        <v>1230</v>
      </c>
    </row>
    <row r="82" spans="1:7">
      <c r="B82" s="499"/>
      <c r="C82" s="499"/>
    </row>
    <row r="83" spans="1:7">
      <c r="A83" s="601" t="s">
        <v>368</v>
      </c>
      <c r="B83" s="636">
        <f>C13-B13</f>
        <v>646.54522651261505</v>
      </c>
      <c r="C83" s="637">
        <f>E13-C13</f>
        <v>1127.0041217659245</v>
      </c>
    </row>
    <row r="84" spans="1:7">
      <c r="A84" s="22" t="s">
        <v>1232</v>
      </c>
      <c r="B84" s="648">
        <f>195/(195+290)</f>
        <v>0.40206185567010311</v>
      </c>
      <c r="C84" s="649">
        <f>1-C85</f>
        <v>0.66999999999999993</v>
      </c>
      <c r="D84" t="s">
        <v>1233</v>
      </c>
    </row>
    <row r="85" spans="1:7">
      <c r="A85" s="31" t="s">
        <v>1234</v>
      </c>
      <c r="B85" s="690">
        <f>1-B84</f>
        <v>0.59793814432989689</v>
      </c>
      <c r="C85" s="691">
        <f>33%</f>
        <v>0.33</v>
      </c>
    </row>
    <row r="87" spans="1:7">
      <c r="A87" s="700" t="s">
        <v>1235</v>
      </c>
      <c r="B87" s="693"/>
      <c r="C87" s="727"/>
    </row>
    <row r="88" spans="1:7">
      <c r="A88" s="645"/>
      <c r="B88" s="23" t="s">
        <v>1228</v>
      </c>
      <c r="C88" s="718" t="s">
        <v>1229</v>
      </c>
    </row>
    <row r="89" spans="1:7">
      <c r="A89" s="22" t="s">
        <v>40</v>
      </c>
      <c r="C89" s="595"/>
    </row>
    <row r="90" spans="1:7">
      <c r="A90" s="22" t="s">
        <v>1211</v>
      </c>
      <c r="C90" s="595"/>
    </row>
    <row r="91" spans="1:7">
      <c r="A91" s="22" t="s">
        <v>44</v>
      </c>
      <c r="B91" s="745">
        <f t="shared" ref="B91:B98" si="2">B72*B58</f>
        <v>15505.303253999999</v>
      </c>
      <c r="C91" s="746"/>
    </row>
    <row r="92" spans="1:7">
      <c r="A92" s="22" t="s">
        <v>367</v>
      </c>
      <c r="B92" s="745">
        <f t="shared" si="2"/>
        <v>62037.811961999963</v>
      </c>
      <c r="C92" s="746">
        <f>C73*E59</f>
        <v>186503.610804</v>
      </c>
    </row>
    <row r="93" spans="1:7">
      <c r="A93" s="22" t="s">
        <v>366</v>
      </c>
      <c r="B93" s="745">
        <f t="shared" si="2"/>
        <v>104552.85680000002</v>
      </c>
      <c r="C93" s="746">
        <f>C74*E60</f>
        <v>306208.48719999997</v>
      </c>
    </row>
    <row r="94" spans="1:7">
      <c r="A94" s="22" t="s">
        <v>1219</v>
      </c>
      <c r="B94" s="745">
        <f t="shared" si="2"/>
        <v>173603.76412201344</v>
      </c>
      <c r="C94" s="746">
        <f>C75*C61</f>
        <v>358035.43472223607</v>
      </c>
    </row>
    <row r="95" spans="1:7">
      <c r="A95" s="22" t="s">
        <v>1221</v>
      </c>
      <c r="B95" s="745">
        <f t="shared" si="2"/>
        <v>663243.15415212268</v>
      </c>
      <c r="C95" s="746">
        <f>C76*C62</f>
        <v>465779.00782737654</v>
      </c>
    </row>
    <row r="96" spans="1:7">
      <c r="A96" s="22" t="s">
        <v>369</v>
      </c>
      <c r="B96" s="745">
        <f t="shared" si="2"/>
        <v>698902.128817747</v>
      </c>
      <c r="C96" s="746">
        <f>C77*E63</f>
        <v>687498.28790194809</v>
      </c>
    </row>
    <row r="97" spans="1:4">
      <c r="A97" s="22" t="s">
        <v>1212</v>
      </c>
      <c r="B97" s="745">
        <f t="shared" si="2"/>
        <v>472.55109999999962</v>
      </c>
      <c r="C97" s="746">
        <f>C78*E64</f>
        <v>820.38238000000024</v>
      </c>
    </row>
    <row r="98" spans="1:4">
      <c r="A98" s="22" t="s">
        <v>1213</v>
      </c>
      <c r="B98" s="745">
        <f t="shared" si="2"/>
        <v>17618.440000000002</v>
      </c>
      <c r="C98" s="746">
        <f>C79*E65</f>
        <v>0</v>
      </c>
    </row>
    <row r="99" spans="1:4">
      <c r="A99" s="31" t="s">
        <v>1214</v>
      </c>
      <c r="B99" s="747">
        <f t="shared" ref="B99" si="3">B80*B66</f>
        <v>8074.0256414762471</v>
      </c>
      <c r="C99" s="748">
        <f>C80*E66</f>
        <v>937775.49299442978</v>
      </c>
    </row>
    <row r="102" spans="1:4">
      <c r="A102" s="700" t="s">
        <v>1236</v>
      </c>
      <c r="B102" s="693">
        <v>2030</v>
      </c>
      <c r="C102" s="693">
        <v>2050</v>
      </c>
      <c r="D102" s="727" t="s">
        <v>116</v>
      </c>
    </row>
    <row r="103" spans="1:4">
      <c r="A103" s="31" t="s">
        <v>1237</v>
      </c>
      <c r="B103" s="593">
        <f>SUMPRODUCT(E73:E80,C59:C66)</f>
        <v>620.92095812791899</v>
      </c>
      <c r="C103" s="593">
        <f>SUMPRODUCT(F73:F80,D59:D66)</f>
        <v>588.42600134586485</v>
      </c>
      <c r="D103" s="605" t="s">
        <v>1029</v>
      </c>
    </row>
  </sheetData>
  <pageMargins left="0.7" right="0.7" top="0.75" bottom="0.75" header="0.3" footer="0.3"/>
  <pageSetup orientation="portrait" r:id="rId1"/>
  <headerFooter>
    <oddFooter>&amp;R_x000D_&amp;1#&amp;"Aptos"&amp;10&amp;K000000 Official Use Only</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CF014-ED2D-48E3-B5CA-2CD5787D9C8D}">
  <sheetPr>
    <tabColor theme="6" tint="0.79998168889431442"/>
  </sheetPr>
  <dimension ref="A1:I40"/>
  <sheetViews>
    <sheetView zoomScale="145" zoomScaleNormal="145" workbookViewId="0">
      <selection activeCell="K28" sqref="K28"/>
    </sheetView>
  </sheetViews>
  <sheetFormatPr defaultRowHeight="15"/>
  <cols>
    <col min="1" max="1" width="27.7109375" customWidth="1"/>
    <col min="2" max="2" width="14.140625" customWidth="1"/>
    <col min="3" max="3" width="14.7109375" customWidth="1"/>
    <col min="4" max="4" width="17" customWidth="1"/>
    <col min="5" max="5" width="16.140625" customWidth="1"/>
    <col min="6" max="6" width="49.42578125" customWidth="1"/>
  </cols>
  <sheetData>
    <row r="1" spans="1:9" ht="15.75">
      <c r="A1" s="575" t="s">
        <v>1206</v>
      </c>
      <c r="B1" s="575"/>
    </row>
    <row r="2" spans="1:9" ht="15.75">
      <c r="A2" s="575" t="s">
        <v>163</v>
      </c>
      <c r="B2" s="23" t="s">
        <v>142</v>
      </c>
    </row>
    <row r="3" spans="1:9" ht="15.75">
      <c r="A3" s="575" t="s">
        <v>1207</v>
      </c>
      <c r="B3" s="23" t="s">
        <v>1208</v>
      </c>
    </row>
    <row r="7" spans="1:9" ht="60">
      <c r="A7" s="1206" t="s">
        <v>1238</v>
      </c>
      <c r="B7" s="910" t="s">
        <v>1239</v>
      </c>
      <c r="C7" s="910" t="s">
        <v>1240</v>
      </c>
      <c r="D7" s="1207" t="s">
        <v>1241</v>
      </c>
      <c r="E7" s="1208"/>
    </row>
    <row r="8" spans="1:9">
      <c r="A8" s="1209" t="s">
        <v>367</v>
      </c>
      <c r="B8" s="1210">
        <v>0.33</v>
      </c>
      <c r="C8" s="46">
        <v>0.13</v>
      </c>
      <c r="D8" s="1211">
        <v>0.43</v>
      </c>
      <c r="E8" s="1208"/>
      <c r="F8" s="50"/>
    </row>
    <row r="9" spans="1:9">
      <c r="A9" s="1209" t="s">
        <v>369</v>
      </c>
      <c r="B9" s="1210">
        <v>0.49</v>
      </c>
      <c r="C9" s="46">
        <v>0.56999999999999995</v>
      </c>
      <c r="D9" s="1212">
        <v>0.154</v>
      </c>
      <c r="E9" s="1208"/>
      <c r="F9" s="576"/>
      <c r="G9" s="576"/>
      <c r="H9" s="498"/>
      <c r="I9" s="50"/>
    </row>
    <row r="10" spans="1:9">
      <c r="A10" s="1209" t="s">
        <v>368</v>
      </c>
      <c r="B10" s="1210">
        <v>0.06</v>
      </c>
      <c r="C10" s="46">
        <v>0.2</v>
      </c>
      <c r="D10" s="1211">
        <v>0.3</v>
      </c>
      <c r="E10" s="1208"/>
      <c r="F10" s="576"/>
      <c r="G10" s="576"/>
      <c r="H10" s="498"/>
      <c r="I10" s="50"/>
    </row>
    <row r="11" spans="1:9">
      <c r="A11" s="1209" t="s">
        <v>1242</v>
      </c>
      <c r="B11" s="1210">
        <v>0.04</v>
      </c>
      <c r="C11" s="46">
        <v>0.05</v>
      </c>
      <c r="D11" s="1211">
        <v>0.81</v>
      </c>
      <c r="E11" s="1208"/>
      <c r="F11" s="576"/>
      <c r="G11" s="576"/>
      <c r="H11" s="498"/>
      <c r="I11" s="50"/>
    </row>
    <row r="12" spans="1:9">
      <c r="A12" s="1209" t="s">
        <v>1212</v>
      </c>
      <c r="B12" s="1210">
        <v>0.08</v>
      </c>
      <c r="C12" s="46">
        <v>0.04</v>
      </c>
      <c r="D12" s="1211">
        <v>0.8</v>
      </c>
      <c r="E12" s="1208"/>
      <c r="F12" s="576"/>
      <c r="G12" s="576"/>
      <c r="H12" s="498"/>
      <c r="I12" s="50"/>
    </row>
    <row r="13" spans="1:9">
      <c r="A13" s="1209" t="s">
        <v>366</v>
      </c>
      <c r="B13" s="1210"/>
      <c r="C13" s="46">
        <v>0.02</v>
      </c>
      <c r="D13" s="1211">
        <f>D12</f>
        <v>0.8</v>
      </c>
      <c r="E13" s="1208"/>
      <c r="F13" s="576"/>
      <c r="G13" s="576"/>
      <c r="H13" s="498"/>
      <c r="I13" s="50"/>
    </row>
    <row r="14" spans="1:9">
      <c r="A14" s="1209" t="s">
        <v>1243</v>
      </c>
      <c r="B14" s="1210">
        <v>0</v>
      </c>
      <c r="C14" s="1210">
        <v>0.01</v>
      </c>
      <c r="D14" s="1213"/>
      <c r="E14" s="1208"/>
      <c r="F14" s="576"/>
      <c r="H14" s="498"/>
      <c r="I14" s="50"/>
    </row>
    <row r="15" spans="1:9">
      <c r="A15" s="1214" t="s">
        <v>1214</v>
      </c>
      <c r="B15" s="1215">
        <v>5.0000000000000001E-3</v>
      </c>
      <c r="C15" s="1215">
        <v>0.15</v>
      </c>
      <c r="D15" s="1216"/>
      <c r="E15" s="1208"/>
      <c r="G15" s="576"/>
      <c r="H15" s="498"/>
      <c r="I15" s="50"/>
    </row>
    <row r="16" spans="1:9">
      <c r="A16" s="1208"/>
      <c r="B16" s="1210"/>
      <c r="C16" s="1208"/>
      <c r="D16" s="1208"/>
      <c r="E16" s="1208"/>
      <c r="F16" s="498"/>
      <c r="G16" s="498"/>
      <c r="H16" s="498"/>
    </row>
    <row r="17" spans="1:7">
      <c r="A17" s="700" t="s">
        <v>1244</v>
      </c>
      <c r="B17" s="1217"/>
      <c r="C17" s="1217"/>
      <c r="D17" s="1217"/>
      <c r="E17" s="1217"/>
      <c r="F17" s="639"/>
    </row>
    <row r="18" spans="1:7">
      <c r="A18" s="645" t="s">
        <v>1238</v>
      </c>
      <c r="B18" s="23">
        <v>2023</v>
      </c>
      <c r="C18" s="23">
        <v>2030</v>
      </c>
      <c r="D18" s="23">
        <v>2060</v>
      </c>
      <c r="E18" s="23" t="s">
        <v>116</v>
      </c>
      <c r="F18" s="718" t="s">
        <v>612</v>
      </c>
      <c r="G18" s="23" t="s">
        <v>505</v>
      </c>
    </row>
    <row r="19" spans="1:7">
      <c r="A19" s="1209" t="s">
        <v>367</v>
      </c>
      <c r="B19" s="1218">
        <v>2.4666666666666668</v>
      </c>
      <c r="C19" s="1218">
        <v>2.3666666666666667</v>
      </c>
      <c r="D19" s="1218">
        <v>2.1966666666666668</v>
      </c>
      <c r="E19" s="1208" t="s">
        <v>1245</v>
      </c>
      <c r="F19" s="749" t="s">
        <v>1246</v>
      </c>
      <c r="G19" t="s">
        <v>1247</v>
      </c>
    </row>
    <row r="20" spans="1:7">
      <c r="A20" s="1209" t="s">
        <v>369</v>
      </c>
      <c r="B20" s="1218">
        <v>1.29</v>
      </c>
      <c r="C20" s="1218">
        <v>0.75249999999999995</v>
      </c>
      <c r="D20" s="1218">
        <v>0.52500000000000002</v>
      </c>
      <c r="E20" s="1208" t="s">
        <v>1245</v>
      </c>
      <c r="F20" s="749" t="s">
        <v>1246</v>
      </c>
      <c r="G20" t="s">
        <v>1248</v>
      </c>
    </row>
    <row r="21" spans="1:7">
      <c r="A21" s="1209" t="s">
        <v>368</v>
      </c>
      <c r="B21" s="1218">
        <v>3.8624999999999998</v>
      </c>
      <c r="C21" s="1218">
        <v>3.085</v>
      </c>
      <c r="D21" s="1218">
        <v>2.46</v>
      </c>
      <c r="E21" s="1208" t="s">
        <v>1245</v>
      </c>
      <c r="F21" s="749" t="s">
        <v>1246</v>
      </c>
      <c r="G21" t="s">
        <v>1249</v>
      </c>
    </row>
    <row r="22" spans="1:7">
      <c r="A22" s="1209" t="s">
        <v>1242</v>
      </c>
      <c r="B22" s="1218">
        <v>2.3650000000000002</v>
      </c>
      <c r="C22" s="1218">
        <v>2.0750000000000002</v>
      </c>
      <c r="D22" s="1218">
        <v>1.8450000000000002</v>
      </c>
      <c r="E22" s="1208" t="s">
        <v>1245</v>
      </c>
      <c r="F22" s="749" t="s">
        <v>1246</v>
      </c>
      <c r="G22" t="s">
        <v>1250</v>
      </c>
    </row>
    <row r="23" spans="1:7">
      <c r="A23" s="1209" t="s">
        <v>1212</v>
      </c>
      <c r="B23" s="1218">
        <v>4.95</v>
      </c>
      <c r="C23" s="1218">
        <v>4.95</v>
      </c>
      <c r="D23" s="1218">
        <v>4.4550000000000001</v>
      </c>
      <c r="E23" s="1208" t="s">
        <v>1245</v>
      </c>
      <c r="F23" s="749" t="s">
        <v>1246</v>
      </c>
      <c r="G23" t="s">
        <v>1251</v>
      </c>
    </row>
    <row r="24" spans="1:7">
      <c r="A24" s="1209" t="s">
        <v>366</v>
      </c>
      <c r="B24" s="1218">
        <v>9</v>
      </c>
      <c r="C24" s="1218">
        <v>8.75</v>
      </c>
      <c r="D24" s="1218">
        <v>6.1999999999999993</v>
      </c>
      <c r="E24" s="1208" t="s">
        <v>1245</v>
      </c>
      <c r="F24" s="749" t="s">
        <v>1246</v>
      </c>
      <c r="G24" t="s">
        <v>1252</v>
      </c>
    </row>
    <row r="25" spans="1:7">
      <c r="A25" s="1209" t="s">
        <v>1243</v>
      </c>
      <c r="B25" s="1218">
        <v>1.2</v>
      </c>
      <c r="C25" s="1218">
        <v>1.2</v>
      </c>
      <c r="D25" s="1218">
        <v>1.2</v>
      </c>
      <c r="E25" s="1208" t="s">
        <v>1245</v>
      </c>
      <c r="F25" s="749" t="s">
        <v>1246</v>
      </c>
    </row>
    <row r="26" spans="1:7">
      <c r="A26" s="1214" t="s">
        <v>1214</v>
      </c>
      <c r="B26" s="1219">
        <v>1.3310672268907562</v>
      </c>
      <c r="C26" s="1219">
        <v>0.95011257938289817</v>
      </c>
      <c r="D26" s="1219">
        <v>0.64495922733979072</v>
      </c>
      <c r="E26" s="1220" t="s">
        <v>1245</v>
      </c>
      <c r="F26" s="711" t="s">
        <v>1246</v>
      </c>
    </row>
    <row r="27" spans="1:7">
      <c r="A27" s="1206" t="s">
        <v>1238</v>
      </c>
      <c r="B27" s="1221">
        <v>2023</v>
      </c>
      <c r="C27" s="1221">
        <v>2030</v>
      </c>
      <c r="D27" s="1221">
        <v>2060</v>
      </c>
      <c r="E27" s="1221" t="s">
        <v>116</v>
      </c>
      <c r="F27" s="1222" t="s">
        <v>612</v>
      </c>
    </row>
    <row r="28" spans="1:7">
      <c r="A28" s="1209" t="s">
        <v>367</v>
      </c>
      <c r="B28" s="591">
        <f>B19*1000</f>
        <v>2466.666666666667</v>
      </c>
      <c r="C28" s="591">
        <f t="shared" ref="C28:D28" si="0">C19*1000</f>
        <v>2366.6666666666665</v>
      </c>
      <c r="D28" s="591">
        <f t="shared" si="0"/>
        <v>2196.666666666667</v>
      </c>
      <c r="E28" s="1208" t="s">
        <v>1029</v>
      </c>
      <c r="F28" s="749" t="s">
        <v>1246</v>
      </c>
    </row>
    <row r="29" spans="1:7">
      <c r="A29" s="1209" t="s">
        <v>369</v>
      </c>
      <c r="B29" s="591">
        <f t="shared" ref="B29:D33" si="1">B20*1000</f>
        <v>1290</v>
      </c>
      <c r="C29" s="591">
        <f t="shared" si="1"/>
        <v>752.5</v>
      </c>
      <c r="D29" s="591">
        <f t="shared" si="1"/>
        <v>525</v>
      </c>
      <c r="E29" s="1208" t="s">
        <v>1029</v>
      </c>
      <c r="F29" s="749" t="s">
        <v>1246</v>
      </c>
    </row>
    <row r="30" spans="1:7">
      <c r="A30" s="1209" t="s">
        <v>368</v>
      </c>
      <c r="B30" s="591">
        <f t="shared" si="1"/>
        <v>3862.5</v>
      </c>
      <c r="C30" s="591">
        <f t="shared" si="1"/>
        <v>3085</v>
      </c>
      <c r="D30" s="591">
        <f t="shared" si="1"/>
        <v>2460</v>
      </c>
      <c r="E30" s="1208" t="s">
        <v>1029</v>
      </c>
      <c r="F30" s="749" t="s">
        <v>1246</v>
      </c>
    </row>
    <row r="31" spans="1:7">
      <c r="A31" s="1209" t="s">
        <v>1242</v>
      </c>
      <c r="B31" s="591">
        <f t="shared" si="1"/>
        <v>2365</v>
      </c>
      <c r="C31" s="591">
        <f t="shared" si="1"/>
        <v>2075</v>
      </c>
      <c r="D31" s="591">
        <f t="shared" si="1"/>
        <v>1845.0000000000002</v>
      </c>
      <c r="E31" s="1208" t="s">
        <v>1029</v>
      </c>
      <c r="F31" s="749" t="s">
        <v>1246</v>
      </c>
    </row>
    <row r="32" spans="1:7">
      <c r="A32" s="1209" t="s">
        <v>1212</v>
      </c>
      <c r="B32" s="591">
        <f t="shared" si="1"/>
        <v>4950</v>
      </c>
      <c r="C32" s="591">
        <f t="shared" ref="C32:D33" si="2">C23*1000</f>
        <v>4950</v>
      </c>
      <c r="D32" s="591">
        <f t="shared" si="2"/>
        <v>4455</v>
      </c>
      <c r="E32" s="1208" t="s">
        <v>1029</v>
      </c>
      <c r="F32" s="749" t="s">
        <v>1246</v>
      </c>
    </row>
    <row r="33" spans="1:6">
      <c r="A33" s="1209" t="s">
        <v>366</v>
      </c>
      <c r="B33" s="591">
        <f t="shared" si="1"/>
        <v>9000</v>
      </c>
      <c r="C33" s="591">
        <f t="shared" si="2"/>
        <v>8750</v>
      </c>
      <c r="D33" s="591">
        <f t="shared" si="2"/>
        <v>6199.9999999999991</v>
      </c>
      <c r="E33" s="1208" t="s">
        <v>1029</v>
      </c>
      <c r="F33" s="749" t="s">
        <v>1246</v>
      </c>
    </row>
    <row r="34" spans="1:6">
      <c r="A34" s="1209" t="s">
        <v>1243</v>
      </c>
      <c r="B34" s="591">
        <f t="shared" ref="B34:D34" si="3">B25*1000</f>
        <v>1200</v>
      </c>
      <c r="C34" s="591">
        <f t="shared" si="3"/>
        <v>1200</v>
      </c>
      <c r="D34" s="591">
        <f t="shared" si="3"/>
        <v>1200</v>
      </c>
      <c r="E34" s="1208" t="s">
        <v>1029</v>
      </c>
      <c r="F34" s="749" t="s">
        <v>1246</v>
      </c>
    </row>
    <row r="35" spans="1:6">
      <c r="A35" s="1214" t="s">
        <v>1214</v>
      </c>
      <c r="B35" s="593">
        <f t="shared" ref="B35:D35" si="4">B26*1000</f>
        <v>1331.0672268907563</v>
      </c>
      <c r="C35" s="593">
        <f t="shared" si="4"/>
        <v>950.11257938289816</v>
      </c>
      <c r="D35" s="593">
        <f t="shared" si="4"/>
        <v>644.95922733979069</v>
      </c>
      <c r="E35" s="1220" t="s">
        <v>1029</v>
      </c>
      <c r="F35" s="711" t="s">
        <v>1246</v>
      </c>
    </row>
    <row r="39" spans="1:6">
      <c r="A39" s="1206" t="s">
        <v>1236</v>
      </c>
      <c r="B39" s="1221">
        <v>2030</v>
      </c>
      <c r="C39" s="1221">
        <v>2060</v>
      </c>
      <c r="D39" s="1222" t="s">
        <v>116</v>
      </c>
    </row>
    <row r="40" spans="1:6">
      <c r="A40" s="31" t="s">
        <v>1237</v>
      </c>
      <c r="B40" s="593">
        <f>SUMPRODUCT(B8:B15,C28:C35)</f>
        <v>1818.5755628969143</v>
      </c>
      <c r="C40" s="593">
        <f>SUMPRODUCT(C8:C15,D28:D35)</f>
        <v>1580.0105507676353</v>
      </c>
      <c r="D40" s="1216" t="s">
        <v>1029</v>
      </c>
    </row>
  </sheetData>
  <hyperlinks>
    <hyperlink ref="F23" r:id="rId1" xr:uid="{6E657426-141D-4BC2-AABC-FAA9C18A94B3}"/>
    <hyperlink ref="F19" r:id="rId2" xr:uid="{A4A39275-84ED-4BD6-B7E2-036263F21B7A}"/>
    <hyperlink ref="F20" r:id="rId3" xr:uid="{777C4EE2-6DD3-498F-8F5A-DB5F22F7A8C9}"/>
    <hyperlink ref="F21" r:id="rId4" xr:uid="{2F15F348-A2D3-4510-A27D-4815A6442297}"/>
    <hyperlink ref="F22" r:id="rId5" xr:uid="{DBD76378-3A66-4789-AE03-91DD0B70C566}"/>
    <hyperlink ref="F28" r:id="rId6" xr:uid="{A010EA72-B093-4FC9-87E0-0CE7D8913FB4}"/>
    <hyperlink ref="F29" r:id="rId7" xr:uid="{0BBEC714-9C0A-4A1D-88D5-62F29CF17D78}"/>
    <hyperlink ref="F30" r:id="rId8" xr:uid="{42A642A4-B593-4EDF-AF33-C364D98B6E58}"/>
    <hyperlink ref="F31" r:id="rId9" xr:uid="{1EB0B61A-FB7B-4EC6-914D-F5AB26200219}"/>
    <hyperlink ref="F32" r:id="rId10" xr:uid="{DA60EE14-DAF0-49CE-914A-55758A4ED6CE}"/>
    <hyperlink ref="F25" r:id="rId11" xr:uid="{10297EDD-7225-4BDD-97DD-19F21473E519}"/>
    <hyperlink ref="F26" r:id="rId12" xr:uid="{35744F6A-29C6-4C05-9129-3C4EEE0C19C8}"/>
    <hyperlink ref="F34" r:id="rId13" xr:uid="{2589AC76-6764-47A8-B8BC-BE5FF6665C76}"/>
    <hyperlink ref="F35" r:id="rId14" xr:uid="{8CA4597B-B547-4D54-93DE-B7D0BCEB73F2}"/>
    <hyperlink ref="F24" r:id="rId15" xr:uid="{BD12E601-DF96-442B-953D-04873CDF15F2}"/>
    <hyperlink ref="F33" r:id="rId16" xr:uid="{10FF0A63-EB4B-45F7-8CC6-7E9EA4185E0C}"/>
  </hyperlinks>
  <pageMargins left="0.7" right="0.7" top="0.75" bottom="0.75" header="0.3" footer="0.3"/>
  <pageSetup orientation="portrait" r:id="rId17"/>
  <headerFooter>
    <oddFooter>&amp;R_x000D_&amp;1#&amp;"Aptos"&amp;10&amp;K000000 Official Use Only</oddFooter>
  </headerFooter>
  <legacyDrawing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4BE5-49BF-4AA2-9BB3-3C993396A97F}">
  <sheetPr>
    <tabColor rgb="FFFFC000"/>
  </sheetPr>
  <dimension ref="A1:K72"/>
  <sheetViews>
    <sheetView zoomScale="76" zoomScaleNormal="76" workbookViewId="0">
      <selection activeCell="K28" sqref="K28"/>
    </sheetView>
  </sheetViews>
  <sheetFormatPr defaultRowHeight="15"/>
  <cols>
    <col min="1" max="1" width="25.5703125" customWidth="1"/>
    <col min="2" max="2" width="18.42578125" customWidth="1"/>
    <col min="3" max="3" width="23.5703125" customWidth="1"/>
    <col min="4" max="4" width="30.85546875" customWidth="1"/>
    <col min="6" max="6" width="32.42578125" customWidth="1"/>
    <col min="7" max="12" width="14.42578125" customWidth="1"/>
  </cols>
  <sheetData>
    <row r="1" spans="1:6" ht="15.75">
      <c r="A1" s="575" t="s">
        <v>1206</v>
      </c>
      <c r="B1" s="575"/>
    </row>
    <row r="2" spans="1:6" ht="15.75">
      <c r="A2" s="575" t="s">
        <v>163</v>
      </c>
      <c r="B2" s="23" t="s">
        <v>166</v>
      </c>
    </row>
    <row r="3" spans="1:6" ht="15.75">
      <c r="A3" s="575" t="s">
        <v>1207</v>
      </c>
      <c r="B3" s="23" t="s">
        <v>1208</v>
      </c>
    </row>
    <row r="6" spans="1:6" ht="15.75">
      <c r="A6" s="1056" t="s">
        <v>1244</v>
      </c>
      <c r="B6" s="521"/>
      <c r="C6" s="521"/>
      <c r="D6" s="521"/>
      <c r="E6" s="521"/>
      <c r="F6" s="639"/>
    </row>
    <row r="7" spans="1:6">
      <c r="A7" s="700" t="s">
        <v>1238</v>
      </c>
      <c r="B7" s="693">
        <v>2023</v>
      </c>
      <c r="C7" s="693">
        <v>2030</v>
      </c>
      <c r="D7" s="693">
        <v>2050</v>
      </c>
      <c r="E7" s="693" t="s">
        <v>116</v>
      </c>
      <c r="F7" s="727" t="s">
        <v>612</v>
      </c>
    </row>
    <row r="8" spans="1:6">
      <c r="A8" s="22" t="s">
        <v>1253</v>
      </c>
      <c r="B8" s="591">
        <v>790.52</v>
      </c>
      <c r="C8" s="591">
        <v>536.78700000000003</v>
      </c>
      <c r="D8" s="591">
        <v>533.85199999999998</v>
      </c>
      <c r="E8" t="s">
        <v>1029</v>
      </c>
      <c r="F8" s="749" t="s">
        <v>1254</v>
      </c>
    </row>
    <row r="9" spans="1:6">
      <c r="A9" s="1209" t="s">
        <v>1255</v>
      </c>
      <c r="B9" s="591">
        <v>897.96</v>
      </c>
      <c r="C9" s="591">
        <v>672.47699999999998</v>
      </c>
      <c r="D9" s="591">
        <v>889.62599999999998</v>
      </c>
      <c r="E9" t="s">
        <v>1029</v>
      </c>
      <c r="F9" s="749" t="s">
        <v>1254</v>
      </c>
    </row>
    <row r="10" spans="1:6">
      <c r="A10" s="1209" t="s">
        <v>1256</v>
      </c>
      <c r="B10" s="591">
        <v>1517.2570000000001</v>
      </c>
      <c r="C10" s="591">
        <v>1533.048</v>
      </c>
      <c r="D10" s="591">
        <v>1880.79</v>
      </c>
      <c r="E10" t="s">
        <v>1029</v>
      </c>
      <c r="F10" s="749" t="s">
        <v>1254</v>
      </c>
    </row>
    <row r="11" spans="1:6">
      <c r="A11" s="1209" t="s">
        <v>1257</v>
      </c>
      <c r="B11" s="591">
        <v>3854.683</v>
      </c>
      <c r="C11" s="591">
        <v>4020.7429999999999</v>
      </c>
      <c r="D11" s="591">
        <v>5967.3220000000001</v>
      </c>
      <c r="E11" t="s">
        <v>1029</v>
      </c>
      <c r="F11" s="749" t="s">
        <v>1254</v>
      </c>
    </row>
    <row r="12" spans="1:6">
      <c r="A12" s="1209"/>
      <c r="B12" s="591"/>
      <c r="C12" s="591"/>
      <c r="D12" s="591"/>
      <c r="F12" s="749"/>
    </row>
    <row r="13" spans="1:6">
      <c r="A13" s="22" t="s">
        <v>367</v>
      </c>
      <c r="B13" s="591"/>
      <c r="C13" s="591">
        <v>2100</v>
      </c>
      <c r="D13" s="591">
        <v>2090</v>
      </c>
      <c r="E13" t="s">
        <v>1029</v>
      </c>
      <c r="F13" s="749" t="s">
        <v>1258</v>
      </c>
    </row>
    <row r="14" spans="1:6">
      <c r="A14" s="22" t="s">
        <v>1259</v>
      </c>
      <c r="B14" s="591"/>
      <c r="C14" s="591">
        <v>830</v>
      </c>
      <c r="D14" s="591">
        <v>520</v>
      </c>
      <c r="E14" t="s">
        <v>1029</v>
      </c>
      <c r="F14" s="749" t="s">
        <v>1258</v>
      </c>
    </row>
    <row r="15" spans="1:6">
      <c r="A15" s="22" t="s">
        <v>1260</v>
      </c>
      <c r="B15" s="591"/>
      <c r="C15" s="591">
        <v>1750</v>
      </c>
      <c r="D15" s="591">
        <v>1630</v>
      </c>
      <c r="E15" t="s">
        <v>1029</v>
      </c>
      <c r="F15" s="749" t="s">
        <v>1258</v>
      </c>
    </row>
    <row r="16" spans="1:6">
      <c r="A16" s="22" t="s">
        <v>1261</v>
      </c>
      <c r="B16" s="591"/>
      <c r="C16" s="591">
        <v>2690</v>
      </c>
      <c r="D16" s="591">
        <v>1750</v>
      </c>
      <c r="E16" t="s">
        <v>1029</v>
      </c>
      <c r="F16" s="749" t="s">
        <v>1258</v>
      </c>
    </row>
    <row r="17" spans="1:6">
      <c r="A17" s="22" t="s">
        <v>1242</v>
      </c>
      <c r="C17" s="591">
        <v>1600</v>
      </c>
      <c r="D17" s="591">
        <v>1400</v>
      </c>
      <c r="E17" t="s">
        <v>1029</v>
      </c>
      <c r="F17" s="749" t="s">
        <v>1262</v>
      </c>
    </row>
    <row r="18" spans="1:6">
      <c r="A18" s="31" t="s">
        <v>366</v>
      </c>
      <c r="B18" s="523"/>
      <c r="C18" s="593">
        <v>4800</v>
      </c>
      <c r="D18" s="593">
        <v>4450</v>
      </c>
      <c r="E18" s="523" t="s">
        <v>1029</v>
      </c>
      <c r="F18" s="711" t="s">
        <v>1262</v>
      </c>
    </row>
    <row r="22" spans="1:6" ht="45">
      <c r="A22" s="1206" t="s">
        <v>1238</v>
      </c>
      <c r="B22" s="910" t="s">
        <v>1263</v>
      </c>
      <c r="C22" s="910" t="s">
        <v>1264</v>
      </c>
      <c r="D22" s="1222" t="s">
        <v>612</v>
      </c>
    </row>
    <row r="23" spans="1:6">
      <c r="A23" s="1209" t="s">
        <v>367</v>
      </c>
      <c r="B23" s="1223">
        <f>K49</f>
        <v>0.1246444105526522</v>
      </c>
      <c r="C23" s="648">
        <f t="shared" ref="C23:C28" si="0">K65</f>
        <v>1.5718421146529039E-2</v>
      </c>
      <c r="D23" s="749" t="s">
        <v>1265</v>
      </c>
      <c r="E23" s="46"/>
      <c r="F23" s="28" t="s">
        <v>1266</v>
      </c>
    </row>
    <row r="24" spans="1:6">
      <c r="A24" s="1209" t="s">
        <v>369</v>
      </c>
      <c r="B24" s="1223">
        <f>K50</f>
        <v>0.41042763991731623</v>
      </c>
      <c r="C24" s="648">
        <f t="shared" si="0"/>
        <v>0.55721129087711252</v>
      </c>
      <c r="D24" s="749" t="s">
        <v>1265</v>
      </c>
      <c r="E24" s="46"/>
    </row>
    <row r="25" spans="1:6">
      <c r="A25" s="22" t="s">
        <v>1260</v>
      </c>
      <c r="B25" s="1223">
        <f t="shared" ref="B25:B28" si="1">K51</f>
        <v>0.29675364470083632</v>
      </c>
      <c r="C25" s="648">
        <f t="shared" si="0"/>
        <v>0.13153927919603128</v>
      </c>
      <c r="D25" s="749" t="s">
        <v>1265</v>
      </c>
      <c r="E25" s="46"/>
    </row>
    <row r="26" spans="1:6">
      <c r="A26" s="22" t="s">
        <v>1261</v>
      </c>
      <c r="B26" s="1223">
        <f t="shared" si="1"/>
        <v>9.7990035975475939E-2</v>
      </c>
      <c r="C26" s="648">
        <f t="shared" si="0"/>
        <v>0.26983621996850937</v>
      </c>
      <c r="D26" s="749" t="s">
        <v>1265</v>
      </c>
      <c r="E26" s="46"/>
    </row>
    <row r="27" spans="1:6">
      <c r="A27" s="1209" t="s">
        <v>1242</v>
      </c>
      <c r="B27" s="1223">
        <f t="shared" si="1"/>
        <v>1.5973754884859671E-2</v>
      </c>
      <c r="C27" s="648">
        <f t="shared" si="0"/>
        <v>8.611018029749333E-3</v>
      </c>
      <c r="D27" s="749" t="s">
        <v>1265</v>
      </c>
      <c r="E27" s="46"/>
    </row>
    <row r="28" spans="1:6">
      <c r="A28" s="1209" t="s">
        <v>366</v>
      </c>
      <c r="B28" s="1223">
        <f t="shared" si="1"/>
        <v>5.3713644292414514E-2</v>
      </c>
      <c r="C28" s="648">
        <f t="shared" si="0"/>
        <v>1.608073970113599E-2</v>
      </c>
      <c r="D28" s="749" t="s">
        <v>1265</v>
      </c>
      <c r="E28" s="794"/>
    </row>
    <row r="29" spans="1:6">
      <c r="A29" s="1209" t="s">
        <v>1243</v>
      </c>
      <c r="B29" s="702"/>
      <c r="C29" s="702"/>
      <c r="D29" s="595"/>
    </row>
    <row r="30" spans="1:6">
      <c r="A30" s="1214" t="s">
        <v>1214</v>
      </c>
      <c r="B30" s="1224"/>
      <c r="C30" s="1224"/>
      <c r="D30" s="605"/>
    </row>
    <row r="31" spans="1:6">
      <c r="B31" s="576"/>
      <c r="C31" s="576"/>
    </row>
    <row r="34" spans="1:11">
      <c r="A34" s="1206" t="s">
        <v>1236</v>
      </c>
      <c r="B34" s="1221">
        <v>2030</v>
      </c>
      <c r="C34" s="1221">
        <v>2050</v>
      </c>
      <c r="D34" s="1222" t="s">
        <v>116</v>
      </c>
    </row>
    <row r="35" spans="1:11">
      <c r="A35" s="31" t="s">
        <v>1237</v>
      </c>
      <c r="B35" s="593">
        <f>SUMPRODUCT(C13:C18,B23:B28)</f>
        <v>1668.7037787118011</v>
      </c>
      <c r="C35" s="593">
        <f>SUMPRODUCT(D13:D18,C23:C28)</f>
        <v>1092.8384983984711</v>
      </c>
      <c r="D35" s="1216" t="s">
        <v>1029</v>
      </c>
    </row>
    <row r="42" spans="1:11">
      <c r="A42" t="s">
        <v>1267</v>
      </c>
    </row>
    <row r="43" spans="1:11">
      <c r="A43" s="700" t="s">
        <v>1268</v>
      </c>
      <c r="B43" s="693"/>
      <c r="C43" s="693" t="s">
        <v>1269</v>
      </c>
      <c r="D43" s="693" t="s">
        <v>1270</v>
      </c>
      <c r="E43" s="693"/>
      <c r="F43" s="693" t="s">
        <v>1269</v>
      </c>
      <c r="G43" s="693" t="s">
        <v>1270</v>
      </c>
      <c r="H43" s="693"/>
      <c r="I43" s="693" t="s">
        <v>1269</v>
      </c>
      <c r="J43" s="693" t="s">
        <v>1270</v>
      </c>
      <c r="K43" s="727" t="s">
        <v>1271</v>
      </c>
    </row>
    <row r="44" spans="1:11">
      <c r="A44" s="672"/>
      <c r="B44" s="722">
        <v>2022</v>
      </c>
      <c r="C44" s="722">
        <v>2030</v>
      </c>
      <c r="D44" s="722">
        <v>2030</v>
      </c>
      <c r="E44" s="722" t="s">
        <v>116</v>
      </c>
      <c r="F44" s="722" t="s">
        <v>1272</v>
      </c>
      <c r="G44" s="722" t="s">
        <v>1272</v>
      </c>
      <c r="H44" s="722"/>
      <c r="I44" s="722" t="s">
        <v>1273</v>
      </c>
      <c r="J44" s="722"/>
      <c r="K44" s="723"/>
    </row>
    <row r="45" spans="1:11">
      <c r="A45" s="601" t="s">
        <v>125</v>
      </c>
      <c r="B45" s="521">
        <v>77.7</v>
      </c>
      <c r="C45" s="521">
        <v>183.291</v>
      </c>
      <c r="D45" s="521">
        <v>236.363</v>
      </c>
      <c r="E45" s="521" t="s">
        <v>1230</v>
      </c>
      <c r="F45" s="521"/>
      <c r="G45" s="521"/>
      <c r="H45" s="521"/>
      <c r="I45" s="521"/>
      <c r="J45" s="521"/>
      <c r="K45" s="639"/>
    </row>
    <row r="46" spans="1:11">
      <c r="A46" s="22" t="s">
        <v>40</v>
      </c>
      <c r="B46">
        <v>23</v>
      </c>
      <c r="D46">
        <v>30.13</v>
      </c>
      <c r="E46" t="s">
        <v>1230</v>
      </c>
      <c r="K46" s="595"/>
    </row>
    <row r="47" spans="1:11">
      <c r="A47" s="22" t="s">
        <v>1274</v>
      </c>
      <c r="B47">
        <v>1</v>
      </c>
      <c r="E47" t="s">
        <v>1230</v>
      </c>
      <c r="K47" s="595"/>
    </row>
    <row r="48" spans="1:11">
      <c r="A48" s="22" t="s">
        <v>1275</v>
      </c>
      <c r="B48">
        <v>8</v>
      </c>
      <c r="E48" t="s">
        <v>1230</v>
      </c>
      <c r="K48" s="595"/>
    </row>
    <row r="49" spans="1:11">
      <c r="A49" s="22" t="s">
        <v>367</v>
      </c>
      <c r="B49">
        <v>22.5</v>
      </c>
      <c r="C49">
        <f>33.294</f>
        <v>33.293999999999997</v>
      </c>
      <c r="D49">
        <v>34.667000000000002</v>
      </c>
      <c r="E49" t="s">
        <v>1230</v>
      </c>
      <c r="F49">
        <f>C49-B49</f>
        <v>10.793999999999997</v>
      </c>
      <c r="G49">
        <f>D49-B49</f>
        <v>12.167000000000002</v>
      </c>
      <c r="I49" s="648">
        <f t="shared" ref="I49:I55" si="2">F49/$F$56</f>
        <v>0.15248562589175974</v>
      </c>
      <c r="J49" s="648">
        <f t="shared" ref="J49:J55" si="3">G49/$G$56</f>
        <v>9.6803195213544663E-2</v>
      </c>
      <c r="K49" s="649">
        <f>AVERAGE(I49:J49)</f>
        <v>0.1246444105526522</v>
      </c>
    </row>
    <row r="50" spans="1:11">
      <c r="A50" s="22" t="s">
        <v>369</v>
      </c>
      <c r="B50">
        <v>19</v>
      </c>
      <c r="C50">
        <v>46.459000000000003</v>
      </c>
      <c r="D50">
        <v>73.415999999999997</v>
      </c>
      <c r="E50" t="s">
        <v>1230</v>
      </c>
      <c r="F50">
        <f t="shared" ref="F50:F55" si="4">C50-B50</f>
        <v>27.459000000000003</v>
      </c>
      <c r="G50">
        <f t="shared" ref="G50:G55" si="5">D50-B50</f>
        <v>54.415999999999997</v>
      </c>
      <c r="I50" s="648">
        <f t="shared" si="2"/>
        <v>0.38791020950174471</v>
      </c>
      <c r="J50" s="648">
        <f t="shared" si="3"/>
        <v>0.43294507033288776</v>
      </c>
      <c r="K50" s="649">
        <f t="shared" ref="K50:K55" si="6">AVERAGE(I50:J50)</f>
        <v>0.41042763991731623</v>
      </c>
    </row>
    <row r="51" spans="1:11">
      <c r="A51" s="22" t="s">
        <v>1256</v>
      </c>
      <c r="B51">
        <v>3.5</v>
      </c>
      <c r="C51">
        <v>26.065999999999999</v>
      </c>
      <c r="D51">
        <v>38.029000000000003</v>
      </c>
      <c r="E51" t="s">
        <v>1230</v>
      </c>
      <c r="F51">
        <f t="shared" si="4"/>
        <v>22.565999999999999</v>
      </c>
      <c r="G51">
        <f t="shared" si="5"/>
        <v>34.529000000000003</v>
      </c>
      <c r="I51" s="648">
        <f t="shared" si="2"/>
        <v>0.31878734795937103</v>
      </c>
      <c r="J51" s="648">
        <f t="shared" si="3"/>
        <v>0.27471994144230161</v>
      </c>
      <c r="K51" s="649">
        <f t="shared" si="6"/>
        <v>0.29675364470083632</v>
      </c>
    </row>
    <row r="52" spans="1:11">
      <c r="A52" s="22" t="s">
        <v>1257</v>
      </c>
      <c r="B52">
        <v>1.1000000000000001</v>
      </c>
      <c r="C52">
        <v>6</v>
      </c>
      <c r="D52">
        <v>17.032</v>
      </c>
      <c r="E52" t="s">
        <v>1230</v>
      </c>
      <c r="F52">
        <f t="shared" si="4"/>
        <v>4.9000000000000004</v>
      </c>
      <c r="G52">
        <f t="shared" si="5"/>
        <v>15.932</v>
      </c>
      <c r="I52" s="648">
        <f t="shared" si="2"/>
        <v>6.9221749756311179E-2</v>
      </c>
      <c r="J52" s="648">
        <f t="shared" si="3"/>
        <v>0.1267583221946407</v>
      </c>
      <c r="K52" s="649">
        <f t="shared" si="6"/>
        <v>9.7990035975475939E-2</v>
      </c>
    </row>
    <row r="53" spans="1:11">
      <c r="A53" s="22" t="s">
        <v>1242</v>
      </c>
      <c r="B53">
        <v>0.5</v>
      </c>
      <c r="C53">
        <v>1.5229999999999999</v>
      </c>
      <c r="D53">
        <v>2.6989999999999998</v>
      </c>
      <c r="E53" t="s">
        <v>1230</v>
      </c>
      <c r="F53">
        <f t="shared" si="4"/>
        <v>1.0229999999999999</v>
      </c>
      <c r="G53">
        <f t="shared" si="5"/>
        <v>2.1989999999999998</v>
      </c>
      <c r="I53" s="648">
        <f t="shared" si="2"/>
        <v>1.4451806122593129E-2</v>
      </c>
      <c r="J53" s="648">
        <f t="shared" si="3"/>
        <v>1.7495703647126215E-2</v>
      </c>
      <c r="K53" s="649">
        <f t="shared" si="6"/>
        <v>1.5973754884859671E-2</v>
      </c>
    </row>
    <row r="54" spans="1:11">
      <c r="A54" s="22" t="s">
        <v>366</v>
      </c>
      <c r="B54">
        <v>0</v>
      </c>
      <c r="C54">
        <v>4</v>
      </c>
      <c r="D54">
        <v>6.4</v>
      </c>
      <c r="E54" t="s">
        <v>1230</v>
      </c>
      <c r="F54">
        <f t="shared" si="4"/>
        <v>4</v>
      </c>
      <c r="G54">
        <f t="shared" si="5"/>
        <v>6.4</v>
      </c>
      <c r="I54" s="648">
        <f t="shared" si="2"/>
        <v>5.6507550821478514E-2</v>
      </c>
      <c r="J54" s="648">
        <f t="shared" si="3"/>
        <v>5.0919737763350521E-2</v>
      </c>
      <c r="K54" s="649">
        <f t="shared" si="6"/>
        <v>5.3713644292414514E-2</v>
      </c>
    </row>
    <row r="55" spans="1:11">
      <c r="A55" s="31" t="s">
        <v>1212</v>
      </c>
      <c r="B55" s="523">
        <v>0</v>
      </c>
      <c r="C55" s="523">
        <v>4.4999999999999998E-2</v>
      </c>
      <c r="D55" s="523">
        <f>C55</f>
        <v>4.4999999999999998E-2</v>
      </c>
      <c r="E55" s="523" t="s">
        <v>1230</v>
      </c>
      <c r="F55" s="523">
        <f t="shared" si="4"/>
        <v>4.4999999999999998E-2</v>
      </c>
      <c r="G55" s="523">
        <f t="shared" si="5"/>
        <v>4.4999999999999998E-2</v>
      </c>
      <c r="H55" s="523"/>
      <c r="I55" s="690">
        <f t="shared" si="2"/>
        <v>6.3570994674163326E-4</v>
      </c>
      <c r="J55" s="690">
        <f t="shared" si="3"/>
        <v>3.580294061485583E-4</v>
      </c>
      <c r="K55" s="691">
        <f t="shared" si="6"/>
        <v>4.9686967644509573E-4</v>
      </c>
    </row>
    <row r="56" spans="1:11">
      <c r="A56" s="672" t="s">
        <v>1276</v>
      </c>
      <c r="B56" s="722"/>
      <c r="C56" s="722"/>
      <c r="D56" s="722"/>
      <c r="E56" s="722"/>
      <c r="F56" s="722">
        <f>SUM(F49:F55)</f>
        <v>70.787000000000006</v>
      </c>
      <c r="G56" s="722">
        <f>SUM(G49:G55)</f>
        <v>125.688</v>
      </c>
      <c r="H56" s="523"/>
      <c r="I56" s="523"/>
      <c r="J56" s="523"/>
      <c r="K56" s="605"/>
    </row>
    <row r="59" spans="1:11">
      <c r="A59" s="700" t="s">
        <v>1268</v>
      </c>
      <c r="B59" s="521"/>
      <c r="C59" s="693" t="s">
        <v>1269</v>
      </c>
      <c r="D59" s="693" t="s">
        <v>1270</v>
      </c>
      <c r="E59" s="693"/>
      <c r="F59" s="693" t="s">
        <v>1269</v>
      </c>
      <c r="G59" s="693" t="s">
        <v>1270</v>
      </c>
      <c r="H59" s="693"/>
      <c r="I59" s="693" t="s">
        <v>1269</v>
      </c>
      <c r="J59" s="693" t="s">
        <v>1270</v>
      </c>
      <c r="K59" s="727" t="s">
        <v>1271</v>
      </c>
    </row>
    <row r="60" spans="1:11">
      <c r="A60" s="31"/>
      <c r="B60" s="722">
        <v>2022</v>
      </c>
      <c r="C60" s="722">
        <v>2050</v>
      </c>
      <c r="D60" s="722">
        <v>2050</v>
      </c>
      <c r="E60" s="722" t="s">
        <v>116</v>
      </c>
      <c r="F60" s="722" t="s">
        <v>1277</v>
      </c>
      <c r="G60" s="722" t="s">
        <v>1277</v>
      </c>
      <c r="H60" s="722"/>
      <c r="I60" s="722" t="s">
        <v>1278</v>
      </c>
      <c r="J60" s="722"/>
      <c r="K60" s="723"/>
    </row>
    <row r="61" spans="1:11">
      <c r="A61" s="601" t="s">
        <v>125</v>
      </c>
      <c r="B61" s="521">
        <v>77.7</v>
      </c>
      <c r="C61" s="521">
        <v>774.50300000000004</v>
      </c>
      <c r="D61" s="521">
        <v>838.68100000000004</v>
      </c>
      <c r="E61" s="521" t="s">
        <v>1230</v>
      </c>
      <c r="F61" s="521"/>
      <c r="G61" s="521"/>
      <c r="H61" s="521"/>
      <c r="I61" s="521"/>
      <c r="J61" s="521"/>
      <c r="K61" s="639"/>
    </row>
    <row r="62" spans="1:11">
      <c r="A62" s="22" t="s">
        <v>40</v>
      </c>
      <c r="B62">
        <v>23</v>
      </c>
      <c r="E62" t="s">
        <v>1230</v>
      </c>
      <c r="K62" s="595"/>
    </row>
    <row r="63" spans="1:11">
      <c r="A63" s="22" t="s">
        <v>1274</v>
      </c>
      <c r="B63">
        <v>1</v>
      </c>
      <c r="E63" t="s">
        <v>1230</v>
      </c>
      <c r="K63" s="595"/>
    </row>
    <row r="64" spans="1:11">
      <c r="A64" s="22" t="s">
        <v>1275</v>
      </c>
      <c r="B64">
        <v>8</v>
      </c>
      <c r="E64" t="s">
        <v>1230</v>
      </c>
      <c r="K64" s="595"/>
    </row>
    <row r="65" spans="1:11">
      <c r="A65" s="22" t="s">
        <v>367</v>
      </c>
      <c r="B65">
        <v>22.5</v>
      </c>
      <c r="C65">
        <v>40.624000000000002</v>
      </c>
      <c r="D65">
        <f>C65</f>
        <v>40.624000000000002</v>
      </c>
      <c r="E65" t="s">
        <v>1230</v>
      </c>
      <c r="F65">
        <f t="shared" ref="F65:F71" si="7">C65-D49</f>
        <v>5.9570000000000007</v>
      </c>
      <c r="G65">
        <f t="shared" ref="G65:G71" si="8">D65-C49</f>
        <v>7.3300000000000054</v>
      </c>
      <c r="I65" s="648">
        <f>F65/$F$72</f>
        <v>1.5867730730709403E-2</v>
      </c>
      <c r="J65" s="648">
        <f>G65/$G$72</f>
        <v>1.5569111562348675E-2</v>
      </c>
      <c r="K65" s="649">
        <f>AVERAGE(I65:J65)</f>
        <v>1.5718421146529039E-2</v>
      </c>
    </row>
    <row r="66" spans="1:11">
      <c r="A66" s="22" t="s">
        <v>369</v>
      </c>
      <c r="B66">
        <v>19</v>
      </c>
      <c r="C66">
        <v>293.08800000000002</v>
      </c>
      <c r="D66">
        <v>295.64600000000002</v>
      </c>
      <c r="E66" t="s">
        <v>1230</v>
      </c>
      <c r="F66">
        <f t="shared" si="7"/>
        <v>219.67200000000003</v>
      </c>
      <c r="G66">
        <f t="shared" si="8"/>
        <v>249.18700000000001</v>
      </c>
      <c r="I66" s="648">
        <f t="shared" ref="I66:I71" si="9">F66/$F$72</f>
        <v>0.58514288149679294</v>
      </c>
      <c r="J66" s="648">
        <f t="shared" ref="J66:J71" si="10">G66/$G$72</f>
        <v>0.52927970025743198</v>
      </c>
      <c r="K66" s="649">
        <f t="shared" ref="K66:K71" si="11">AVERAGE(I66:J66)</f>
        <v>0.55721129087711252</v>
      </c>
    </row>
    <row r="67" spans="1:11">
      <c r="A67" s="22" t="s">
        <v>1256</v>
      </c>
      <c r="B67">
        <v>3.5</v>
      </c>
      <c r="C67">
        <v>84.695999999999998</v>
      </c>
      <c r="D67">
        <v>91.4</v>
      </c>
      <c r="E67" t="s">
        <v>1230</v>
      </c>
      <c r="F67">
        <f t="shared" si="7"/>
        <v>46.666999999999994</v>
      </c>
      <c r="G67">
        <f t="shared" si="8"/>
        <v>65.334000000000003</v>
      </c>
      <c r="I67" s="648">
        <f t="shared" si="9"/>
        <v>0.12430743495215972</v>
      </c>
      <c r="J67" s="648">
        <f t="shared" si="10"/>
        <v>0.13877112343990283</v>
      </c>
      <c r="K67" s="649">
        <f t="shared" si="11"/>
        <v>0.13153927919603128</v>
      </c>
    </row>
    <row r="68" spans="1:11">
      <c r="A68" s="22" t="s">
        <v>1257</v>
      </c>
      <c r="B68">
        <v>1.1000000000000001</v>
      </c>
      <c r="C68">
        <v>113.503</v>
      </c>
      <c r="D68">
        <v>139.09700000000001</v>
      </c>
      <c r="E68" t="s">
        <v>1230</v>
      </c>
      <c r="F68">
        <f t="shared" si="7"/>
        <v>96.471000000000004</v>
      </c>
      <c r="G68">
        <f t="shared" si="8"/>
        <v>133.09700000000001</v>
      </c>
      <c r="I68" s="648">
        <f t="shared" si="9"/>
        <v>0.25697093357768452</v>
      </c>
      <c r="J68" s="648">
        <f t="shared" si="10"/>
        <v>0.28270150635933428</v>
      </c>
      <c r="K68" s="649">
        <f t="shared" si="11"/>
        <v>0.26983621996850937</v>
      </c>
    </row>
    <row r="69" spans="1:11">
      <c r="A69" s="22" t="s">
        <v>1242</v>
      </c>
      <c r="B69">
        <v>0.5</v>
      </c>
      <c r="C69">
        <v>4.8289999999999997</v>
      </c>
      <c r="D69">
        <v>6.96</v>
      </c>
      <c r="E69" t="s">
        <v>1230</v>
      </c>
      <c r="F69">
        <f t="shared" si="7"/>
        <v>2.13</v>
      </c>
      <c r="G69">
        <f t="shared" si="8"/>
        <v>5.4370000000000003</v>
      </c>
      <c r="I69" s="648">
        <f t="shared" si="9"/>
        <v>5.6737059688452274E-3</v>
      </c>
      <c r="J69" s="648">
        <f t="shared" si="10"/>
        <v>1.1548330090653437E-2</v>
      </c>
      <c r="K69" s="649">
        <f t="shared" si="11"/>
        <v>8.611018029749333E-3</v>
      </c>
    </row>
    <row r="70" spans="1:11">
      <c r="A70" s="22" t="s">
        <v>366</v>
      </c>
      <c r="B70">
        <v>0</v>
      </c>
      <c r="C70">
        <v>10.5</v>
      </c>
      <c r="D70">
        <v>14</v>
      </c>
      <c r="E70" t="s">
        <v>1230</v>
      </c>
      <c r="F70">
        <f t="shared" si="7"/>
        <v>4.0999999999999996</v>
      </c>
      <c r="G70">
        <f t="shared" si="8"/>
        <v>10</v>
      </c>
      <c r="I70" s="648">
        <f t="shared" si="9"/>
        <v>1.0921218062096448E-2</v>
      </c>
      <c r="J70" s="648">
        <f t="shared" si="10"/>
        <v>2.124026134017553E-2</v>
      </c>
      <c r="K70" s="649">
        <f t="shared" si="11"/>
        <v>1.608073970113599E-2</v>
      </c>
    </row>
    <row r="71" spans="1:11">
      <c r="A71" s="31" t="s">
        <v>1212</v>
      </c>
      <c r="B71" s="523">
        <v>0</v>
      </c>
      <c r="C71" s="523">
        <v>0.46400000000000002</v>
      </c>
      <c r="D71" s="523">
        <f>C71</f>
        <v>0.46400000000000002</v>
      </c>
      <c r="E71" s="523" t="s">
        <v>1230</v>
      </c>
      <c r="F71" s="523">
        <f t="shared" si="7"/>
        <v>0.41900000000000004</v>
      </c>
      <c r="G71" s="523">
        <f t="shared" si="8"/>
        <v>0.41900000000000004</v>
      </c>
      <c r="H71" s="523"/>
      <c r="I71" s="690">
        <f t="shared" si="9"/>
        <v>1.1160952117118079E-3</v>
      </c>
      <c r="J71" s="690">
        <f t="shared" si="10"/>
        <v>8.8996695015335482E-4</v>
      </c>
      <c r="K71" s="691">
        <f t="shared" si="11"/>
        <v>1.0030310809325813E-3</v>
      </c>
    </row>
    <row r="72" spans="1:11">
      <c r="A72" s="31" t="s">
        <v>1276</v>
      </c>
      <c r="B72" s="523"/>
      <c r="C72" s="523"/>
      <c r="D72" s="523"/>
      <c r="E72" s="523"/>
      <c r="F72" s="523">
        <f>SUM(F65:F71)</f>
        <v>375.416</v>
      </c>
      <c r="G72" s="523">
        <f>SUM(G65:G71)</f>
        <v>470.80399999999997</v>
      </c>
      <c r="H72" s="523"/>
      <c r="I72" s="523"/>
      <c r="J72" s="523"/>
      <c r="K72" s="605"/>
    </row>
  </sheetData>
  <hyperlinks>
    <hyperlink ref="F8" r:id="rId1" xr:uid="{FD38CB49-ED7F-4475-9643-558EDB570AC5}"/>
    <hyperlink ref="F9" r:id="rId2" xr:uid="{214A6333-2622-48FA-BCEB-9D40FF02DD78}"/>
    <hyperlink ref="F10" r:id="rId3" xr:uid="{889DE3A9-83B2-4662-A9DA-87211084567A}"/>
    <hyperlink ref="F11" r:id="rId4" xr:uid="{2836972A-03C0-4F3D-B38B-2C8F249124B3}"/>
    <hyperlink ref="F14" r:id="rId5" xr:uid="{15756AA1-AE87-4E91-A02B-AE6DC003F90A}"/>
    <hyperlink ref="F15" r:id="rId6" xr:uid="{4696E1C6-976B-43EA-9399-7A15631057F9}"/>
    <hyperlink ref="F16" r:id="rId7" xr:uid="{467C3CAE-B908-4B06-864F-6743593EB2E1}"/>
    <hyperlink ref="F13" r:id="rId8" xr:uid="{CA022A4A-84C5-48C5-BC60-5AE0EA22EA5A}"/>
    <hyperlink ref="F17" r:id="rId9" xr:uid="{D54B44C7-163B-406D-BC54-D19F535C474D}"/>
    <hyperlink ref="F18" r:id="rId10" xr:uid="{993C1C58-E766-4BC2-88F1-C6CF8DF9386F}"/>
    <hyperlink ref="D23" r:id="rId11" xr:uid="{55293912-A95E-4E38-9A43-AF1912773B1B}"/>
    <hyperlink ref="D24:D28" r:id="rId12" display="Revised PDP8" xr:uid="{4D60E473-B176-409A-AA56-97470BD6D605}"/>
    <hyperlink ref="F23" r:id="rId13" xr:uid="{6AB73701-8934-4F37-97C0-01EDF81E922C}"/>
  </hyperlinks>
  <pageMargins left="0.7" right="0.7" top="0.75" bottom="0.75" header="0.3" footer="0.3"/>
  <pageSetup orientation="portrait" r:id="rId14"/>
  <headerFooter>
    <oddFooter>&amp;R_x000D_&amp;1#&amp;"Aptos"&amp;10&amp;K000000 Official Use Only</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DFFAB-AEF1-49E9-AEB7-9F32D3F23854}">
  <dimension ref="A1:S151"/>
  <sheetViews>
    <sheetView zoomScale="85" zoomScaleNormal="85" workbookViewId="0">
      <selection activeCell="B28" sqref="B28"/>
    </sheetView>
  </sheetViews>
  <sheetFormatPr defaultRowHeight="15"/>
  <cols>
    <col min="1" max="1" width="39.5703125" customWidth="1"/>
    <col min="2" max="2" width="25.5703125" customWidth="1"/>
    <col min="3" max="3" width="24" customWidth="1"/>
    <col min="4" max="4" width="21" customWidth="1"/>
    <col min="5" max="5" width="29.7109375" customWidth="1"/>
    <col min="6" max="6" width="35.28515625" customWidth="1"/>
    <col min="7" max="7" width="51" customWidth="1"/>
    <col min="8" max="8" width="30.28515625" customWidth="1"/>
    <col min="9" max="9" width="13.85546875" customWidth="1"/>
    <col min="10" max="10" width="17.140625" customWidth="1"/>
    <col min="11" max="11" width="15.140625" customWidth="1"/>
    <col min="12" max="12" width="14.42578125" customWidth="1"/>
    <col min="13" max="13" width="18.5703125" customWidth="1"/>
    <col min="14" max="14" width="12.28515625" customWidth="1"/>
  </cols>
  <sheetData>
    <row r="1" spans="1:10">
      <c r="A1" s="23" t="s">
        <v>1206</v>
      </c>
    </row>
    <row r="2" spans="1:10">
      <c r="A2" s="23" t="s">
        <v>163</v>
      </c>
      <c r="B2" s="23" t="s">
        <v>17</v>
      </c>
    </row>
    <row r="3" spans="1:10">
      <c r="A3" s="23" t="s">
        <v>1207</v>
      </c>
      <c r="B3" s="23" t="s">
        <v>1279</v>
      </c>
    </row>
    <row r="4" spans="1:10" ht="15.75">
      <c r="A4" s="575"/>
    </row>
    <row r="5" spans="1:10" ht="18">
      <c r="A5" t="s">
        <v>1280</v>
      </c>
      <c r="B5" t="s">
        <v>1281</v>
      </c>
      <c r="C5">
        <v>1.2</v>
      </c>
      <c r="D5" t="s">
        <v>1282</v>
      </c>
    </row>
    <row r="6" spans="1:10">
      <c r="A6" t="s">
        <v>1283</v>
      </c>
      <c r="B6" t="s">
        <v>1284</v>
      </c>
      <c r="C6" s="46">
        <v>0.85</v>
      </c>
      <c r="D6" t="s">
        <v>1285</v>
      </c>
    </row>
    <row r="7" spans="1:10">
      <c r="A7" t="s">
        <v>1286</v>
      </c>
      <c r="B7" t="s">
        <v>1287</v>
      </c>
      <c r="C7" s="576">
        <v>25</v>
      </c>
      <c r="D7" t="s">
        <v>1134</v>
      </c>
    </row>
    <row r="8" spans="1:10" ht="15.75">
      <c r="A8" s="575"/>
    </row>
    <row r="10" spans="1:10">
      <c r="A10" s="23" t="s">
        <v>1288</v>
      </c>
      <c r="B10" s="23" t="s">
        <v>595</v>
      </c>
      <c r="C10" s="23" t="s">
        <v>116</v>
      </c>
      <c r="D10" s="23" t="s">
        <v>1289</v>
      </c>
      <c r="E10" s="23" t="s">
        <v>612</v>
      </c>
    </row>
    <row r="11" spans="1:10">
      <c r="A11">
        <v>2022</v>
      </c>
      <c r="B11" s="577">
        <v>1017.9589999999999</v>
      </c>
      <c r="C11" t="s">
        <v>1290</v>
      </c>
      <c r="D11" t="s">
        <v>1291</v>
      </c>
      <c r="E11" t="s">
        <v>1292</v>
      </c>
    </row>
    <row r="12" spans="1:10">
      <c r="A12">
        <v>2030</v>
      </c>
      <c r="B12" s="577">
        <v>930</v>
      </c>
      <c r="C12" t="s">
        <v>1290</v>
      </c>
      <c r="D12" s="498"/>
      <c r="F12" s="577"/>
      <c r="G12" s="50"/>
    </row>
    <row r="13" spans="1:10">
      <c r="A13">
        <v>2060</v>
      </c>
      <c r="B13" s="577">
        <f>B12</f>
        <v>930</v>
      </c>
      <c r="C13" t="s">
        <v>1290</v>
      </c>
      <c r="F13" s="577"/>
      <c r="G13" s="50"/>
    </row>
    <row r="14" spans="1:10">
      <c r="G14" s="50"/>
    </row>
    <row r="15" spans="1:10">
      <c r="B15" s="578" t="s">
        <v>1293</v>
      </c>
      <c r="C15" s="23" t="s">
        <v>1294</v>
      </c>
      <c r="D15" s="23" t="s">
        <v>116</v>
      </c>
      <c r="E15" t="s">
        <v>505</v>
      </c>
      <c r="G15" s="50"/>
    </row>
    <row r="16" spans="1:10">
      <c r="A16" s="23" t="s">
        <v>1295</v>
      </c>
      <c r="B16" s="731">
        <v>0.15</v>
      </c>
      <c r="C16" s="731">
        <v>0.9</v>
      </c>
      <c r="D16" t="s">
        <v>1296</v>
      </c>
      <c r="E16" t="s">
        <v>1297</v>
      </c>
      <c r="G16" s="1225"/>
      <c r="H16" s="23">
        <v>2022</v>
      </c>
      <c r="I16" s="23">
        <v>2030</v>
      </c>
      <c r="J16" s="23">
        <v>2060</v>
      </c>
    </row>
    <row r="17" spans="1:11">
      <c r="A17" s="23" t="s">
        <v>1298</v>
      </c>
      <c r="G17" s="1081" t="s">
        <v>1299</v>
      </c>
      <c r="H17" s="576">
        <v>16.499472919406518</v>
      </c>
      <c r="I17" s="576">
        <v>13.773607564991321</v>
      </c>
      <c r="J17" s="576">
        <v>7.9752847435378618</v>
      </c>
      <c r="K17" t="s">
        <v>1300</v>
      </c>
    </row>
    <row r="18" spans="1:11">
      <c r="B18" s="23">
        <v>2022</v>
      </c>
      <c r="C18" s="23">
        <v>2030</v>
      </c>
      <c r="D18" s="23">
        <v>2060</v>
      </c>
      <c r="E18" s="23" t="s">
        <v>1289</v>
      </c>
      <c r="G18" t="s">
        <v>1301</v>
      </c>
      <c r="H18" s="499">
        <f>B11</f>
        <v>1017.9589999999999</v>
      </c>
      <c r="I18" s="499">
        <f>B12</f>
        <v>930</v>
      </c>
      <c r="J18" s="499">
        <f>B13</f>
        <v>930</v>
      </c>
      <c r="K18" t="s">
        <v>1290</v>
      </c>
    </row>
    <row r="19" spans="1:11">
      <c r="A19" t="s">
        <v>1302</v>
      </c>
      <c r="B19" s="50">
        <f>1-B21</f>
        <v>0.90300000000000002</v>
      </c>
      <c r="C19" s="50">
        <v>0.76</v>
      </c>
      <c r="D19" s="50">
        <v>0.01</v>
      </c>
      <c r="E19" t="s">
        <v>1303</v>
      </c>
      <c r="G19" t="s">
        <v>1304</v>
      </c>
      <c r="H19" s="577">
        <f>H18*H17</f>
        <v>16795.786953566138</v>
      </c>
      <c r="I19" s="577">
        <f t="shared" ref="I19:J19" si="0">I18*I17</f>
        <v>12809.45503544193</v>
      </c>
      <c r="J19" s="577">
        <f t="shared" si="0"/>
        <v>7417.0148114902113</v>
      </c>
      <c r="K19" t="s">
        <v>701</v>
      </c>
    </row>
    <row r="20" spans="1:11">
      <c r="A20" t="s">
        <v>1305</v>
      </c>
      <c r="B20" s="50"/>
      <c r="C20" s="50">
        <v>0.01</v>
      </c>
      <c r="D20" s="50">
        <v>0.14000000000000001</v>
      </c>
      <c r="E20" t="s">
        <v>1303</v>
      </c>
      <c r="G20" s="50"/>
    </row>
    <row r="21" spans="1:11">
      <c r="A21" t="s">
        <v>1306</v>
      </c>
      <c r="B21" s="50">
        <v>9.7000000000000003E-2</v>
      </c>
      <c r="C21" s="50">
        <v>0.2</v>
      </c>
      <c r="D21" s="50">
        <v>0.6</v>
      </c>
      <c r="E21" t="s">
        <v>1303</v>
      </c>
      <c r="F21" s="50"/>
      <c r="G21" s="50"/>
    </row>
    <row r="22" spans="1:11">
      <c r="A22" t="s">
        <v>1307</v>
      </c>
      <c r="C22" s="50">
        <f>1.3/77.5</f>
        <v>1.6774193548387096E-2</v>
      </c>
      <c r="D22" s="50"/>
      <c r="E22" t="s">
        <v>1303</v>
      </c>
      <c r="F22" s="50"/>
      <c r="G22" s="50"/>
    </row>
    <row r="23" spans="1:11">
      <c r="A23" t="s">
        <v>1308</v>
      </c>
      <c r="C23" s="50">
        <f>0.8/77.5</f>
        <v>1.032258064516129E-2</v>
      </c>
      <c r="D23" s="50">
        <v>0.13400000000000001</v>
      </c>
      <c r="E23" t="s">
        <v>1303</v>
      </c>
    </row>
    <row r="24" spans="1:11">
      <c r="A24" t="s">
        <v>1309</v>
      </c>
      <c r="C24" s="50"/>
      <c r="D24" s="50">
        <v>0.114</v>
      </c>
      <c r="E24" t="s">
        <v>1303</v>
      </c>
    </row>
    <row r="25" spans="1:11">
      <c r="A25" s="58" t="s">
        <v>1310</v>
      </c>
      <c r="B25" s="579">
        <f>SUM(B19:B24)</f>
        <v>1</v>
      </c>
      <c r="C25" s="579">
        <f>SUM(C19:C24)</f>
        <v>0.99709677419354836</v>
      </c>
      <c r="D25" s="579">
        <f>SUM(D19:D24)</f>
        <v>0.998</v>
      </c>
    </row>
    <row r="26" spans="1:11">
      <c r="C26" s="50"/>
      <c r="D26" s="50"/>
    </row>
    <row r="28" spans="1:11">
      <c r="A28" s="23" t="s">
        <v>1311</v>
      </c>
      <c r="B28" s="23">
        <v>2022</v>
      </c>
      <c r="C28" s="23">
        <v>2030</v>
      </c>
      <c r="D28" s="23">
        <v>2060</v>
      </c>
      <c r="E28" s="23" t="s">
        <v>116</v>
      </c>
      <c r="F28" s="23" t="s">
        <v>1289</v>
      </c>
    </row>
    <row r="29" spans="1:11">
      <c r="A29" t="s">
        <v>1302</v>
      </c>
      <c r="B29" s="577">
        <f>B11*B19</f>
        <v>919.21697699999993</v>
      </c>
      <c r="C29" s="577">
        <f t="shared" ref="C29:C34" si="1">$B$12*C19</f>
        <v>706.8</v>
      </c>
      <c r="D29" s="577">
        <f t="shared" ref="D29:D34" si="2">$B$13*D19</f>
        <v>9.3000000000000007</v>
      </c>
      <c r="E29" t="s">
        <v>1290</v>
      </c>
      <c r="F29" t="s">
        <v>1303</v>
      </c>
    </row>
    <row r="30" spans="1:11">
      <c r="A30" t="s">
        <v>1305</v>
      </c>
      <c r="B30" s="577"/>
      <c r="C30" s="577">
        <f t="shared" si="1"/>
        <v>9.3000000000000007</v>
      </c>
      <c r="D30" s="577">
        <f>$B$13*D20</f>
        <v>130.20000000000002</v>
      </c>
      <c r="E30" t="s">
        <v>1290</v>
      </c>
      <c r="F30" t="s">
        <v>1303</v>
      </c>
    </row>
    <row r="31" spans="1:11">
      <c r="A31" t="s">
        <v>1306</v>
      </c>
      <c r="B31" s="577">
        <f>B11*B21</f>
        <v>98.742023000000003</v>
      </c>
      <c r="C31" s="577">
        <f t="shared" si="1"/>
        <v>186</v>
      </c>
      <c r="D31" s="577">
        <f t="shared" si="2"/>
        <v>558</v>
      </c>
      <c r="E31" t="s">
        <v>1290</v>
      </c>
      <c r="F31" t="s">
        <v>1303</v>
      </c>
    </row>
    <row r="32" spans="1:11">
      <c r="A32" t="s">
        <v>1307</v>
      </c>
      <c r="B32" s="577"/>
      <c r="C32" s="577">
        <f t="shared" si="1"/>
        <v>15.6</v>
      </c>
      <c r="D32" s="577">
        <f t="shared" si="2"/>
        <v>0</v>
      </c>
      <c r="E32" t="s">
        <v>1290</v>
      </c>
      <c r="F32" t="s">
        <v>1303</v>
      </c>
    </row>
    <row r="33" spans="1:7">
      <c r="A33" t="s">
        <v>1308</v>
      </c>
      <c r="B33" s="577"/>
      <c r="C33" s="577">
        <f t="shared" si="1"/>
        <v>9.6</v>
      </c>
      <c r="D33" s="577">
        <f t="shared" si="2"/>
        <v>124.62</v>
      </c>
      <c r="E33" t="s">
        <v>1290</v>
      </c>
      <c r="F33" t="s">
        <v>1303</v>
      </c>
    </row>
    <row r="34" spans="1:7">
      <c r="A34" t="s">
        <v>1309</v>
      </c>
      <c r="B34" s="577"/>
      <c r="C34" s="577">
        <f t="shared" si="1"/>
        <v>0</v>
      </c>
      <c r="D34" s="577">
        <f t="shared" si="2"/>
        <v>106.02000000000001</v>
      </c>
      <c r="E34" t="s">
        <v>1290</v>
      </c>
      <c r="F34" t="s">
        <v>1303</v>
      </c>
    </row>
    <row r="35" spans="1:7">
      <c r="A35" s="58" t="s">
        <v>1312</v>
      </c>
      <c r="B35" s="580">
        <f>SUM(B29:B34)</f>
        <v>1017.9589999999999</v>
      </c>
      <c r="C35" s="580">
        <f>SUM(C29:C34)</f>
        <v>927.3</v>
      </c>
      <c r="D35" s="580">
        <f>SUM(D29:D34)</f>
        <v>928.14</v>
      </c>
      <c r="E35" t="s">
        <v>1290</v>
      </c>
    </row>
    <row r="36" spans="1:7">
      <c r="B36" s="577"/>
      <c r="C36" s="577"/>
      <c r="D36" s="577"/>
    </row>
    <row r="37" spans="1:7">
      <c r="A37" s="728" t="s">
        <v>1313</v>
      </c>
      <c r="B37" s="693">
        <v>2022</v>
      </c>
      <c r="C37" s="693">
        <v>2030</v>
      </c>
      <c r="D37" s="693">
        <v>2060</v>
      </c>
      <c r="E37" s="693" t="s">
        <v>116</v>
      </c>
      <c r="F37" s="693" t="s">
        <v>1289</v>
      </c>
      <c r="G37" s="727" t="s">
        <v>505</v>
      </c>
    </row>
    <row r="38" spans="1:7">
      <c r="A38" s="22" t="s">
        <v>1302</v>
      </c>
      <c r="B38" s="591">
        <f>B29/$C$6</f>
        <v>1081.4317376470588</v>
      </c>
      <c r="C38" s="600">
        <f>C29/$C$6</f>
        <v>831.52941176470586</v>
      </c>
      <c r="D38" s="591">
        <f>D29/$C$6</f>
        <v>10.941176470588237</v>
      </c>
      <c r="E38" t="s">
        <v>1314</v>
      </c>
      <c r="G38" s="732" t="s">
        <v>1315</v>
      </c>
    </row>
    <row r="39" spans="1:7">
      <c r="A39" s="22" t="s">
        <v>1305</v>
      </c>
      <c r="B39" s="591"/>
      <c r="C39" s="591">
        <f>C30/$C$6</f>
        <v>10.941176470588237</v>
      </c>
      <c r="D39" s="591">
        <f>D30/$C$6</f>
        <v>153.1764705882353</v>
      </c>
      <c r="E39" t="s">
        <v>1314</v>
      </c>
      <c r="G39" s="595"/>
    </row>
    <row r="40" spans="1:7">
      <c r="A40" s="22" t="s">
        <v>1306</v>
      </c>
      <c r="B40" s="591">
        <f t="shared" ref="B40:D44" si="3">B31/$C$6</f>
        <v>116.16708588235295</v>
      </c>
      <c r="C40" s="600">
        <f>C31/$C$6</f>
        <v>218.82352941176472</v>
      </c>
      <c r="D40" s="591">
        <f t="shared" si="3"/>
        <v>656.47058823529414</v>
      </c>
      <c r="E40" t="s">
        <v>1314</v>
      </c>
      <c r="G40" s="595"/>
    </row>
    <row r="41" spans="1:7">
      <c r="A41" s="22" t="s">
        <v>1307</v>
      </c>
      <c r="B41" s="591"/>
      <c r="C41" s="591">
        <f t="shared" si="3"/>
        <v>18.352941176470587</v>
      </c>
      <c r="D41" s="591"/>
      <c r="E41" t="s">
        <v>1314</v>
      </c>
      <c r="G41" s="595"/>
    </row>
    <row r="42" spans="1:7">
      <c r="A42" s="22" t="s">
        <v>1308</v>
      </c>
      <c r="B42" s="591"/>
      <c r="C42" s="591">
        <f t="shared" si="3"/>
        <v>11.294117647058824</v>
      </c>
      <c r="D42" s="591">
        <f t="shared" si="3"/>
        <v>146.61176470588236</v>
      </c>
      <c r="E42" t="s">
        <v>1314</v>
      </c>
      <c r="G42" s="595"/>
    </row>
    <row r="43" spans="1:7">
      <c r="A43" s="22" t="s">
        <v>1309</v>
      </c>
      <c r="B43" s="591"/>
      <c r="C43" s="591"/>
      <c r="D43" s="591">
        <f t="shared" si="3"/>
        <v>124.7294117647059</v>
      </c>
      <c r="E43" t="s">
        <v>1314</v>
      </c>
      <c r="G43" s="595"/>
    </row>
    <row r="44" spans="1:7">
      <c r="A44" s="729" t="s">
        <v>1316</v>
      </c>
      <c r="B44" s="1226">
        <f>B35/$C$6</f>
        <v>1197.5988235294117</v>
      </c>
      <c r="C44" s="1226">
        <f t="shared" si="3"/>
        <v>1090.9411764705883</v>
      </c>
      <c r="D44" s="1226">
        <f t="shared" si="3"/>
        <v>1091.9294117647059</v>
      </c>
      <c r="E44" s="523" t="s">
        <v>1314</v>
      </c>
      <c r="F44" s="523"/>
      <c r="G44" s="605"/>
    </row>
    <row r="45" spans="1:7">
      <c r="B45" s="577"/>
      <c r="C45" s="577"/>
      <c r="D45" s="577"/>
    </row>
    <row r="46" spans="1:7">
      <c r="A46" s="52" t="s">
        <v>1317</v>
      </c>
      <c r="B46" s="52"/>
      <c r="C46" s="52"/>
      <c r="D46" s="52"/>
    </row>
    <row r="47" spans="1:7">
      <c r="A47" s="23" t="s">
        <v>1318</v>
      </c>
      <c r="B47" s="23" t="s">
        <v>1319</v>
      </c>
      <c r="C47" s="23">
        <v>2030</v>
      </c>
      <c r="D47" s="23">
        <v>2060</v>
      </c>
      <c r="E47" s="23" t="s">
        <v>116</v>
      </c>
      <c r="F47" s="23" t="s">
        <v>1320</v>
      </c>
      <c r="G47" s="23" t="s">
        <v>505</v>
      </c>
    </row>
    <row r="48" spans="1:7">
      <c r="A48" t="s">
        <v>1321</v>
      </c>
      <c r="C48" s="724">
        <v>0</v>
      </c>
      <c r="D48" s="724">
        <v>0</v>
      </c>
      <c r="E48" t="s">
        <v>1322</v>
      </c>
      <c r="F48" t="s">
        <v>1323</v>
      </c>
      <c r="G48" t="s">
        <v>1324</v>
      </c>
    </row>
    <row r="49" spans="1:7">
      <c r="A49" t="s">
        <v>1325</v>
      </c>
      <c r="B49" t="s">
        <v>1326</v>
      </c>
      <c r="C49" s="537">
        <v>205</v>
      </c>
      <c r="D49" s="537">
        <v>205</v>
      </c>
      <c r="E49" t="s">
        <v>1322</v>
      </c>
      <c r="F49" t="s">
        <v>1327</v>
      </c>
      <c r="G49" s="1139" t="s">
        <v>1328</v>
      </c>
    </row>
    <row r="50" spans="1:7">
      <c r="A50" t="s">
        <v>1329</v>
      </c>
      <c r="B50" t="s">
        <v>1326</v>
      </c>
      <c r="C50" s="537">
        <v>377</v>
      </c>
      <c r="D50" s="537">
        <v>377</v>
      </c>
      <c r="E50" t="s">
        <v>1322</v>
      </c>
      <c r="F50" t="s">
        <v>1327</v>
      </c>
      <c r="G50" s="1139"/>
    </row>
    <row r="51" spans="1:7">
      <c r="A51" t="s">
        <v>1330</v>
      </c>
      <c r="B51" t="s">
        <v>1326</v>
      </c>
      <c r="C51" s="537">
        <v>172</v>
      </c>
      <c r="D51" s="537">
        <v>172</v>
      </c>
      <c r="E51" t="s">
        <v>1322</v>
      </c>
      <c r="F51" t="s">
        <v>1327</v>
      </c>
      <c r="G51" s="1139"/>
    </row>
    <row r="52" spans="1:7">
      <c r="A52" t="s">
        <v>1306</v>
      </c>
      <c r="B52" t="s">
        <v>1331</v>
      </c>
      <c r="C52" s="537">
        <v>221</v>
      </c>
      <c r="D52" s="537">
        <v>221</v>
      </c>
      <c r="E52" t="s">
        <v>1322</v>
      </c>
      <c r="F52" t="s">
        <v>1327</v>
      </c>
      <c r="G52" s="1139"/>
    </row>
    <row r="53" spans="1:7">
      <c r="A53" t="s">
        <v>1306</v>
      </c>
      <c r="B53" t="s">
        <v>1326</v>
      </c>
      <c r="C53" s="537">
        <v>132</v>
      </c>
      <c r="D53" s="537">
        <v>132</v>
      </c>
      <c r="E53" t="s">
        <v>1322</v>
      </c>
      <c r="F53" t="s">
        <v>1327</v>
      </c>
      <c r="G53" s="1139"/>
    </row>
    <row r="54" spans="1:7">
      <c r="A54" t="s">
        <v>1307</v>
      </c>
      <c r="B54" t="s">
        <v>1331</v>
      </c>
      <c r="C54" s="537">
        <v>734</v>
      </c>
      <c r="D54" s="537">
        <v>734</v>
      </c>
      <c r="E54" t="s">
        <v>1322</v>
      </c>
      <c r="F54" t="s">
        <v>1327</v>
      </c>
      <c r="G54" s="1139"/>
    </row>
    <row r="55" spans="1:7">
      <c r="A55" t="s">
        <v>1309</v>
      </c>
      <c r="B55" t="s">
        <v>1332</v>
      </c>
      <c r="C55" s="537">
        <v>152</v>
      </c>
      <c r="D55" s="537">
        <v>152</v>
      </c>
      <c r="E55" t="s">
        <v>1322</v>
      </c>
      <c r="F55" t="s">
        <v>1327</v>
      </c>
      <c r="G55" s="1139"/>
    </row>
    <row r="56" spans="1:7">
      <c r="A56" t="s">
        <v>1333</v>
      </c>
      <c r="B56" t="s">
        <v>1331</v>
      </c>
      <c r="C56" s="537">
        <f>C54</f>
        <v>734</v>
      </c>
      <c r="D56" s="537">
        <f>D54</f>
        <v>734</v>
      </c>
      <c r="E56" t="s">
        <v>1322</v>
      </c>
      <c r="F56" t="s">
        <v>1327</v>
      </c>
      <c r="G56" s="1139"/>
    </row>
    <row r="57" spans="1:7">
      <c r="C57" s="537"/>
      <c r="D57" s="537"/>
    </row>
    <row r="58" spans="1:7">
      <c r="A58" t="s">
        <v>1321</v>
      </c>
      <c r="C58" s="724">
        <v>0</v>
      </c>
      <c r="D58" s="724">
        <v>0</v>
      </c>
      <c r="E58" t="s">
        <v>1334</v>
      </c>
      <c r="F58" t="s">
        <v>1323</v>
      </c>
      <c r="G58" t="s">
        <v>1324</v>
      </c>
    </row>
    <row r="59" spans="1:7">
      <c r="A59" t="s">
        <v>1325</v>
      </c>
      <c r="B59" t="s">
        <v>1326</v>
      </c>
      <c r="C59" s="725">
        <f t="shared" ref="C59:D66" si="4">C49/$C$6</f>
        <v>241.1764705882353</v>
      </c>
      <c r="D59" s="725">
        <f t="shared" si="4"/>
        <v>241.1764705882353</v>
      </c>
      <c r="E59" t="s">
        <v>1334</v>
      </c>
      <c r="F59" t="s">
        <v>1335</v>
      </c>
    </row>
    <row r="60" spans="1:7">
      <c r="A60" t="s">
        <v>1329</v>
      </c>
      <c r="B60" t="s">
        <v>1326</v>
      </c>
      <c r="C60" s="725">
        <f t="shared" si="4"/>
        <v>443.52941176470591</v>
      </c>
      <c r="D60" s="725">
        <f t="shared" si="4"/>
        <v>443.52941176470591</v>
      </c>
      <c r="E60" t="s">
        <v>1334</v>
      </c>
      <c r="F60" t="s">
        <v>1335</v>
      </c>
    </row>
    <row r="61" spans="1:7">
      <c r="A61" t="s">
        <v>1330</v>
      </c>
      <c r="B61" t="s">
        <v>1326</v>
      </c>
      <c r="C61" s="725">
        <f t="shared" si="4"/>
        <v>202.35294117647058</v>
      </c>
      <c r="D61" s="725">
        <f t="shared" si="4"/>
        <v>202.35294117647058</v>
      </c>
      <c r="E61" t="s">
        <v>1334</v>
      </c>
      <c r="F61" t="s">
        <v>1335</v>
      </c>
    </row>
    <row r="62" spans="1:7">
      <c r="A62" t="s">
        <v>1306</v>
      </c>
      <c r="B62" t="s">
        <v>1331</v>
      </c>
      <c r="C62" s="725">
        <f t="shared" si="4"/>
        <v>260</v>
      </c>
      <c r="D62" s="725">
        <f t="shared" si="4"/>
        <v>260</v>
      </c>
      <c r="E62" t="s">
        <v>1334</v>
      </c>
      <c r="F62" t="s">
        <v>1335</v>
      </c>
    </row>
    <row r="63" spans="1:7">
      <c r="A63" t="s">
        <v>1306</v>
      </c>
      <c r="B63" t="s">
        <v>1326</v>
      </c>
      <c r="C63" s="725">
        <f t="shared" si="4"/>
        <v>155.29411764705884</v>
      </c>
      <c r="D63" s="725">
        <f t="shared" si="4"/>
        <v>155.29411764705884</v>
      </c>
      <c r="E63" t="s">
        <v>1334</v>
      </c>
      <c r="F63" t="s">
        <v>1335</v>
      </c>
    </row>
    <row r="64" spans="1:7">
      <c r="A64" t="s">
        <v>1307</v>
      </c>
      <c r="B64" t="s">
        <v>1331</v>
      </c>
      <c r="C64" s="725">
        <f t="shared" si="4"/>
        <v>863.52941176470586</v>
      </c>
      <c r="D64" s="725">
        <f t="shared" si="4"/>
        <v>863.52941176470586</v>
      </c>
      <c r="E64" t="s">
        <v>1334</v>
      </c>
      <c r="F64" t="s">
        <v>1335</v>
      </c>
    </row>
    <row r="65" spans="1:7">
      <c r="A65" t="s">
        <v>1309</v>
      </c>
      <c r="B65" t="s">
        <v>1332</v>
      </c>
      <c r="C65" s="725">
        <f t="shared" si="4"/>
        <v>178.82352941176472</v>
      </c>
      <c r="D65" s="725">
        <f t="shared" si="4"/>
        <v>178.82352941176472</v>
      </c>
      <c r="E65" t="s">
        <v>1334</v>
      </c>
      <c r="F65" t="s">
        <v>1335</v>
      </c>
    </row>
    <row r="66" spans="1:7">
      <c r="A66" t="s">
        <v>1333</v>
      </c>
      <c r="B66" t="s">
        <v>1331</v>
      </c>
      <c r="C66" s="725">
        <f t="shared" si="4"/>
        <v>863.52941176470586</v>
      </c>
      <c r="D66" s="725">
        <f t="shared" si="4"/>
        <v>863.52941176470586</v>
      </c>
      <c r="E66" t="s">
        <v>1334</v>
      </c>
      <c r="F66" t="s">
        <v>1335</v>
      </c>
    </row>
    <row r="68" spans="1:7" ht="13.5" customHeight="1">
      <c r="A68" s="23" t="s">
        <v>1336</v>
      </c>
      <c r="B68" s="23" t="s">
        <v>1319</v>
      </c>
      <c r="C68" s="23"/>
      <c r="D68" s="23" t="s">
        <v>1337</v>
      </c>
      <c r="E68" s="23" t="s">
        <v>116</v>
      </c>
      <c r="F68" s="23" t="s">
        <v>612</v>
      </c>
    </row>
    <row r="69" spans="1:7">
      <c r="A69" t="s">
        <v>1338</v>
      </c>
      <c r="B69" t="s">
        <v>1331</v>
      </c>
      <c r="C69" s="577">
        <f>230/1.6</f>
        <v>143.75</v>
      </c>
      <c r="D69">
        <v>2015</v>
      </c>
      <c r="E69" t="s">
        <v>1339</v>
      </c>
      <c r="F69" t="s">
        <v>1340</v>
      </c>
      <c r="G69" s="28" t="s">
        <v>1341</v>
      </c>
    </row>
    <row r="70" spans="1:7">
      <c r="A70" t="s">
        <v>1342</v>
      </c>
      <c r="B70" t="s">
        <v>1331</v>
      </c>
      <c r="C70" s="577">
        <f>500/2</f>
        <v>250</v>
      </c>
      <c r="D70">
        <v>2015</v>
      </c>
      <c r="E70" t="s">
        <v>1339</v>
      </c>
      <c r="F70" t="s">
        <v>1340</v>
      </c>
    </row>
    <row r="72" spans="1:7">
      <c r="A72" s="726" t="s">
        <v>1343</v>
      </c>
      <c r="B72" s="693" t="s">
        <v>1319</v>
      </c>
      <c r="C72" s="693">
        <v>2030</v>
      </c>
      <c r="D72" s="693">
        <v>2060</v>
      </c>
      <c r="E72" s="693" t="s">
        <v>116</v>
      </c>
      <c r="F72" s="727" t="s">
        <v>612</v>
      </c>
    </row>
    <row r="73" spans="1:7">
      <c r="A73" s="22" t="s">
        <v>1321</v>
      </c>
      <c r="B73" t="s">
        <v>1344</v>
      </c>
      <c r="C73" s="499">
        <f>C58</f>
        <v>0</v>
      </c>
      <c r="D73" s="499">
        <f>C73</f>
        <v>0</v>
      </c>
      <c r="E73" t="s">
        <v>1334</v>
      </c>
      <c r="F73" s="595" t="s">
        <v>1323</v>
      </c>
    </row>
    <row r="74" spans="1:7">
      <c r="A74" s="22" t="s">
        <v>1325</v>
      </c>
      <c r="B74" t="s">
        <v>1326</v>
      </c>
      <c r="C74" s="499">
        <f>C59</f>
        <v>241.1764705882353</v>
      </c>
      <c r="D74" s="499">
        <f>C74</f>
        <v>241.1764705882353</v>
      </c>
      <c r="E74" t="s">
        <v>1334</v>
      </c>
      <c r="F74" s="595" t="s">
        <v>1345</v>
      </c>
    </row>
    <row r="75" spans="1:7">
      <c r="A75" s="22" t="s">
        <v>1329</v>
      </c>
      <c r="B75" t="s">
        <v>1326</v>
      </c>
      <c r="C75" s="499">
        <f>C60</f>
        <v>443.52941176470591</v>
      </c>
      <c r="D75" s="499">
        <f t="shared" ref="D75:D81" si="5">C75</f>
        <v>443.52941176470591</v>
      </c>
      <c r="E75" t="s">
        <v>1334</v>
      </c>
      <c r="F75" s="595" t="s">
        <v>1345</v>
      </c>
    </row>
    <row r="76" spans="1:7">
      <c r="A76" s="22" t="s">
        <v>1330</v>
      </c>
      <c r="B76" t="s">
        <v>1326</v>
      </c>
      <c r="C76" s="499">
        <f>C61</f>
        <v>202.35294117647058</v>
      </c>
      <c r="D76" s="499">
        <f t="shared" si="5"/>
        <v>202.35294117647058</v>
      </c>
      <c r="E76" t="s">
        <v>1334</v>
      </c>
      <c r="F76" s="595" t="s">
        <v>1345</v>
      </c>
    </row>
    <row r="77" spans="1:7">
      <c r="A77" s="22" t="s">
        <v>1306</v>
      </c>
      <c r="B77" t="s">
        <v>1331</v>
      </c>
      <c r="C77" s="499">
        <f>AVERAGE(C62)</f>
        <v>260</v>
      </c>
      <c r="D77" s="499">
        <f t="shared" si="5"/>
        <v>260</v>
      </c>
      <c r="E77" t="s">
        <v>1334</v>
      </c>
      <c r="F77" s="595" t="s">
        <v>1346</v>
      </c>
    </row>
    <row r="78" spans="1:7">
      <c r="A78" s="22" t="s">
        <v>1306</v>
      </c>
      <c r="B78" t="s">
        <v>1326</v>
      </c>
      <c r="C78" s="499">
        <f>C63</f>
        <v>155.29411764705884</v>
      </c>
      <c r="D78" s="499">
        <f t="shared" si="5"/>
        <v>155.29411764705884</v>
      </c>
      <c r="E78" t="s">
        <v>1334</v>
      </c>
      <c r="F78" s="595" t="s">
        <v>1345</v>
      </c>
    </row>
    <row r="79" spans="1:7">
      <c r="A79" s="22" t="s">
        <v>1307</v>
      </c>
      <c r="B79" t="s">
        <v>1331</v>
      </c>
      <c r="C79" s="499">
        <f>AVERAGE(C70,C64)</f>
        <v>556.76470588235293</v>
      </c>
      <c r="D79" s="499">
        <f t="shared" si="5"/>
        <v>556.76470588235293</v>
      </c>
      <c r="E79" t="s">
        <v>1334</v>
      </c>
      <c r="F79" s="595" t="s">
        <v>1346</v>
      </c>
    </row>
    <row r="80" spans="1:7">
      <c r="A80" s="22" t="s">
        <v>1309</v>
      </c>
      <c r="B80" t="s">
        <v>1332</v>
      </c>
      <c r="C80" s="499">
        <f>C65</f>
        <v>178.82352941176472</v>
      </c>
      <c r="D80" s="499">
        <f t="shared" si="5"/>
        <v>178.82352941176472</v>
      </c>
      <c r="E80" t="s">
        <v>1334</v>
      </c>
      <c r="F80" s="595" t="s">
        <v>1345</v>
      </c>
    </row>
    <row r="81" spans="1:7">
      <c r="A81" s="31" t="s">
        <v>1333</v>
      </c>
      <c r="B81" s="523" t="s">
        <v>1331</v>
      </c>
      <c r="C81" s="631">
        <f>C79</f>
        <v>556.76470588235293</v>
      </c>
      <c r="D81" s="631">
        <f t="shared" si="5"/>
        <v>556.76470588235293</v>
      </c>
      <c r="E81" s="523" t="s">
        <v>1334</v>
      </c>
      <c r="F81" s="605" t="s">
        <v>1345</v>
      </c>
    </row>
    <row r="83" spans="1:7">
      <c r="A83" s="23" t="s">
        <v>1347</v>
      </c>
      <c r="B83" s="23" t="s">
        <v>1319</v>
      </c>
      <c r="C83" s="23">
        <v>2030</v>
      </c>
      <c r="D83" s="23">
        <v>2060</v>
      </c>
      <c r="E83" s="23" t="s">
        <v>116</v>
      </c>
      <c r="F83" s="23" t="s">
        <v>612</v>
      </c>
      <c r="G83" s="23" t="s">
        <v>505</v>
      </c>
    </row>
    <row r="84" spans="1:7">
      <c r="A84" t="s">
        <v>1321</v>
      </c>
      <c r="B84" t="s">
        <v>1344</v>
      </c>
      <c r="C84" s="498">
        <f>(B38-C38)*C58</f>
        <v>0</v>
      </c>
      <c r="D84" s="581">
        <f>(C38-D38)*D73</f>
        <v>0</v>
      </c>
      <c r="E84" t="s">
        <v>1348</v>
      </c>
      <c r="F84" t="s">
        <v>1349</v>
      </c>
      <c r="G84" t="s">
        <v>1350</v>
      </c>
    </row>
    <row r="85" spans="1:7">
      <c r="A85" t="s">
        <v>1351</v>
      </c>
      <c r="B85" t="s">
        <v>1326</v>
      </c>
      <c r="C85" s="577">
        <f>C38*B16*C74</f>
        <v>30081.799307958478</v>
      </c>
      <c r="D85" s="1009">
        <f>D38*C16*D59+C85</f>
        <v>32456.67820069204</v>
      </c>
      <c r="E85" t="s">
        <v>1348</v>
      </c>
      <c r="F85" t="s">
        <v>1349</v>
      </c>
    </row>
    <row r="86" spans="1:7">
      <c r="A86" t="s">
        <v>1352</v>
      </c>
      <c r="B86" t="s">
        <v>1326</v>
      </c>
      <c r="C86" s="577">
        <f>C39*C75</f>
        <v>4852.7335640138417</v>
      </c>
      <c r="D86" s="576">
        <f>(D39-C39)*D75+C86</f>
        <v>67938.269896193786</v>
      </c>
      <c r="E86" t="s">
        <v>1348</v>
      </c>
      <c r="F86" t="s">
        <v>1349</v>
      </c>
    </row>
    <row r="87" spans="1:7">
      <c r="A87" t="s">
        <v>1353</v>
      </c>
      <c r="B87" t="s">
        <v>1332</v>
      </c>
      <c r="C87" s="577"/>
      <c r="D87" s="582">
        <f>D34*D80</f>
        <v>18958.870588235299</v>
      </c>
      <c r="E87" t="s">
        <v>1348</v>
      </c>
      <c r="F87" t="s">
        <v>1349</v>
      </c>
    </row>
    <row r="88" spans="1:7">
      <c r="A88" t="s">
        <v>1354</v>
      </c>
      <c r="B88" t="s">
        <v>1331</v>
      </c>
      <c r="C88" s="576">
        <f>(C40-B40)*C77*50%</f>
        <v>13345.337658823531</v>
      </c>
      <c r="D88" s="577">
        <f>(D40-C40)*D77*50%+C88</f>
        <v>70239.455305882351</v>
      </c>
      <c r="E88" t="s">
        <v>1348</v>
      </c>
      <c r="F88" t="s">
        <v>1349</v>
      </c>
      <c r="G88" t="s">
        <v>1355</v>
      </c>
    </row>
    <row r="89" spans="1:7">
      <c r="A89" t="s">
        <v>1354</v>
      </c>
      <c r="B89" t="s">
        <v>1332</v>
      </c>
      <c r="C89" s="576">
        <f>(C40-B40)*C63*50%</f>
        <v>7970.9709093425618</v>
      </c>
      <c r="D89" s="577">
        <f>(D40-C40)*D63*50%+C89</f>
        <v>41952.977829757787</v>
      </c>
      <c r="E89" t="s">
        <v>1348</v>
      </c>
      <c r="F89" t="s">
        <v>1349</v>
      </c>
      <c r="G89" t="s">
        <v>1356</v>
      </c>
    </row>
    <row r="90" spans="1:7">
      <c r="A90" t="s">
        <v>1357</v>
      </c>
      <c r="B90" t="s">
        <v>1331</v>
      </c>
      <c r="C90" s="577">
        <f>C41*C79</f>
        <v>10218.269896193771</v>
      </c>
      <c r="D90" s="577">
        <f>D41*D79</f>
        <v>0</v>
      </c>
      <c r="E90" t="s">
        <v>1348</v>
      </c>
      <c r="F90" t="s">
        <v>1349</v>
      </c>
    </row>
    <row r="91" spans="1:7">
      <c r="A91" t="s">
        <v>1358</v>
      </c>
      <c r="B91" t="s">
        <v>1331</v>
      </c>
      <c r="C91" s="577">
        <f>C42*C81</f>
        <v>6288.166089965398</v>
      </c>
      <c r="D91" s="576">
        <f>(D42-C42)*D81+C91</f>
        <v>81628.256055363323</v>
      </c>
      <c r="E91" t="s">
        <v>1348</v>
      </c>
      <c r="F91" t="s">
        <v>1349</v>
      </c>
    </row>
    <row r="92" spans="1:7">
      <c r="A92" s="23" t="s">
        <v>125</v>
      </c>
      <c r="B92" s="23"/>
      <c r="C92" s="583">
        <f>SUM(C85:C91)</f>
        <v>72757.277426297587</v>
      </c>
      <c r="D92" s="583">
        <f>SUM(D85:D91)</f>
        <v>313174.50787612458</v>
      </c>
      <c r="E92" s="23" t="s">
        <v>1348</v>
      </c>
      <c r="F92" t="s">
        <v>1349</v>
      </c>
    </row>
    <row r="94" spans="1:7">
      <c r="A94" s="23" t="s">
        <v>1359</v>
      </c>
      <c r="B94" s="23" t="s">
        <v>595</v>
      </c>
      <c r="C94" s="23" t="s">
        <v>116</v>
      </c>
      <c r="D94" s="23" t="s">
        <v>612</v>
      </c>
    </row>
    <row r="95" spans="1:7">
      <c r="A95" t="s">
        <v>1360</v>
      </c>
      <c r="B95">
        <v>51</v>
      </c>
      <c r="C95" t="s">
        <v>1361</v>
      </c>
      <c r="D95" t="s">
        <v>1362</v>
      </c>
    </row>
    <row r="97" spans="1:7">
      <c r="A97" s="23"/>
      <c r="B97" s="23">
        <v>2030</v>
      </c>
      <c r="C97" s="23">
        <v>2050</v>
      </c>
      <c r="D97" s="23" t="s">
        <v>116</v>
      </c>
      <c r="E97" s="23" t="s">
        <v>612</v>
      </c>
    </row>
    <row r="98" spans="1:7">
      <c r="A98" t="s">
        <v>1363</v>
      </c>
      <c r="B98" s="498">
        <f>C33*$B$95/1000</f>
        <v>0.48959999999999998</v>
      </c>
      <c r="C98" s="498">
        <f>D33*$B$95/1000</f>
        <v>6.35562</v>
      </c>
      <c r="D98" t="s">
        <v>1364</v>
      </c>
      <c r="E98" t="s">
        <v>1365</v>
      </c>
    </row>
    <row r="99" spans="1:7">
      <c r="A99" s="584" t="s">
        <v>1366</v>
      </c>
      <c r="B99" s="585">
        <f>B98/B101</f>
        <v>0.75323076923076915</v>
      </c>
      <c r="C99" s="585">
        <f>C98/C101</f>
        <v>7.9445249999999996</v>
      </c>
      <c r="D99" s="584" t="s">
        <v>1367</v>
      </c>
      <c r="E99" s="584"/>
      <c r="F99" s="584"/>
      <c r="G99" s="584"/>
    </row>
    <row r="100" spans="1:7">
      <c r="A100" t="s">
        <v>1368</v>
      </c>
      <c r="B100" s="498">
        <f>50</f>
        <v>50</v>
      </c>
      <c r="C100" s="498">
        <v>45</v>
      </c>
      <c r="D100" t="s">
        <v>1369</v>
      </c>
      <c r="E100" t="s">
        <v>1030</v>
      </c>
    </row>
    <row r="101" spans="1:7">
      <c r="A101" s="584" t="s">
        <v>1370</v>
      </c>
      <c r="B101" s="586">
        <v>0.65</v>
      </c>
      <c r="C101" s="586">
        <v>0.8</v>
      </c>
      <c r="D101" s="584"/>
      <c r="E101" s="584" t="s">
        <v>1371</v>
      </c>
      <c r="F101" s="584"/>
      <c r="G101" s="584"/>
    </row>
    <row r="102" spans="1:7">
      <c r="A102" s="584" t="s">
        <v>1372</v>
      </c>
      <c r="B102" s="750">
        <f>8760</f>
        <v>8760</v>
      </c>
      <c r="C102" s="751">
        <f>B102</f>
        <v>8760</v>
      </c>
      <c r="D102" s="584" t="s">
        <v>1373</v>
      </c>
      <c r="E102" s="584" t="s">
        <v>1374</v>
      </c>
      <c r="F102" s="584"/>
      <c r="G102" s="584"/>
    </row>
    <row r="103" spans="1:7">
      <c r="A103" s="587" t="s">
        <v>1375</v>
      </c>
      <c r="B103" s="582">
        <f>B102*30%</f>
        <v>2628</v>
      </c>
      <c r="C103" s="582">
        <f>B103</f>
        <v>2628</v>
      </c>
      <c r="D103" s="587" t="s">
        <v>1373</v>
      </c>
      <c r="E103" s="587" t="s">
        <v>1376</v>
      </c>
      <c r="F103" s="584"/>
      <c r="G103" s="584"/>
    </row>
    <row r="104" spans="1:7">
      <c r="A104" s="584" t="s">
        <v>1377</v>
      </c>
      <c r="B104" s="751">
        <f>B98/(B102/B100)*1000</f>
        <v>2.7945205479452055</v>
      </c>
      <c r="C104" s="751">
        <f>C98*C100/C102*1000</f>
        <v>32.64873287671233</v>
      </c>
      <c r="D104" s="584" t="s">
        <v>1230</v>
      </c>
    </row>
    <row r="105" spans="1:7">
      <c r="A105" t="s">
        <v>1378</v>
      </c>
      <c r="B105" s="499">
        <f>B98/(B103/B100)*1000</f>
        <v>9.3150684931506849</v>
      </c>
      <c r="C105" s="499">
        <f>C98/(C103/C100)*1000</f>
        <v>108.8291095890411</v>
      </c>
      <c r="D105" t="s">
        <v>1230</v>
      </c>
    </row>
    <row r="108" spans="1:7">
      <c r="A108" s="23" t="s">
        <v>1379</v>
      </c>
      <c r="B108" s="23">
        <v>2022</v>
      </c>
      <c r="C108" s="23">
        <v>2030</v>
      </c>
      <c r="D108" s="23">
        <v>2060</v>
      </c>
      <c r="E108" s="23" t="s">
        <v>116</v>
      </c>
      <c r="F108" s="23" t="s">
        <v>612</v>
      </c>
    </row>
    <row r="109" spans="1:7">
      <c r="A109" s="584" t="s">
        <v>1380</v>
      </c>
      <c r="B109" s="584"/>
      <c r="C109" s="751">
        <f>B104*'H2 Production Cost'!$C$22</f>
        <v>1360.9677993239638</v>
      </c>
      <c r="D109" s="750">
        <f>'H2 Production Cost'!$D$22*C104</f>
        <v>8833.5316224871021</v>
      </c>
      <c r="E109" s="584" t="s">
        <v>1381</v>
      </c>
      <c r="F109" s="584" t="s">
        <v>1349</v>
      </c>
    </row>
    <row r="110" spans="1:7">
      <c r="A110" t="s">
        <v>1382</v>
      </c>
      <c r="C110" s="499">
        <f>B105*'H2 Production Cost'!$C$22</f>
        <v>4536.5593310798795</v>
      </c>
      <c r="D110" s="577">
        <f>'H2 Production Cost'!$D$22*C105</f>
        <v>29445.105408290336</v>
      </c>
      <c r="E110" t="s">
        <v>1381</v>
      </c>
      <c r="F110" t="s">
        <v>1349</v>
      </c>
    </row>
    <row r="112" spans="1:7">
      <c r="A112" s="23" t="s">
        <v>1383</v>
      </c>
      <c r="B112" s="23">
        <v>2022</v>
      </c>
      <c r="C112" s="23">
        <v>2030</v>
      </c>
      <c r="D112" s="23">
        <v>2060</v>
      </c>
      <c r="E112" s="23" t="s">
        <v>116</v>
      </c>
      <c r="F112" s="23" t="s">
        <v>612</v>
      </c>
    </row>
    <row r="113" spans="1:19">
      <c r="A113" s="584" t="s">
        <v>1384</v>
      </c>
      <c r="B113" s="584"/>
      <c r="C113" s="751">
        <f>B104*'Power Sector CapEx Cost-China'!B$103</f>
        <v>1735.1763761382942</v>
      </c>
      <c r="D113" s="751">
        <f>C104*'Power Sector CapEx Cost-China'!C$103</f>
        <v>19211.36333565311</v>
      </c>
      <c r="E113" s="584" t="s">
        <v>1381</v>
      </c>
      <c r="F113" s="584" t="s">
        <v>1349</v>
      </c>
    </row>
    <row r="114" spans="1:19">
      <c r="A114" t="s">
        <v>1385</v>
      </c>
      <c r="C114" s="499">
        <f>B105*'Power Sector CapEx Cost-China'!B$103</f>
        <v>5783.921253794314</v>
      </c>
      <c r="D114" s="499">
        <f>C105*'Power Sector CapEx Cost-China'!C$103</f>
        <v>64037.877785510369</v>
      </c>
      <c r="E114" t="s">
        <v>1381</v>
      </c>
      <c r="F114" t="s">
        <v>1349</v>
      </c>
    </row>
    <row r="116" spans="1:19">
      <c r="A116" s="23" t="s">
        <v>1386</v>
      </c>
      <c r="C116" s="23">
        <v>2030</v>
      </c>
      <c r="D116" s="23">
        <v>2060</v>
      </c>
      <c r="E116" s="23" t="s">
        <v>116</v>
      </c>
      <c r="F116" s="23" t="s">
        <v>612</v>
      </c>
    </row>
    <row r="117" spans="1:19">
      <c r="A117" t="s">
        <v>1387</v>
      </c>
      <c r="C117">
        <v>0.1</v>
      </c>
      <c r="D117">
        <v>0.05</v>
      </c>
      <c r="E117" t="s">
        <v>1107</v>
      </c>
      <c r="F117" t="s">
        <v>1388</v>
      </c>
    </row>
    <row r="119" spans="1:19">
      <c r="A119" s="23" t="s">
        <v>1389</v>
      </c>
      <c r="H119" s="1227" t="s">
        <v>1390</v>
      </c>
      <c r="I119" s="1227" t="s">
        <v>1390</v>
      </c>
      <c r="J119" s="23" t="s">
        <v>1300</v>
      </c>
      <c r="K119" s="23" t="s">
        <v>1300</v>
      </c>
      <c r="L119" s="1227" t="s">
        <v>1391</v>
      </c>
      <c r="M119" s="1227" t="s">
        <v>1391</v>
      </c>
      <c r="R119" s="23"/>
    </row>
    <row r="120" spans="1:19">
      <c r="C120" s="23">
        <v>2030</v>
      </c>
      <c r="D120" s="23">
        <v>2060</v>
      </c>
      <c r="E120" s="23" t="s">
        <v>116</v>
      </c>
      <c r="F120" s="23" t="s">
        <v>1392</v>
      </c>
      <c r="G120" s="23" t="s">
        <v>1393</v>
      </c>
      <c r="H120" s="23">
        <v>2030</v>
      </c>
      <c r="I120" s="23">
        <v>2060</v>
      </c>
      <c r="J120" s="23" t="s">
        <v>1394</v>
      </c>
      <c r="K120" s="23" t="s">
        <v>1395</v>
      </c>
      <c r="L120" s="23">
        <v>2030</v>
      </c>
      <c r="M120" s="23">
        <v>2060</v>
      </c>
      <c r="N120" s="23" t="s">
        <v>505</v>
      </c>
      <c r="O120" s="23"/>
      <c r="P120" s="23"/>
      <c r="R120" s="23"/>
      <c r="S120" s="23"/>
    </row>
    <row r="121" spans="1:19">
      <c r="A121" t="s">
        <v>1351</v>
      </c>
      <c r="C121" s="577">
        <f>C85/1000</f>
        <v>30.081799307958477</v>
      </c>
      <c r="D121" s="577">
        <f>D85/1000</f>
        <v>32.456678200692039</v>
      </c>
      <c r="E121" t="s">
        <v>1396</v>
      </c>
      <c r="F121" t="s">
        <v>1397</v>
      </c>
      <c r="G121" t="s">
        <v>1351</v>
      </c>
      <c r="H121" s="499">
        <f>C38</f>
        <v>831.52941176470586</v>
      </c>
      <c r="I121" s="499">
        <f>D38</f>
        <v>10.941176470588237</v>
      </c>
      <c r="J121" s="576">
        <v>14.89</v>
      </c>
      <c r="K121" s="576">
        <v>12.64</v>
      </c>
      <c r="L121" s="942">
        <f>C121/(H121*J121)*1000</f>
        <v>2.4295816378935724</v>
      </c>
      <c r="M121" s="942">
        <f>D121/(I121*K121)*1000</f>
        <v>234.6891288160833</v>
      </c>
    </row>
    <row r="122" spans="1:19">
      <c r="A122" t="s">
        <v>1398</v>
      </c>
      <c r="C122" s="577">
        <f t="shared" ref="C122:D127" si="6">C86/1000</f>
        <v>4.8527335640138416</v>
      </c>
      <c r="D122" s="577">
        <f t="shared" si="6"/>
        <v>67.938269896193788</v>
      </c>
      <c r="E122" t="s">
        <v>1396</v>
      </c>
      <c r="F122" t="s">
        <v>1397</v>
      </c>
      <c r="G122" t="s">
        <v>1399</v>
      </c>
      <c r="H122" s="499">
        <f>C39</f>
        <v>10.941176470588237</v>
      </c>
      <c r="I122" s="499">
        <f>D39</f>
        <v>153.1764705882353</v>
      </c>
      <c r="J122" s="576">
        <f>J121+4.3</f>
        <v>19.190000000000001</v>
      </c>
      <c r="K122" s="576">
        <f>K121+3</f>
        <v>15.64</v>
      </c>
      <c r="L122" s="942">
        <f>C122/(H122*J122)*1000</f>
        <v>23.112527971063354</v>
      </c>
      <c r="M122" s="942">
        <f>D122/(I122*K122)*1000</f>
        <v>28.358658041221609</v>
      </c>
    </row>
    <row r="123" spans="1:19">
      <c r="A123" t="s">
        <v>1400</v>
      </c>
      <c r="C123" s="577">
        <f t="shared" si="6"/>
        <v>0</v>
      </c>
      <c r="D123" s="577">
        <f t="shared" si="6"/>
        <v>18.9588705882353</v>
      </c>
      <c r="E123" t="s">
        <v>1396</v>
      </c>
      <c r="F123" t="s">
        <v>1397</v>
      </c>
      <c r="G123" t="s">
        <v>1401</v>
      </c>
      <c r="H123" s="499">
        <f>C43</f>
        <v>0</v>
      </c>
      <c r="I123" s="499">
        <f>D43</f>
        <v>124.7294117647059</v>
      </c>
      <c r="J123" s="576">
        <f>12.04+4.3</f>
        <v>16.34</v>
      </c>
      <c r="K123" s="576">
        <f>10.38+3</f>
        <v>13.38</v>
      </c>
      <c r="L123" s="942"/>
      <c r="M123" s="942">
        <f>D123/(I123*K123)*1000</f>
        <v>11.360239162929746</v>
      </c>
    </row>
    <row r="124" spans="1:19">
      <c r="A124" t="s">
        <v>1402</v>
      </c>
      <c r="C124" s="577">
        <f>C88/1000</f>
        <v>13.345337658823532</v>
      </c>
      <c r="D124" s="577">
        <f t="shared" si="6"/>
        <v>70.239455305882345</v>
      </c>
      <c r="E124" t="s">
        <v>1396</v>
      </c>
      <c r="F124" t="s">
        <v>1331</v>
      </c>
      <c r="G124" t="s">
        <v>1403</v>
      </c>
      <c r="H124" s="499">
        <f>(C40-B40)*50%/$C$6</f>
        <v>60.386143252595161</v>
      </c>
      <c r="I124" s="499">
        <f>(D40-C40)*50%/$C$6</f>
        <v>257.43944636678202</v>
      </c>
      <c r="J124" s="576">
        <f>2.11</f>
        <v>2.11</v>
      </c>
      <c r="K124" s="576">
        <v>1.36</v>
      </c>
      <c r="L124" s="942">
        <f>C124/(H124*J124)*1000</f>
        <v>104.73933649289101</v>
      </c>
      <c r="M124" s="942">
        <f>D124/(I124*K124)*1000</f>
        <v>200.61672382392467</v>
      </c>
    </row>
    <row r="125" spans="1:19">
      <c r="A125" t="s">
        <v>1404</v>
      </c>
      <c r="C125" s="577">
        <f>C89/1000</f>
        <v>7.9709709093425616</v>
      </c>
      <c r="D125" s="577">
        <f t="shared" si="6"/>
        <v>41.952977829757785</v>
      </c>
      <c r="E125" t="s">
        <v>1396</v>
      </c>
      <c r="F125" t="s">
        <v>1397</v>
      </c>
      <c r="G125" t="s">
        <v>1405</v>
      </c>
      <c r="H125" s="577">
        <f>(C40-B40)*50%/$C$6</f>
        <v>60.386143252595161</v>
      </c>
      <c r="I125" s="577">
        <f>(D40-C40)*50%/$C$6</f>
        <v>257.43944636678202</v>
      </c>
      <c r="J125" s="576">
        <f>J124</f>
        <v>2.11</v>
      </c>
      <c r="K125" s="576">
        <f>K124</f>
        <v>1.36</v>
      </c>
      <c r="L125" s="942">
        <f>C125/(H125*J125)*1000</f>
        <v>62.559241706161146</v>
      </c>
      <c r="M125" s="942">
        <f>D125/(I125*K125)*1000</f>
        <v>119.82537350569257</v>
      </c>
      <c r="N125" t="s">
        <v>1406</v>
      </c>
    </row>
    <row r="126" spans="1:19">
      <c r="A126" t="s">
        <v>1357</v>
      </c>
      <c r="C126" s="577">
        <f t="shared" si="6"/>
        <v>10.218269896193771</v>
      </c>
      <c r="D126" s="577">
        <f t="shared" si="6"/>
        <v>0</v>
      </c>
      <c r="E126" t="s">
        <v>1396</v>
      </c>
      <c r="F126" t="s">
        <v>1331</v>
      </c>
      <c r="G126" t="s">
        <v>1357</v>
      </c>
      <c r="H126" s="499">
        <f>C41</f>
        <v>18.352941176470587</v>
      </c>
      <c r="I126" s="499">
        <f>D41</f>
        <v>0</v>
      </c>
      <c r="J126" s="576">
        <v>12.04</v>
      </c>
      <c r="K126" s="576">
        <v>10.38</v>
      </c>
      <c r="L126" s="942">
        <f>C126/(H126*J126)*1000</f>
        <v>46.242915770959549</v>
      </c>
      <c r="M126" s="942"/>
    </row>
    <row r="127" spans="1:19">
      <c r="A127" t="s">
        <v>1358</v>
      </c>
      <c r="C127" s="577">
        <f t="shared" si="6"/>
        <v>6.2881660899653982</v>
      </c>
      <c r="D127" s="577">
        <f t="shared" si="6"/>
        <v>81.628256055363323</v>
      </c>
      <c r="E127" t="s">
        <v>1396</v>
      </c>
      <c r="F127" t="s">
        <v>1331</v>
      </c>
      <c r="G127" t="s">
        <v>1358</v>
      </c>
      <c r="H127" s="499">
        <f>C42</f>
        <v>11.294117647058824</v>
      </c>
      <c r="I127" s="499">
        <f>D42</f>
        <v>146.61176470588236</v>
      </c>
      <c r="J127" s="576">
        <v>12.04</v>
      </c>
      <c r="K127" s="576">
        <v>10.38</v>
      </c>
      <c r="L127" s="942">
        <f>C127/(H127*J127)*1000</f>
        <v>46.242915770959556</v>
      </c>
      <c r="M127" s="942">
        <f>D127/(I127*K127)*1000</f>
        <v>53.638218293097573</v>
      </c>
      <c r="N127" t="s">
        <v>1407</v>
      </c>
    </row>
    <row r="128" spans="1:19">
      <c r="A128" s="584" t="s">
        <v>1380</v>
      </c>
      <c r="B128" s="584"/>
      <c r="C128" s="750">
        <f>C109/1000</f>
        <v>1.3609677993239639</v>
      </c>
      <c r="D128" s="750">
        <f>D109/1000</f>
        <v>8.8335316224871026</v>
      </c>
      <c r="E128" s="584" t="s">
        <v>1396</v>
      </c>
      <c r="F128" s="584" t="s">
        <v>1331</v>
      </c>
      <c r="G128" t="s">
        <v>1408</v>
      </c>
      <c r="L128" s="942">
        <f>(C127+C129+C131)/(H127*J127)*1000</f>
        <v>122.13930711528978</v>
      </c>
      <c r="M128" s="942">
        <f>(D127+D129+D131)/(I127*K127)*1000</f>
        <v>115.06622008500402</v>
      </c>
      <c r="N128" t="s">
        <v>1409</v>
      </c>
    </row>
    <row r="129" spans="1:11">
      <c r="A129" t="s">
        <v>1410</v>
      </c>
      <c r="C129" s="577">
        <f>C110/1000</f>
        <v>4.5365593310798795</v>
      </c>
      <c r="D129" s="577">
        <f>D110/1000</f>
        <v>29.445105408290335</v>
      </c>
      <c r="E129" t="s">
        <v>1396</v>
      </c>
      <c r="F129" t="s">
        <v>1331</v>
      </c>
    </row>
    <row r="130" spans="1:11">
      <c r="A130" s="584" t="s">
        <v>1384</v>
      </c>
      <c r="B130" s="584"/>
      <c r="C130" s="750">
        <f>C113/1000</f>
        <v>1.7351763761382943</v>
      </c>
      <c r="D130" s="750">
        <f>D113/1000</f>
        <v>19.211363335653111</v>
      </c>
      <c r="E130" s="584" t="s">
        <v>1396</v>
      </c>
      <c r="F130" s="584" t="s">
        <v>1331</v>
      </c>
      <c r="G130" s="498"/>
      <c r="H130" s="23">
        <v>2030</v>
      </c>
      <c r="I130" s="23">
        <v>2060</v>
      </c>
      <c r="J130" s="23" t="s">
        <v>116</v>
      </c>
      <c r="K130" s="23" t="s">
        <v>505</v>
      </c>
    </row>
    <row r="131" spans="1:11">
      <c r="A131" t="s">
        <v>1411</v>
      </c>
      <c r="C131" s="577">
        <f>C114/1000</f>
        <v>5.7839212537943139</v>
      </c>
      <c r="D131" s="577">
        <f>D114/1000</f>
        <v>64.037877785510375</v>
      </c>
      <c r="E131" t="s">
        <v>1396</v>
      </c>
      <c r="F131" t="s">
        <v>1331</v>
      </c>
      <c r="G131" t="s">
        <v>1412</v>
      </c>
      <c r="H131">
        <v>5.7</v>
      </c>
      <c r="I131">
        <v>110</v>
      </c>
      <c r="J131" t="s">
        <v>1413</v>
      </c>
      <c r="K131" t="s">
        <v>1414</v>
      </c>
    </row>
    <row r="132" spans="1:11">
      <c r="G132" t="s">
        <v>1415</v>
      </c>
      <c r="H132" s="499">
        <f>C122+C123</f>
        <v>4.8527335640138416</v>
      </c>
      <c r="I132" s="499">
        <f>D122+D123</f>
        <v>86.897140484429087</v>
      </c>
      <c r="J132" t="s">
        <v>1416</v>
      </c>
    </row>
    <row r="133" spans="1:11">
      <c r="A133" s="584" t="s">
        <v>1417</v>
      </c>
      <c r="B133" s="584"/>
      <c r="C133" s="750">
        <f>SUM(C121:C128)+C130</f>
        <v>75.853421601759834</v>
      </c>
      <c r="D133" s="750">
        <f>SUM(D121:D128)+D130</f>
        <v>341.21940283426483</v>
      </c>
      <c r="E133" s="584" t="s">
        <v>1396</v>
      </c>
      <c r="F133" s="498"/>
      <c r="G133" t="s">
        <v>1418</v>
      </c>
      <c r="H133" s="499">
        <f>H132/H131*1000</f>
        <v>851.35676561646346</v>
      </c>
      <c r="I133" s="499">
        <f>I132/I131*1000</f>
        <v>789.97400440390072</v>
      </c>
      <c r="J133" t="s">
        <v>1419</v>
      </c>
      <c r="K133" t="s">
        <v>1420</v>
      </c>
    </row>
    <row r="134" spans="1:11">
      <c r="A134" t="s">
        <v>1421</v>
      </c>
      <c r="C134" s="577">
        <f>SUM(C121:C127)+C129+C131</f>
        <v>83.077758011171781</v>
      </c>
      <c r="D134" s="577">
        <f>SUM(D121:D127)+D129+D131</f>
        <v>406.6574910699253</v>
      </c>
      <c r="E134" t="s">
        <v>1396</v>
      </c>
      <c r="F134" s="498"/>
    </row>
    <row r="135" spans="1:11">
      <c r="A135" t="s">
        <v>1422</v>
      </c>
      <c r="C135" s="577">
        <f>C134-C131</f>
        <v>77.293836757377463</v>
      </c>
      <c r="D135" s="577">
        <f>D134-D131</f>
        <v>342.61961328441492</v>
      </c>
      <c r="E135" t="s">
        <v>1396</v>
      </c>
      <c r="F135" s="498"/>
    </row>
    <row r="136" spans="1:11">
      <c r="A136" t="s">
        <v>1423</v>
      </c>
      <c r="C136" s="499">
        <f>H19</f>
        <v>16795.786953566138</v>
      </c>
      <c r="D136" s="499">
        <f>I19</f>
        <v>12809.45503544193</v>
      </c>
      <c r="E136" t="s">
        <v>701</v>
      </c>
    </row>
    <row r="137" spans="1:11">
      <c r="A137" s="23" t="s">
        <v>1424</v>
      </c>
      <c r="B137" s="23"/>
      <c r="C137" s="581">
        <f>(C134*1000)/C136</f>
        <v>4.9463450709901053</v>
      </c>
      <c r="D137" s="581">
        <f>(D134*1000)/D136</f>
        <v>31.746666032611238</v>
      </c>
      <c r="E137" s="23" t="s">
        <v>1425</v>
      </c>
    </row>
    <row r="141" spans="1:11">
      <c r="E141" s="498"/>
    </row>
    <row r="142" spans="1:11">
      <c r="E142" s="498"/>
    </row>
    <row r="143" spans="1:11">
      <c r="E143" s="498"/>
    </row>
    <row r="144" spans="1:11">
      <c r="E144" s="498"/>
    </row>
    <row r="145" spans="4:6">
      <c r="E145" s="498"/>
    </row>
    <row r="146" spans="4:6">
      <c r="E146" s="498"/>
    </row>
    <row r="147" spans="4:6">
      <c r="E147" s="498"/>
    </row>
    <row r="148" spans="4:6">
      <c r="D148" s="584"/>
      <c r="E148" s="498"/>
    </row>
    <row r="149" spans="4:6">
      <c r="E149" s="498"/>
      <c r="F149" s="498"/>
    </row>
    <row r="150" spans="4:6">
      <c r="D150" s="584"/>
      <c r="E150" s="498"/>
    </row>
    <row r="151" spans="4:6">
      <c r="E151" s="498"/>
    </row>
  </sheetData>
  <mergeCells count="1">
    <mergeCell ref="G49:G56"/>
  </mergeCells>
  <hyperlinks>
    <hyperlink ref="G69" r:id="rId1" xr:uid="{BC0DDA3A-2DCE-4836-B280-1FB3B083E333}"/>
  </hyperlinks>
  <pageMargins left="0.7" right="0.7" top="0.75" bottom="0.75" header="0.3" footer="0.3"/>
  <pageSetup orientation="portrait" r:id="rId2"/>
  <headerFooter>
    <oddFooter>&amp;R_x000D_&amp;1#&amp;"Aptos"&amp;10&amp;K000000 Official Use Only</oddFooter>
  </headerFooter>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1F5-A513-4508-A3B9-D136E9E77919}">
  <sheetPr>
    <tabColor theme="3" tint="0.749992370372631"/>
  </sheetPr>
  <dimension ref="A1:S965"/>
  <sheetViews>
    <sheetView zoomScale="115" zoomScaleNormal="115" workbookViewId="0">
      <selection activeCell="B1" sqref="B1"/>
    </sheetView>
  </sheetViews>
  <sheetFormatPr defaultRowHeight="15"/>
  <cols>
    <col min="1" max="1" width="35.5703125" customWidth="1"/>
    <col min="2" max="2" width="16.7109375" customWidth="1"/>
    <col min="3" max="3" width="15.28515625" customWidth="1"/>
    <col min="4" max="4" width="20.28515625" customWidth="1"/>
    <col min="5" max="16" width="15.28515625" customWidth="1"/>
    <col min="17" max="17" width="12.140625" customWidth="1"/>
  </cols>
  <sheetData>
    <row r="1" spans="1:14" ht="15.75" thickBot="1">
      <c r="A1" s="23" t="s">
        <v>16</v>
      </c>
      <c r="B1" s="928" t="s">
        <v>17</v>
      </c>
      <c r="F1" s="24" t="s">
        <v>18</v>
      </c>
      <c r="G1" s="25"/>
      <c r="H1" s="25"/>
    </row>
    <row r="2" spans="1:14" ht="15.75" thickBot="1">
      <c r="F2" t="s">
        <v>19</v>
      </c>
      <c r="H2" s="927" t="s">
        <v>20</v>
      </c>
    </row>
    <row r="3" spans="1:14" ht="15.75" thickBot="1">
      <c r="A3" s="23" t="s">
        <v>21</v>
      </c>
      <c r="B3" s="928">
        <v>2050</v>
      </c>
      <c r="F3" t="s">
        <v>22</v>
      </c>
      <c r="H3" s="927" t="s">
        <v>20</v>
      </c>
    </row>
    <row r="4" spans="1:14" ht="15.75" thickBot="1">
      <c r="F4" t="s">
        <v>23</v>
      </c>
      <c r="H4" s="927" t="s">
        <v>20</v>
      </c>
    </row>
    <row r="5" spans="1:14" ht="30.75" thickBot="1">
      <c r="A5" s="100" t="s">
        <v>24</v>
      </c>
      <c r="B5" s="1044">
        <v>0</v>
      </c>
      <c r="F5" t="s">
        <v>25</v>
      </c>
      <c r="H5" s="927" t="s">
        <v>26</v>
      </c>
      <c r="L5" s="501"/>
      <c r="M5" s="501"/>
      <c r="N5" s="501"/>
    </row>
    <row r="6" spans="1:14">
      <c r="A6" s="58" t="s">
        <v>27</v>
      </c>
      <c r="B6" s="1090"/>
      <c r="H6" s="1091"/>
      <c r="K6" s="828"/>
      <c r="L6" s="501"/>
      <c r="M6" s="501"/>
      <c r="N6" s="501"/>
    </row>
    <row r="7" spans="1:14" ht="15.75" thickBot="1">
      <c r="K7" s="828"/>
      <c r="L7" s="501"/>
      <c r="M7" s="501"/>
      <c r="N7" s="501"/>
    </row>
    <row r="8" spans="1:14" ht="18.75" thickBot="1">
      <c r="A8" s="23" t="s">
        <v>28</v>
      </c>
      <c r="B8" s="1066">
        <v>50</v>
      </c>
      <c r="C8" s="1069" t="s">
        <v>29</v>
      </c>
      <c r="D8" s="49"/>
      <c r="F8" s="23" t="s">
        <v>30</v>
      </c>
      <c r="H8" s="1137" t="s">
        <v>31</v>
      </c>
      <c r="I8" s="1138"/>
      <c r="K8" s="828"/>
      <c r="L8" s="501"/>
      <c r="M8" s="501"/>
      <c r="N8" s="501"/>
    </row>
    <row r="9" spans="1:14">
      <c r="A9" s="58" t="s">
        <v>32</v>
      </c>
      <c r="B9" s="98"/>
      <c r="F9" s="58" t="s">
        <v>33</v>
      </c>
    </row>
    <row r="10" spans="1:14" ht="15.75" thickBot="1">
      <c r="F10" s="58" t="s">
        <v>34</v>
      </c>
    </row>
    <row r="11" spans="1:14" ht="15.75" thickBot="1">
      <c r="A11" s="23" t="s">
        <v>35</v>
      </c>
      <c r="B11" s="1086" t="b">
        <v>1</v>
      </c>
      <c r="E11" s="58"/>
      <c r="F11" s="58" t="s">
        <v>36</v>
      </c>
    </row>
    <row r="12" spans="1:14">
      <c r="A12" s="58" t="s">
        <v>37</v>
      </c>
      <c r="E12" s="58"/>
    </row>
    <row r="13" spans="1:14">
      <c r="E13" s="58"/>
    </row>
    <row r="14" spans="1:14">
      <c r="A14" s="106" t="s">
        <v>38</v>
      </c>
      <c r="B14" s="107"/>
      <c r="C14" s="107"/>
      <c r="D14" s="107"/>
      <c r="E14" s="107"/>
      <c r="F14" s="107"/>
      <c r="G14" s="107"/>
      <c r="H14" s="107"/>
      <c r="I14" s="107"/>
      <c r="J14" s="107"/>
      <c r="K14" s="107"/>
      <c r="L14" s="107"/>
      <c r="M14" s="107"/>
    </row>
    <row r="15" spans="1:14" s="33" customFormat="1" ht="30">
      <c r="B15" s="101" t="s">
        <v>39</v>
      </c>
      <c r="C15" s="101" t="s">
        <v>40</v>
      </c>
      <c r="D15" s="101" t="s">
        <v>41</v>
      </c>
      <c r="E15" s="101" t="s">
        <v>42</v>
      </c>
      <c r="F15" s="101" t="s">
        <v>43</v>
      </c>
      <c r="G15" s="101" t="s">
        <v>44</v>
      </c>
      <c r="H15" s="101" t="s">
        <v>45</v>
      </c>
      <c r="I15" s="101" t="s">
        <v>46</v>
      </c>
      <c r="J15" s="101" t="s">
        <v>47</v>
      </c>
      <c r="K15" s="101" t="s">
        <v>48</v>
      </c>
      <c r="L15" s="101" t="s">
        <v>49</v>
      </c>
      <c r="M15" s="101" t="s">
        <v>50</v>
      </c>
    </row>
    <row r="16" spans="1:14">
      <c r="A16" t="s">
        <v>51</v>
      </c>
      <c r="B16" s="501">
        <f>SUM(Calculations!B313:G313)/10^3</f>
        <v>4.6586104395654244</v>
      </c>
      <c r="C16" s="501">
        <f>Calculations!B21/10^3</f>
        <v>11.663109613130128</v>
      </c>
      <c r="D16" s="501">
        <f>Calculations!C21/10^3</f>
        <v>13.012177608440798</v>
      </c>
      <c r="E16" s="501">
        <f>Calculations!D21/10^3</f>
        <v>5.7168552168815951</v>
      </c>
      <c r="F16" s="501">
        <f>Calculations!E21/10^3</f>
        <v>11.612801875732709</v>
      </c>
      <c r="G16" s="501">
        <f>Calculations!F21/10^3</f>
        <v>5.9637690504103169</v>
      </c>
      <c r="H16" s="501">
        <f>Calculations!G21/10^3</f>
        <v>0</v>
      </c>
      <c r="I16" s="501">
        <f>Calculations!H21/10^3</f>
        <v>5.95345838218054</v>
      </c>
      <c r="J16" s="501">
        <f>Calculations!I21/10^3</f>
        <v>15.889381594372804</v>
      </c>
      <c r="K16" s="501">
        <f>Calculations!J21/10^3</f>
        <v>0</v>
      </c>
      <c r="L16" s="501">
        <f>Calculations!K21/10^3</f>
        <v>0</v>
      </c>
      <c r="M16" s="501">
        <f>Calculations!L21/10^3</f>
        <v>0</v>
      </c>
    </row>
    <row r="17" spans="1:13">
      <c r="A17" t="s">
        <v>52</v>
      </c>
      <c r="B17" s="501">
        <f>SUM(Calculations!B314:G314)/10^3</f>
        <v>6.7746750404478844</v>
      </c>
      <c r="C17" s="501">
        <f>Calculations!B59/10^3</f>
        <v>11.142109218803826</v>
      </c>
      <c r="D17" s="501">
        <f>Calculations!C59/10^3</f>
        <v>11.04706826623217</v>
      </c>
      <c r="E17" s="501">
        <f>Calculations!D59/10^3</f>
        <v>4.9452486886159441</v>
      </c>
      <c r="F17" s="501">
        <f>Calculations!E59/10^3</f>
        <v>13.227624251582688</v>
      </c>
      <c r="G17" s="501">
        <f>Calculations!F59/10^3</f>
        <v>6.3878581189578805</v>
      </c>
      <c r="H17" s="501">
        <f>Calculations!G59/10^3</f>
        <v>0</v>
      </c>
      <c r="I17" s="501">
        <f>Calculations!H59/10^3</f>
        <v>7.4361120924715749</v>
      </c>
      <c r="J17" s="501">
        <f>Calculations!I59/10^3</f>
        <v>16.532199704350717</v>
      </c>
      <c r="K17" s="501">
        <f>Calculations!J59/10^3</f>
        <v>0</v>
      </c>
      <c r="L17" s="501">
        <f>Calculations!K59/10^3</f>
        <v>0</v>
      </c>
      <c r="M17" s="501">
        <f>Calculations!L59/10^3</f>
        <v>0</v>
      </c>
    </row>
    <row r="18" spans="1:13">
      <c r="A18" t="s">
        <v>53</v>
      </c>
      <c r="B18" s="501">
        <f>SUM(Calculations!B315:G315)/10^3</f>
        <v>5.1625124435470262</v>
      </c>
      <c r="C18" s="501">
        <f>Calculations!B99/10^3</f>
        <v>6.5912624593886919</v>
      </c>
      <c r="D18" s="501">
        <f>Calculations!C99/10^3</f>
        <v>5.9943532406813711</v>
      </c>
      <c r="E18" s="501">
        <f>Calculations!D99/10^3</f>
        <v>2.8887356097666843</v>
      </c>
      <c r="F18" s="501">
        <f>Calculations!E99/10^3</f>
        <v>9.7233329758468265</v>
      </c>
      <c r="G18" s="501">
        <f>Calculations!F99/10^3</f>
        <v>4.1840809546018525</v>
      </c>
      <c r="H18" s="501">
        <f>Calculations!G99/10^3</f>
        <v>0</v>
      </c>
      <c r="I18" s="501">
        <f>Calculations!H99/10^3</f>
        <v>5.0657548126338723</v>
      </c>
      <c r="J18" s="501">
        <f>Calculations!I99/10^3</f>
        <v>10.93286014473877</v>
      </c>
      <c r="K18" s="501">
        <f>Calculations!J99/10^3</f>
        <v>0</v>
      </c>
      <c r="L18" s="501">
        <f>Calculations!K99/10^3</f>
        <v>0</v>
      </c>
      <c r="M18" s="501">
        <f>Calculations!L99/10^3</f>
        <v>0</v>
      </c>
    </row>
    <row r="19" spans="1:13">
      <c r="A19" t="s">
        <v>54</v>
      </c>
      <c r="B19" s="501">
        <f>B$18</f>
        <v>5.1625124435470262</v>
      </c>
      <c r="C19" s="501">
        <f>Calculations!B206/10^3</f>
        <v>3.5636236954590754</v>
      </c>
      <c r="D19" s="501">
        <f>Calculations!C206/10^3</f>
        <v>2.4335044722452706</v>
      </c>
      <c r="E19" s="501">
        <f>Calculations!D206/10^3</f>
        <v>1.3779092561549295</v>
      </c>
      <c r="F19" s="501">
        <f>Calculations!E206/10^3</f>
        <v>5.6886532774163143</v>
      </c>
      <c r="G19" s="501">
        <f>Calculations!F206/10^3</f>
        <v>1.9178064082769808</v>
      </c>
      <c r="H19" s="501">
        <f>Calculations!G206/10^3</f>
        <v>0</v>
      </c>
      <c r="I19" s="501">
        <f>Calculations!H206/10^3</f>
        <v>5.0657548126338723</v>
      </c>
      <c r="J19" s="501">
        <f>Calculations!I206/10^3</f>
        <v>15.282746047644379</v>
      </c>
      <c r="K19" s="501">
        <f>Calculations!J206/10^3</f>
        <v>0</v>
      </c>
      <c r="L19" s="501">
        <f>Calculations!K206/10^3</f>
        <v>0</v>
      </c>
      <c r="M19" s="501">
        <f>Calculations!L206/10^3</f>
        <v>0</v>
      </c>
    </row>
    <row r="20" spans="1:13">
      <c r="A20" t="s">
        <v>55</v>
      </c>
      <c r="B20" s="501">
        <f t="shared" ref="B20:B22" si="0">B$18</f>
        <v>5.1625124435470262</v>
      </c>
      <c r="C20" s="501">
        <f>Calculations!B226/10^3</f>
        <v>2.2171263799796868</v>
      </c>
      <c r="D20" s="501">
        <f>Calculations!C226/10^3</f>
        <v>1.6673485158272841</v>
      </c>
      <c r="E20" s="501">
        <f>Calculations!D226/10^3</f>
        <v>1.0194028083276918</v>
      </c>
      <c r="F20" s="501">
        <f>Calculations!E226/10^3</f>
        <v>4.4842061552301855</v>
      </c>
      <c r="G20" s="501">
        <f>Calculations!F226/10^3</f>
        <v>0.84061235797531531</v>
      </c>
      <c r="H20" s="501">
        <f>Calculations!G226/10^3</f>
        <v>0</v>
      </c>
      <c r="I20" s="501">
        <f>Calculations!H226/10^3</f>
        <v>5.0657548126338723</v>
      </c>
      <c r="J20" s="501">
        <f>Calculations!I226/10^3</f>
        <v>18.170405671523326</v>
      </c>
      <c r="K20" s="501">
        <f>Calculations!J226/10^3</f>
        <v>0</v>
      </c>
      <c r="L20" s="501">
        <f>Calculations!K226/10^3</f>
        <v>0</v>
      </c>
      <c r="M20" s="501">
        <f>Calculations!L226/10^3</f>
        <v>0</v>
      </c>
    </row>
    <row r="21" spans="1:13">
      <c r="A21" t="s">
        <v>56</v>
      </c>
      <c r="B21" s="501">
        <f t="shared" si="0"/>
        <v>5.1625124435470262</v>
      </c>
      <c r="C21" s="501">
        <f>Calculations!B265/10^3</f>
        <v>1.2796294194338349</v>
      </c>
      <c r="D21" s="501">
        <f>Calculations!C265/10^3</f>
        <v>0.68579323755774346</v>
      </c>
      <c r="E21" s="501">
        <f>Calculations!D265/10^3</f>
        <v>0.61952684462474483</v>
      </c>
      <c r="F21" s="501">
        <f>Calculations!E265/10^3</f>
        <v>4.2662242975830376</v>
      </c>
      <c r="G21" s="501">
        <f>Calculations!F265/10^3</f>
        <v>0.63766883993649093</v>
      </c>
      <c r="H21" s="501">
        <f>Calculations!G265/10^3</f>
        <v>0</v>
      </c>
      <c r="I21" s="501">
        <f>Calculations!H265/10^3</f>
        <v>5.0657548126338723</v>
      </c>
      <c r="J21" s="501">
        <f>Calculations!I265/10^3</f>
        <v>18.170405671523326</v>
      </c>
      <c r="K21" s="501">
        <f>Calculations!J265/10^3</f>
        <v>0</v>
      </c>
      <c r="L21" s="501">
        <f>Calculations!K265/10^3</f>
        <v>0</v>
      </c>
      <c r="M21" s="501">
        <f>Calculations!L265/10^3</f>
        <v>4.2683668773572334</v>
      </c>
    </row>
    <row r="22" spans="1:13">
      <c r="A22" t="s">
        <v>57</v>
      </c>
      <c r="B22" s="501">
        <f t="shared" si="0"/>
        <v>5.1625124435470262</v>
      </c>
      <c r="C22" s="501">
        <f>Calculations!B304/10^3</f>
        <v>-4.5892262989246102E-17</v>
      </c>
      <c r="D22" s="501">
        <f>Calculations!C304/10^3</f>
        <v>2.4203839390508222E-18</v>
      </c>
      <c r="E22" s="501">
        <f>Calculations!D304/10^3</f>
        <v>1.9517765863019601E-19</v>
      </c>
      <c r="F22" s="501">
        <f>Calculations!E304/10^3</f>
        <v>-9.8394370767870871E-19</v>
      </c>
      <c r="G22" s="501">
        <f>Calculations!F304/10^3</f>
        <v>-5.3122150854736888E-17</v>
      </c>
      <c r="H22" s="501">
        <f>Calculations!G304/10^3</f>
        <v>0</v>
      </c>
      <c r="I22" s="501">
        <f>Calculations!H304/10^3</f>
        <v>5.0657548126338723</v>
      </c>
      <c r="J22" s="501">
        <f>Calculations!I304/10^3</f>
        <v>18.170405671523326</v>
      </c>
      <c r="K22" s="501">
        <f>Calculations!J304/10^3</f>
        <v>9.8537403146524376</v>
      </c>
      <c r="L22" s="501">
        <f>Calculations!K304/10^3</f>
        <v>0</v>
      </c>
      <c r="M22" s="501">
        <f>Calculations!L304/10^3</f>
        <v>4.2683668773572334</v>
      </c>
    </row>
    <row r="23" spans="1:13">
      <c r="A23" t="s">
        <v>58</v>
      </c>
      <c r="B23" s="501">
        <f>B$18*(1-'Achivable Interventions'!$R$22)</f>
        <v>0</v>
      </c>
      <c r="C23" s="501">
        <f>Calculations!B364/10^3</f>
        <v>-4.5892262989246102E-17</v>
      </c>
      <c r="D23" s="501">
        <f>Calculations!C364/10^3</f>
        <v>2.4203839390508222E-18</v>
      </c>
      <c r="E23" s="501">
        <f>Calculations!D364/10^3</f>
        <v>1.9517765863019601E-19</v>
      </c>
      <c r="F23" s="501">
        <f>Calculations!E364/10^3</f>
        <v>-9.8394370767870871E-19</v>
      </c>
      <c r="G23" s="501">
        <f>Calculations!F364/10^3</f>
        <v>-5.3122150854736888E-17</v>
      </c>
      <c r="H23" s="501">
        <f>Calculations!G364/10^3</f>
        <v>1.5487537330641077</v>
      </c>
      <c r="I23" s="501">
        <f>Calculations!H364/10^3</f>
        <v>5.0657548126338723</v>
      </c>
      <c r="J23" s="501">
        <f>Calculations!I364/10^3</f>
        <v>18.170405671523326</v>
      </c>
      <c r="K23" s="501">
        <f>Calculations!J364/10^3</f>
        <v>12.570852127045608</v>
      </c>
      <c r="L23" s="501">
        <f>Calculations!K364/10^3</f>
        <v>1.5487537330641077</v>
      </c>
      <c r="M23" s="501">
        <f>Calculations!L364/10^3</f>
        <v>4.2683668773572334</v>
      </c>
    </row>
    <row r="24" spans="1:13">
      <c r="B24" s="501"/>
      <c r="C24" s="501"/>
      <c r="D24" s="501"/>
      <c r="E24" s="501"/>
      <c r="F24" s="501"/>
      <c r="G24" s="501"/>
      <c r="H24" s="501"/>
      <c r="I24" s="501"/>
      <c r="J24" s="501"/>
    </row>
    <row r="25" spans="1:13">
      <c r="B25" s="501"/>
      <c r="C25" s="501"/>
      <c r="D25" s="501"/>
      <c r="E25" s="501"/>
      <c r="F25" s="501"/>
      <c r="G25" s="501"/>
      <c r="H25" s="501"/>
      <c r="I25" s="501"/>
      <c r="J25" s="501"/>
    </row>
    <row r="57" spans="1:3">
      <c r="A57" s="23" t="s">
        <v>59</v>
      </c>
    </row>
    <row r="58" spans="1:3">
      <c r="B58" t="s">
        <v>60</v>
      </c>
    </row>
    <row r="59" spans="1:3">
      <c r="A59" t="s">
        <v>51</v>
      </c>
      <c r="B59" s="27">
        <f>SUM(B16:M16)</f>
        <v>74.470163780714316</v>
      </c>
      <c r="C59" t="s">
        <v>61</v>
      </c>
    </row>
    <row r="60" spans="1:3">
      <c r="A60" t="s">
        <v>52</v>
      </c>
      <c r="B60" s="27">
        <f>SUM(B17:M17)-SUM(B16:M16)</f>
        <v>3.0227316007483722</v>
      </c>
      <c r="C60" t="s">
        <v>61</v>
      </c>
    </row>
    <row r="61" spans="1:3">
      <c r="A61" t="s">
        <v>53</v>
      </c>
      <c r="B61" s="27">
        <f t="shared" ref="B61:B66" si="1">SUM(B18:M18)-SUM(B17:M17)</f>
        <v>-26.950002740257602</v>
      </c>
      <c r="C61" t="s">
        <v>61</v>
      </c>
    </row>
    <row r="62" spans="1:3">
      <c r="A62" t="s">
        <v>54</v>
      </c>
      <c r="B62" s="27">
        <f t="shared" si="1"/>
        <v>-10.050382227827235</v>
      </c>
      <c r="C62" t="s">
        <v>61</v>
      </c>
    </row>
    <row r="63" spans="1:3">
      <c r="A63" t="s">
        <v>55</v>
      </c>
      <c r="B63" s="27">
        <f t="shared" si="1"/>
        <v>-1.8651412683334669</v>
      </c>
      <c r="C63" t="s">
        <v>61</v>
      </c>
    </row>
    <row r="64" spans="1:3">
      <c r="A64" t="s">
        <v>56</v>
      </c>
      <c r="B64" s="27">
        <f t="shared" si="1"/>
        <v>1.5285132991529267</v>
      </c>
      <c r="C64" t="s">
        <v>61</v>
      </c>
    </row>
    <row r="65" spans="1:3">
      <c r="A65" t="s">
        <v>57</v>
      </c>
      <c r="B65" s="27">
        <f t="shared" si="1"/>
        <v>2.3648976755165876</v>
      </c>
      <c r="C65" t="s">
        <v>61</v>
      </c>
    </row>
    <row r="66" spans="1:3">
      <c r="A66" t="s">
        <v>58</v>
      </c>
      <c r="B66" s="27">
        <f t="shared" si="1"/>
        <v>0.6521068349743544</v>
      </c>
      <c r="C66" t="s">
        <v>61</v>
      </c>
    </row>
    <row r="101" spans="1:16">
      <c r="A101" s="106" t="s">
        <v>62</v>
      </c>
      <c r="B101" s="107"/>
      <c r="C101" s="107"/>
      <c r="D101" s="107"/>
      <c r="E101" s="107"/>
      <c r="F101" s="107"/>
      <c r="G101" s="107"/>
      <c r="H101" s="107"/>
      <c r="I101" s="107"/>
      <c r="J101" s="107"/>
      <c r="K101" s="107"/>
      <c r="L101" s="107"/>
      <c r="M101" s="107"/>
      <c r="N101" s="107"/>
      <c r="O101" s="107"/>
      <c r="P101" s="107"/>
    </row>
    <row r="102" spans="1:16" ht="45">
      <c r="B102" s="101" t="s">
        <v>63</v>
      </c>
      <c r="C102" s="101" t="s">
        <v>64</v>
      </c>
      <c r="D102" s="101" t="s">
        <v>65</v>
      </c>
      <c r="E102" s="101" t="s">
        <v>66</v>
      </c>
      <c r="F102" s="101" t="s">
        <v>67</v>
      </c>
      <c r="G102" s="101" t="s">
        <v>68</v>
      </c>
      <c r="H102" s="101" t="s">
        <v>69</v>
      </c>
      <c r="I102" s="101" t="s">
        <v>70</v>
      </c>
      <c r="J102" s="101" t="s">
        <v>71</v>
      </c>
      <c r="K102" s="101" t="s">
        <v>72</v>
      </c>
      <c r="L102" s="101" t="s">
        <v>73</v>
      </c>
      <c r="M102" s="101" t="s">
        <v>74</v>
      </c>
      <c r="N102" s="101" t="s">
        <v>75</v>
      </c>
      <c r="O102" s="101" t="s">
        <v>76</v>
      </c>
      <c r="P102" s="101" t="s">
        <v>77</v>
      </c>
    </row>
    <row r="103" spans="1:16">
      <c r="A103" t="s">
        <v>51</v>
      </c>
      <c r="B103" s="501">
        <f t="array" ref="B103:P103">TRANSPOSE(Calculations!N6:N20)/10^3</f>
        <v>1.5659525205158269</v>
      </c>
      <c r="C103" s="501">
        <v>1.4183645955451352</v>
      </c>
      <c r="D103" s="501">
        <v>0.20061840562719813</v>
      </c>
      <c r="E103" s="501">
        <v>0.9246160609613131</v>
      </c>
      <c r="F103" s="501">
        <v>9.0638012895662374</v>
      </c>
      <c r="G103" s="501">
        <v>21.157939278955816</v>
      </c>
      <c r="H103" s="501">
        <v>0.75814771395076208</v>
      </c>
      <c r="I103" s="501">
        <v>9.0549736225087933</v>
      </c>
      <c r="J103" s="501">
        <v>21.322634818288392</v>
      </c>
      <c r="K103" s="501">
        <v>4.1026670574443145</v>
      </c>
      <c r="L103" s="501">
        <v>1.541541617819461</v>
      </c>
      <c r="M103" s="501">
        <v>0.88367233294255576</v>
      </c>
      <c r="N103" s="501">
        <v>0.99860785463071522</v>
      </c>
      <c r="O103" s="501">
        <v>1.0999120750293083</v>
      </c>
      <c r="P103" s="501">
        <v>0.37671453692848766</v>
      </c>
    </row>
    <row r="104" spans="1:16">
      <c r="A104" t="s">
        <v>52</v>
      </c>
      <c r="B104" s="501">
        <f t="array" ref="B104:P104">TRANSPOSE(Calculations!N44:N58)/10^3</f>
        <v>1.5659525205158269</v>
      </c>
      <c r="C104" s="501">
        <v>1.4183645955451352</v>
      </c>
      <c r="D104" s="501">
        <v>0.20061840562719813</v>
      </c>
      <c r="E104" s="501">
        <v>0.9246160609613131</v>
      </c>
      <c r="F104" s="501">
        <v>9.3114461335434573</v>
      </c>
      <c r="G104" s="501">
        <v>30.768437284020909</v>
      </c>
      <c r="H104" s="501">
        <v>1.4971824603229336</v>
      </c>
      <c r="I104" s="501">
        <v>6.3957342807903208</v>
      </c>
      <c r="J104" s="501">
        <v>16.760016811521979</v>
      </c>
      <c r="K104" s="501">
        <v>4.7180671160609622</v>
      </c>
      <c r="L104" s="501">
        <v>1.2116824984572367</v>
      </c>
      <c r="M104" s="501">
        <v>0.69458410192774356</v>
      </c>
      <c r="N104" s="501">
        <v>0.78492571740588313</v>
      </c>
      <c r="O104" s="501">
        <v>0.86455285783330804</v>
      </c>
      <c r="P104" s="501">
        <v>0.37671453692848766</v>
      </c>
    </row>
    <row r="105" spans="1:16">
      <c r="A105" t="s">
        <v>53</v>
      </c>
      <c r="B105" s="501">
        <f t="array" ref="B105:P105">TRANSPOSE(Calculations!N84:N98)/10^3</f>
        <v>1.4719953692848771</v>
      </c>
      <c r="C105" s="501">
        <v>0.9928552168815945</v>
      </c>
      <c r="D105" s="501">
        <v>0.17453801289566234</v>
      </c>
      <c r="E105" s="501">
        <v>0.74662746922626022</v>
      </c>
      <c r="F105" s="501">
        <v>8.3803015201891107</v>
      </c>
      <c r="G105" s="501">
        <v>19.820185835772914</v>
      </c>
      <c r="H105" s="501">
        <v>1.4631215593505866</v>
      </c>
      <c r="I105" s="501">
        <v>3.1989863938942982</v>
      </c>
      <c r="J105" s="501">
        <v>8.8254720104882818</v>
      </c>
      <c r="K105" s="501">
        <v>2.7706849139067988</v>
      </c>
      <c r="L105" s="501">
        <v>0.82606454332322121</v>
      </c>
      <c r="M105" s="501">
        <v>0.49046319897372792</v>
      </c>
      <c r="N105" s="501">
        <v>0.49685797911792406</v>
      </c>
      <c r="O105" s="501">
        <v>0.53251052587170322</v>
      </c>
      <c r="P105" s="501">
        <v>0.35222809202813604</v>
      </c>
    </row>
    <row r="106" spans="1:16">
      <c r="A106" t="s">
        <v>54</v>
      </c>
      <c r="B106" s="501">
        <f t="array" ref="B106:P106">TRANSPOSE(Calculations!N191:N205)/10^3</f>
        <v>1.0696078952484218</v>
      </c>
      <c r="C106" s="501">
        <v>0.90929857309028672</v>
      </c>
      <c r="D106" s="501">
        <v>0.16814210185136863</v>
      </c>
      <c r="E106" s="501">
        <v>0.69525591203047266</v>
      </c>
      <c r="F106" s="501">
        <v>7.0149830034336595</v>
      </c>
      <c r="G106" s="501">
        <v>15.899245241306549</v>
      </c>
      <c r="H106" s="501">
        <v>1.3894623649162672</v>
      </c>
      <c r="I106" s="501">
        <v>3.048919409581083</v>
      </c>
      <c r="J106" s="501">
        <v>5.2680891643499903</v>
      </c>
      <c r="K106" s="501">
        <v>2.6045251070340081</v>
      </c>
      <c r="L106" s="501">
        <v>0.76299350349067407</v>
      </c>
      <c r="M106" s="501">
        <v>0.43034069206285164</v>
      </c>
      <c r="N106" s="501">
        <v>0.45628245333878731</v>
      </c>
      <c r="O106" s="501">
        <v>0.44428105088352787</v>
      </c>
      <c r="P106" s="501">
        <v>0.33108394075989916</v>
      </c>
    </row>
    <row r="107" spans="1:16">
      <c r="A107" t="s">
        <v>55</v>
      </c>
      <c r="B107" s="501">
        <f t="array" ref="B107:P107">TRANSPOSE(Calculations!N211:N225)/10^3</f>
        <v>1.066113765307438</v>
      </c>
      <c r="C107" s="501">
        <v>0.88464850172059295</v>
      </c>
      <c r="D107" s="501">
        <v>0.16272766615214132</v>
      </c>
      <c r="E107" s="501">
        <v>0.65821892103839419</v>
      </c>
      <c r="F107" s="501">
        <v>6.9385829541854269</v>
      </c>
      <c r="G107" s="501">
        <v>15.235699301676728</v>
      </c>
      <c r="H107" s="501">
        <v>1.3468276508322856</v>
      </c>
      <c r="I107" s="501">
        <v>2.759122717272176</v>
      </c>
      <c r="J107" s="501">
        <v>4.9062933646369418</v>
      </c>
      <c r="K107" s="501">
        <v>2.3979325751869092</v>
      </c>
      <c r="L107" s="501">
        <v>0.71768583034036137</v>
      </c>
      <c r="M107" s="501">
        <v>0.40103613545306238</v>
      </c>
      <c r="N107" s="501">
        <v>0.43635813543630764</v>
      </c>
      <c r="O107" s="501">
        <v>0.39551032816410731</v>
      </c>
      <c r="P107" s="501">
        <v>0.32061129764151663</v>
      </c>
    </row>
    <row r="108" spans="1:16">
      <c r="A108" t="s">
        <v>56</v>
      </c>
      <c r="B108" s="501">
        <f t="array" ref="B108:P108">TRANSPOSE(Calculations!N250:N264)/10^3</f>
        <v>1.066113765307438</v>
      </c>
      <c r="C108" s="501">
        <v>0.88464850172059295</v>
      </c>
      <c r="D108" s="501">
        <v>0.16272766615214132</v>
      </c>
      <c r="E108" s="501">
        <v>0.65821892103839419</v>
      </c>
      <c r="F108" s="501">
        <v>6.9385829541854269</v>
      </c>
      <c r="G108" s="501">
        <v>15.235699301676728</v>
      </c>
      <c r="H108" s="501">
        <v>1.3468276508322856</v>
      </c>
      <c r="I108" s="501">
        <v>3.9661955845730152</v>
      </c>
      <c r="J108" s="501">
        <v>5.2168246927736703</v>
      </c>
      <c r="K108" s="501">
        <v>2.4088416789022649</v>
      </c>
      <c r="L108" s="501">
        <v>0.71768583034036137</v>
      </c>
      <c r="M108" s="501">
        <v>0.40103613545306238</v>
      </c>
      <c r="N108" s="501">
        <v>0.43635813543630764</v>
      </c>
      <c r="O108" s="501">
        <v>0.39551032816410731</v>
      </c>
      <c r="P108" s="501">
        <v>0.32061129764151663</v>
      </c>
    </row>
    <row r="109" spans="1:16">
      <c r="A109" t="s">
        <v>57</v>
      </c>
      <c r="B109" s="501">
        <f t="array" ref="B109:P109">TRANSPOSE(Calculations!N289:N303)/10^3</f>
        <v>1.066113765307438</v>
      </c>
      <c r="C109" s="501">
        <v>0.88464850172059295</v>
      </c>
      <c r="D109" s="501">
        <v>0.16272766615214132</v>
      </c>
      <c r="E109" s="501">
        <v>0.65821892103839419</v>
      </c>
      <c r="F109" s="501">
        <v>8.4313997059436225</v>
      </c>
      <c r="G109" s="501">
        <v>15.675166223555925</v>
      </c>
      <c r="H109" s="501">
        <v>1.3468276508322856</v>
      </c>
      <c r="I109" s="501">
        <v>4.1401407221526529</v>
      </c>
      <c r="J109" s="501">
        <v>5.4754935570732224</v>
      </c>
      <c r="K109" s="501">
        <v>2.4088416789022649</v>
      </c>
      <c r="L109" s="501">
        <v>0.71768583034036137</v>
      </c>
      <c r="M109" s="501">
        <v>0.40103613545306238</v>
      </c>
      <c r="N109" s="501">
        <v>0.43635813543630764</v>
      </c>
      <c r="O109" s="501">
        <v>0.39551032816410731</v>
      </c>
      <c r="P109" s="501">
        <v>0.32061129764151663</v>
      </c>
    </row>
    <row r="110" spans="1:16">
      <c r="A110" t="s">
        <v>58</v>
      </c>
      <c r="B110" s="501">
        <f t="array" ref="B110:P110">TRANSPOSE(Calculations!N349:N363)/10^3</f>
        <v>1.066113765307438</v>
      </c>
      <c r="C110" s="501">
        <v>0.88464850172059295</v>
      </c>
      <c r="D110" s="501">
        <v>0.16272766615214132</v>
      </c>
      <c r="E110" s="501">
        <v>0.65821892103839419</v>
      </c>
      <c r="F110" s="501">
        <v>8.4313997059436225</v>
      </c>
      <c r="G110" s="501">
        <v>16.327273058530288</v>
      </c>
      <c r="H110" s="501">
        <v>1.3468276508322856</v>
      </c>
      <c r="I110" s="501">
        <v>4.1401407221526529</v>
      </c>
      <c r="J110" s="501">
        <v>5.4754935570732224</v>
      </c>
      <c r="K110" s="501">
        <v>2.4088416789022649</v>
      </c>
      <c r="L110" s="501">
        <v>0.71768583034036137</v>
      </c>
      <c r="M110" s="501">
        <v>0.40103613545306238</v>
      </c>
      <c r="N110" s="501">
        <v>0.43635813543630764</v>
      </c>
      <c r="O110" s="501">
        <v>0.39551032816410731</v>
      </c>
      <c r="P110" s="501">
        <v>0.32061129764151663</v>
      </c>
    </row>
    <row r="111" spans="1:16">
      <c r="B111" s="501"/>
      <c r="C111" s="501"/>
      <c r="D111" s="501"/>
      <c r="E111" s="501"/>
      <c r="F111" s="501"/>
      <c r="G111" s="501"/>
      <c r="H111" s="501"/>
      <c r="I111" s="501"/>
      <c r="J111" s="501"/>
      <c r="K111" s="501"/>
      <c r="L111" s="501"/>
      <c r="M111" s="501"/>
      <c r="N111" s="501"/>
      <c r="O111" s="501"/>
      <c r="P111" s="501"/>
    </row>
    <row r="112" spans="1:16">
      <c r="A112" s="23" t="s">
        <v>78</v>
      </c>
      <c r="B112" s="501"/>
      <c r="C112" s="501"/>
      <c r="D112" s="501"/>
      <c r="E112" s="501"/>
      <c r="F112" s="501"/>
      <c r="G112" s="500"/>
      <c r="H112" s="501"/>
      <c r="I112" s="501"/>
      <c r="J112" s="501"/>
      <c r="K112" s="501"/>
      <c r="L112" s="501"/>
      <c r="M112" s="501"/>
      <c r="N112" s="501"/>
      <c r="O112" s="501"/>
      <c r="P112" s="501"/>
    </row>
    <row r="113" spans="1:16">
      <c r="A113" t="s">
        <v>79</v>
      </c>
      <c r="B113">
        <f t="array" ref="B113:O113">TRANSPOSE(Calculations!O6:O19)</f>
        <v>6</v>
      </c>
      <c r="C113">
        <v>8</v>
      </c>
      <c r="D113">
        <v>14</v>
      </c>
      <c r="E113">
        <v>11</v>
      </c>
      <c r="F113">
        <v>3</v>
      </c>
      <c r="G113">
        <v>2</v>
      </c>
      <c r="H113">
        <v>13</v>
      </c>
      <c r="I113">
        <v>4</v>
      </c>
      <c r="J113">
        <v>1</v>
      </c>
      <c r="K113">
        <v>5</v>
      </c>
      <c r="L113">
        <v>7</v>
      </c>
      <c r="M113">
        <v>12</v>
      </c>
      <c r="N113">
        <v>10</v>
      </c>
      <c r="O113">
        <v>9</v>
      </c>
      <c r="P113" s="501"/>
    </row>
    <row r="114" spans="1:16">
      <c r="A114" t="s">
        <v>80</v>
      </c>
      <c r="B114">
        <v>1</v>
      </c>
      <c r="C114">
        <v>2</v>
      </c>
      <c r="D114">
        <v>3</v>
      </c>
      <c r="E114">
        <v>4</v>
      </c>
      <c r="F114">
        <v>5</v>
      </c>
      <c r="G114">
        <v>6</v>
      </c>
      <c r="H114">
        <v>7</v>
      </c>
      <c r="I114">
        <v>8</v>
      </c>
      <c r="J114">
        <v>9</v>
      </c>
      <c r="K114">
        <v>10</v>
      </c>
      <c r="L114">
        <v>11</v>
      </c>
      <c r="M114">
        <v>12</v>
      </c>
      <c r="N114">
        <v>13</v>
      </c>
      <c r="O114">
        <v>14</v>
      </c>
      <c r="P114" s="501"/>
    </row>
    <row r="115" spans="1:16" ht="45">
      <c r="B115" s="960" t="str">
        <f t="shared" ref="B115:O115" si="2">INDEX($B$102:$O$102,MATCH(B$114,$B$113:$O$113,0))</f>
        <v>Iron &amp; steel</v>
      </c>
      <c r="C115" s="960" t="str">
        <f t="shared" si="2"/>
        <v>Chemicals</v>
      </c>
      <c r="D115" s="960" t="str">
        <f t="shared" si="2"/>
        <v>Refining &amp; fuel processing</v>
      </c>
      <c r="E115" s="960" t="str">
        <f t="shared" si="2"/>
        <v>Non-metallic minerals</v>
      </c>
      <c r="F115" s="960" t="str">
        <f t="shared" si="2"/>
        <v>Nonferrous metals</v>
      </c>
      <c r="G115" s="960" t="str">
        <f t="shared" si="2"/>
        <v>Food, beverage, &amp; tobacco</v>
      </c>
      <c r="H115" s="960" t="str">
        <f t="shared" si="2"/>
        <v>Machinery</v>
      </c>
      <c r="I115" s="960" t="str">
        <f t="shared" si="2"/>
        <v>Textiles, leather, &amp; apparel</v>
      </c>
      <c r="J115" s="960" t="str">
        <f t="shared" si="2"/>
        <v>Other metal products</v>
      </c>
      <c r="K115" s="960" t="str">
        <f t="shared" si="2"/>
        <v>Electronics</v>
      </c>
      <c r="L115" s="960" t="str">
        <f t="shared" si="2"/>
        <v>Pulp, paper, &amp; printing</v>
      </c>
      <c r="M115" s="960" t="str">
        <f t="shared" si="2"/>
        <v>Vehicles &amp; transport equipment</v>
      </c>
      <c r="N115" s="960" t="str">
        <f t="shared" si="2"/>
        <v>Plastic &amp; rubber products</v>
      </c>
      <c r="O115" s="960" t="str">
        <f t="shared" si="2"/>
        <v>Wood &amp; furniture</v>
      </c>
      <c r="P115" s="960" t="str">
        <f>P102</f>
        <v>Other manufacturing</v>
      </c>
    </row>
    <row r="116" spans="1:16">
      <c r="A116" t="s">
        <v>51</v>
      </c>
      <c r="B116" s="501">
        <f t="shared" ref="B116:P116" si="3">INDEX($B103:$P103,MATCH(B$115,$B$102:$P$102,0))</f>
        <v>21.322634818288392</v>
      </c>
      <c r="C116" s="501">
        <f t="shared" si="3"/>
        <v>21.157939278955816</v>
      </c>
      <c r="D116" s="501">
        <f t="shared" si="3"/>
        <v>9.0638012895662374</v>
      </c>
      <c r="E116" s="501">
        <f t="shared" si="3"/>
        <v>9.0549736225087933</v>
      </c>
      <c r="F116" s="501">
        <f t="shared" si="3"/>
        <v>4.1026670574443145</v>
      </c>
      <c r="G116" s="501">
        <f t="shared" si="3"/>
        <v>1.5659525205158269</v>
      </c>
      <c r="H116" s="501">
        <f t="shared" si="3"/>
        <v>1.541541617819461</v>
      </c>
      <c r="I116" s="501">
        <f t="shared" si="3"/>
        <v>1.4183645955451352</v>
      </c>
      <c r="J116" s="501">
        <f t="shared" si="3"/>
        <v>1.0999120750293083</v>
      </c>
      <c r="K116" s="501">
        <f t="shared" si="3"/>
        <v>0.99860785463071522</v>
      </c>
      <c r="L116" s="501">
        <f t="shared" si="3"/>
        <v>0.9246160609613131</v>
      </c>
      <c r="M116" s="501">
        <f t="shared" si="3"/>
        <v>0.88367233294255576</v>
      </c>
      <c r="N116" s="501">
        <f t="shared" si="3"/>
        <v>0.75814771395076208</v>
      </c>
      <c r="O116" s="501">
        <f t="shared" si="3"/>
        <v>0.20061840562719813</v>
      </c>
      <c r="P116" s="501">
        <f t="shared" si="3"/>
        <v>0.37671453692848766</v>
      </c>
    </row>
    <row r="117" spans="1:16">
      <c r="A117" t="s">
        <v>52</v>
      </c>
      <c r="B117" s="501">
        <f t="shared" ref="B117:P117" si="4">INDEX($B104:$P104,MATCH(B$115,$B$102:$P$102,0))</f>
        <v>16.760016811521979</v>
      </c>
      <c r="C117" s="501">
        <f t="shared" si="4"/>
        <v>30.768437284020909</v>
      </c>
      <c r="D117" s="501">
        <f t="shared" si="4"/>
        <v>9.3114461335434573</v>
      </c>
      <c r="E117" s="501">
        <f t="shared" si="4"/>
        <v>6.3957342807903208</v>
      </c>
      <c r="F117" s="501">
        <f t="shared" si="4"/>
        <v>4.7180671160609622</v>
      </c>
      <c r="G117" s="501">
        <f t="shared" si="4"/>
        <v>1.5659525205158269</v>
      </c>
      <c r="H117" s="501">
        <f t="shared" si="4"/>
        <v>1.2116824984572367</v>
      </c>
      <c r="I117" s="501">
        <f t="shared" si="4"/>
        <v>1.4183645955451352</v>
      </c>
      <c r="J117" s="501">
        <f t="shared" si="4"/>
        <v>0.86455285783330804</v>
      </c>
      <c r="K117" s="501">
        <f t="shared" si="4"/>
        <v>0.78492571740588313</v>
      </c>
      <c r="L117" s="501">
        <f t="shared" si="4"/>
        <v>0.9246160609613131</v>
      </c>
      <c r="M117" s="501">
        <f t="shared" si="4"/>
        <v>0.69458410192774356</v>
      </c>
      <c r="N117" s="501">
        <f t="shared" si="4"/>
        <v>1.4971824603229336</v>
      </c>
      <c r="O117" s="501">
        <f t="shared" si="4"/>
        <v>0.20061840562719813</v>
      </c>
      <c r="P117" s="501">
        <f t="shared" si="4"/>
        <v>0.37671453692848766</v>
      </c>
    </row>
    <row r="118" spans="1:16">
      <c r="A118" t="s">
        <v>53</v>
      </c>
      <c r="B118" s="501">
        <f t="shared" ref="B118:P118" si="5">INDEX($B105:$P105,MATCH(B$115,$B$102:$P$102,0))</f>
        <v>8.8254720104882818</v>
      </c>
      <c r="C118" s="501">
        <f t="shared" si="5"/>
        <v>19.820185835772914</v>
      </c>
      <c r="D118" s="501">
        <f t="shared" si="5"/>
        <v>8.3803015201891107</v>
      </c>
      <c r="E118" s="501">
        <f t="shared" si="5"/>
        <v>3.1989863938942982</v>
      </c>
      <c r="F118" s="501">
        <f t="shared" si="5"/>
        <v>2.7706849139067988</v>
      </c>
      <c r="G118" s="501">
        <f t="shared" si="5"/>
        <v>1.4719953692848771</v>
      </c>
      <c r="H118" s="501">
        <f t="shared" si="5"/>
        <v>0.82606454332322121</v>
      </c>
      <c r="I118" s="501">
        <f t="shared" si="5"/>
        <v>0.9928552168815945</v>
      </c>
      <c r="J118" s="501">
        <f t="shared" si="5"/>
        <v>0.53251052587170322</v>
      </c>
      <c r="K118" s="501">
        <f t="shared" si="5"/>
        <v>0.49685797911792406</v>
      </c>
      <c r="L118" s="501">
        <f t="shared" si="5"/>
        <v>0.74662746922626022</v>
      </c>
      <c r="M118" s="501">
        <f t="shared" si="5"/>
        <v>0.49046319897372792</v>
      </c>
      <c r="N118" s="501">
        <f t="shared" si="5"/>
        <v>1.4631215593505866</v>
      </c>
      <c r="O118" s="501">
        <f t="shared" si="5"/>
        <v>0.17453801289566234</v>
      </c>
      <c r="P118" s="501">
        <f t="shared" si="5"/>
        <v>0.35222809202813604</v>
      </c>
    </row>
    <row r="119" spans="1:16">
      <c r="A119" t="s">
        <v>54</v>
      </c>
      <c r="B119" s="501">
        <f t="shared" ref="B119:P119" si="6">INDEX($B106:$P106,MATCH(B$115,$B$102:$P$102,0))</f>
        <v>5.2680891643499903</v>
      </c>
      <c r="C119" s="501">
        <f t="shared" si="6"/>
        <v>15.899245241306549</v>
      </c>
      <c r="D119" s="501">
        <f t="shared" si="6"/>
        <v>7.0149830034336595</v>
      </c>
      <c r="E119" s="501">
        <f t="shared" si="6"/>
        <v>3.048919409581083</v>
      </c>
      <c r="F119" s="501">
        <f t="shared" si="6"/>
        <v>2.6045251070340081</v>
      </c>
      <c r="G119" s="501">
        <f t="shared" si="6"/>
        <v>1.0696078952484218</v>
      </c>
      <c r="H119" s="501">
        <f t="shared" si="6"/>
        <v>0.76299350349067407</v>
      </c>
      <c r="I119" s="501">
        <f t="shared" si="6"/>
        <v>0.90929857309028672</v>
      </c>
      <c r="J119" s="501">
        <f t="shared" si="6"/>
        <v>0.44428105088352787</v>
      </c>
      <c r="K119" s="501">
        <f t="shared" si="6"/>
        <v>0.45628245333878731</v>
      </c>
      <c r="L119" s="501">
        <f t="shared" si="6"/>
        <v>0.69525591203047266</v>
      </c>
      <c r="M119" s="501">
        <f t="shared" si="6"/>
        <v>0.43034069206285164</v>
      </c>
      <c r="N119" s="501">
        <f t="shared" si="6"/>
        <v>1.3894623649162672</v>
      </c>
      <c r="O119" s="501">
        <f t="shared" si="6"/>
        <v>0.16814210185136863</v>
      </c>
      <c r="P119" s="501">
        <f t="shared" si="6"/>
        <v>0.33108394075989916</v>
      </c>
    </row>
    <row r="120" spans="1:16">
      <c r="A120" t="s">
        <v>55</v>
      </c>
      <c r="B120" s="501">
        <f t="shared" ref="B120:P120" si="7">INDEX($B107:$P107,MATCH(B$115,$B$102:$P$102,0))</f>
        <v>4.9062933646369418</v>
      </c>
      <c r="C120" s="501">
        <f t="shared" si="7"/>
        <v>15.235699301676728</v>
      </c>
      <c r="D120" s="501">
        <f t="shared" si="7"/>
        <v>6.9385829541854269</v>
      </c>
      <c r="E120" s="501">
        <f t="shared" si="7"/>
        <v>2.759122717272176</v>
      </c>
      <c r="F120" s="501">
        <f t="shared" si="7"/>
        <v>2.3979325751869092</v>
      </c>
      <c r="G120" s="501">
        <f t="shared" si="7"/>
        <v>1.066113765307438</v>
      </c>
      <c r="H120" s="501">
        <f t="shared" si="7"/>
        <v>0.71768583034036137</v>
      </c>
      <c r="I120" s="501">
        <f t="shared" si="7"/>
        <v>0.88464850172059295</v>
      </c>
      <c r="J120" s="501">
        <f t="shared" si="7"/>
        <v>0.39551032816410731</v>
      </c>
      <c r="K120" s="501">
        <f t="shared" si="7"/>
        <v>0.43635813543630764</v>
      </c>
      <c r="L120" s="501">
        <f t="shared" si="7"/>
        <v>0.65821892103839419</v>
      </c>
      <c r="M120" s="501">
        <f t="shared" si="7"/>
        <v>0.40103613545306238</v>
      </c>
      <c r="N120" s="501">
        <f t="shared" si="7"/>
        <v>1.3468276508322856</v>
      </c>
      <c r="O120" s="501">
        <f t="shared" si="7"/>
        <v>0.16272766615214132</v>
      </c>
      <c r="P120" s="501">
        <f t="shared" si="7"/>
        <v>0.32061129764151663</v>
      </c>
    </row>
    <row r="121" spans="1:16">
      <c r="A121" t="s">
        <v>56</v>
      </c>
      <c r="B121" s="501">
        <f t="shared" ref="B121:P121" si="8">INDEX($B108:$P108,MATCH(B$115,$B$102:$P$102,0))</f>
        <v>5.2168246927736703</v>
      </c>
      <c r="C121" s="501">
        <f t="shared" si="8"/>
        <v>15.235699301676728</v>
      </c>
      <c r="D121" s="501">
        <f t="shared" si="8"/>
        <v>6.9385829541854269</v>
      </c>
      <c r="E121" s="501">
        <f t="shared" si="8"/>
        <v>3.9661955845730152</v>
      </c>
      <c r="F121" s="501">
        <f t="shared" si="8"/>
        <v>2.4088416789022649</v>
      </c>
      <c r="G121" s="501">
        <f t="shared" si="8"/>
        <v>1.066113765307438</v>
      </c>
      <c r="H121" s="501">
        <f t="shared" si="8"/>
        <v>0.71768583034036137</v>
      </c>
      <c r="I121" s="501">
        <f t="shared" si="8"/>
        <v>0.88464850172059295</v>
      </c>
      <c r="J121" s="501">
        <f t="shared" si="8"/>
        <v>0.39551032816410731</v>
      </c>
      <c r="K121" s="501">
        <f t="shared" si="8"/>
        <v>0.43635813543630764</v>
      </c>
      <c r="L121" s="501">
        <f t="shared" si="8"/>
        <v>0.65821892103839419</v>
      </c>
      <c r="M121" s="501">
        <f t="shared" si="8"/>
        <v>0.40103613545306238</v>
      </c>
      <c r="N121" s="501">
        <f t="shared" si="8"/>
        <v>1.3468276508322856</v>
      </c>
      <c r="O121" s="501">
        <f t="shared" si="8"/>
        <v>0.16272766615214132</v>
      </c>
      <c r="P121" s="501">
        <f t="shared" si="8"/>
        <v>0.32061129764151663</v>
      </c>
    </row>
    <row r="122" spans="1:16">
      <c r="A122" t="s">
        <v>57</v>
      </c>
      <c r="B122" s="501">
        <f t="shared" ref="B122:P122" si="9">INDEX($B109:$P109,MATCH(B$115,$B$102:$P$102,0))</f>
        <v>5.4754935570732224</v>
      </c>
      <c r="C122" s="501">
        <f t="shared" si="9"/>
        <v>15.675166223555925</v>
      </c>
      <c r="D122" s="501">
        <f t="shared" si="9"/>
        <v>8.4313997059436225</v>
      </c>
      <c r="E122" s="501">
        <f t="shared" si="9"/>
        <v>4.1401407221526529</v>
      </c>
      <c r="F122" s="501">
        <f t="shared" si="9"/>
        <v>2.4088416789022649</v>
      </c>
      <c r="G122" s="501">
        <f t="shared" si="9"/>
        <v>1.066113765307438</v>
      </c>
      <c r="H122" s="501">
        <f t="shared" si="9"/>
        <v>0.71768583034036137</v>
      </c>
      <c r="I122" s="501">
        <f t="shared" si="9"/>
        <v>0.88464850172059295</v>
      </c>
      <c r="J122" s="501">
        <f t="shared" si="9"/>
        <v>0.39551032816410731</v>
      </c>
      <c r="K122" s="501">
        <f t="shared" si="9"/>
        <v>0.43635813543630764</v>
      </c>
      <c r="L122" s="501">
        <f t="shared" si="9"/>
        <v>0.65821892103839419</v>
      </c>
      <c r="M122" s="501">
        <f t="shared" si="9"/>
        <v>0.40103613545306238</v>
      </c>
      <c r="N122" s="501">
        <f t="shared" si="9"/>
        <v>1.3468276508322856</v>
      </c>
      <c r="O122" s="501">
        <f t="shared" si="9"/>
        <v>0.16272766615214132</v>
      </c>
      <c r="P122" s="501">
        <f t="shared" si="9"/>
        <v>0.32061129764151663</v>
      </c>
    </row>
    <row r="123" spans="1:16">
      <c r="A123" t="s">
        <v>58</v>
      </c>
      <c r="B123" s="501">
        <f t="shared" ref="B123:P123" si="10">INDEX($B110:$P110,MATCH(B$115,$B$102:$P$102,0))</f>
        <v>5.4754935570732224</v>
      </c>
      <c r="C123" s="501">
        <f t="shared" si="10"/>
        <v>16.327273058530288</v>
      </c>
      <c r="D123" s="501">
        <f t="shared" si="10"/>
        <v>8.4313997059436225</v>
      </c>
      <c r="E123" s="501">
        <f t="shared" si="10"/>
        <v>4.1401407221526529</v>
      </c>
      <c r="F123" s="501">
        <f t="shared" si="10"/>
        <v>2.4088416789022649</v>
      </c>
      <c r="G123" s="501">
        <f t="shared" si="10"/>
        <v>1.066113765307438</v>
      </c>
      <c r="H123" s="501">
        <f t="shared" si="10"/>
        <v>0.71768583034036137</v>
      </c>
      <c r="I123" s="501">
        <f t="shared" si="10"/>
        <v>0.88464850172059295</v>
      </c>
      <c r="J123" s="501">
        <f t="shared" si="10"/>
        <v>0.39551032816410731</v>
      </c>
      <c r="K123" s="501">
        <f t="shared" si="10"/>
        <v>0.43635813543630764</v>
      </c>
      <c r="L123" s="501">
        <f t="shared" si="10"/>
        <v>0.65821892103839419</v>
      </c>
      <c r="M123" s="501">
        <f t="shared" si="10"/>
        <v>0.40103613545306238</v>
      </c>
      <c r="N123" s="501">
        <f t="shared" si="10"/>
        <v>1.3468276508322856</v>
      </c>
      <c r="O123" s="501">
        <f t="shared" si="10"/>
        <v>0.16272766615214132</v>
      </c>
      <c r="P123" s="501">
        <f t="shared" si="10"/>
        <v>0.32061129764151663</v>
      </c>
    </row>
    <row r="124" spans="1:16">
      <c r="B124" s="501"/>
      <c r="C124" s="501"/>
      <c r="D124" s="501"/>
      <c r="E124" s="501"/>
      <c r="F124" s="501"/>
      <c r="G124" s="501"/>
      <c r="H124" s="501"/>
      <c r="I124" s="501"/>
      <c r="J124" s="501"/>
      <c r="K124" s="501"/>
      <c r="L124" s="501"/>
      <c r="M124" s="501"/>
      <c r="N124" s="501"/>
      <c r="O124" s="501"/>
      <c r="P124" s="501"/>
    </row>
    <row r="125" spans="1:16">
      <c r="B125" s="501"/>
      <c r="C125" s="501"/>
      <c r="D125" s="501"/>
      <c r="E125" s="501"/>
      <c r="F125" s="501"/>
      <c r="G125" s="501"/>
      <c r="H125" s="501"/>
      <c r="I125" s="501"/>
      <c r="J125" s="501"/>
      <c r="K125" s="501"/>
      <c r="L125" s="501"/>
      <c r="M125" s="501"/>
      <c r="N125" s="501"/>
      <c r="O125" s="501"/>
      <c r="P125" s="501"/>
    </row>
    <row r="126" spans="1:16">
      <c r="B126" s="501"/>
      <c r="C126" s="501"/>
      <c r="D126" s="501"/>
      <c r="E126" s="501"/>
      <c r="F126" s="501"/>
      <c r="G126" s="501"/>
      <c r="H126" s="501"/>
      <c r="I126" s="501"/>
      <c r="J126" s="501"/>
      <c r="K126" s="501"/>
      <c r="L126" s="501"/>
      <c r="M126" s="501"/>
      <c r="N126" s="501"/>
      <c r="O126" s="501"/>
      <c r="P126" s="501"/>
    </row>
    <row r="127" spans="1:16">
      <c r="B127" s="501"/>
      <c r="C127" s="501"/>
      <c r="D127" s="501"/>
      <c r="E127" s="501"/>
      <c r="F127" s="501"/>
      <c r="G127" s="501"/>
      <c r="H127" s="501"/>
      <c r="I127" s="501"/>
      <c r="J127" s="501"/>
      <c r="K127" s="501"/>
      <c r="L127" s="501"/>
      <c r="M127" s="501"/>
      <c r="N127" s="501"/>
      <c r="O127" s="501"/>
      <c r="P127" s="501"/>
    </row>
    <row r="128" spans="1:16">
      <c r="B128" s="501"/>
      <c r="C128" s="501"/>
      <c r="D128" s="501"/>
      <c r="E128" s="501"/>
      <c r="F128" s="501"/>
      <c r="G128" s="501"/>
      <c r="H128" s="501"/>
      <c r="I128" s="501"/>
      <c r="J128" s="501"/>
      <c r="K128" s="501"/>
      <c r="L128" s="501"/>
      <c r="M128" s="501"/>
      <c r="N128" s="501"/>
      <c r="O128" s="501"/>
      <c r="P128" s="501"/>
    </row>
    <row r="129" spans="2:16">
      <c r="B129" s="501"/>
      <c r="C129" s="501"/>
      <c r="D129" s="501"/>
      <c r="E129" s="501"/>
      <c r="F129" s="501"/>
      <c r="G129" s="501"/>
      <c r="H129" s="501"/>
      <c r="I129" s="501"/>
      <c r="J129" s="501"/>
      <c r="K129" s="501"/>
      <c r="L129" s="501"/>
      <c r="M129" s="501"/>
      <c r="N129" s="501"/>
      <c r="O129" s="501"/>
      <c r="P129" s="501"/>
    </row>
    <row r="159" spans="1:15">
      <c r="A159" s="106" t="s">
        <v>81</v>
      </c>
      <c r="B159" s="107"/>
      <c r="C159" s="107"/>
      <c r="D159" s="107"/>
      <c r="E159" s="107"/>
      <c r="F159" s="107"/>
      <c r="G159" s="107"/>
      <c r="H159" s="107"/>
      <c r="I159" s="107"/>
      <c r="J159" s="107"/>
      <c r="K159" s="107"/>
      <c r="L159" s="107"/>
      <c r="M159" s="826"/>
      <c r="N159" s="107"/>
    </row>
    <row r="160" spans="1:15" ht="30">
      <c r="A160" s="33"/>
      <c r="B160" s="101" t="s">
        <v>39</v>
      </c>
      <c r="C160" s="101" t="s">
        <v>40</v>
      </c>
      <c r="D160" s="101" t="s">
        <v>41</v>
      </c>
      <c r="E160" s="101" t="s">
        <v>42</v>
      </c>
      <c r="F160" s="101" t="s">
        <v>43</v>
      </c>
      <c r="G160" s="101" t="s">
        <v>44</v>
      </c>
      <c r="H160" s="101" t="s">
        <v>45</v>
      </c>
      <c r="I160" s="101" t="s">
        <v>46</v>
      </c>
      <c r="J160" s="101" t="s">
        <v>47</v>
      </c>
      <c r="K160" s="101" t="s">
        <v>82</v>
      </c>
      <c r="L160" s="101" t="s">
        <v>49</v>
      </c>
      <c r="M160" s="101" t="s">
        <v>50</v>
      </c>
      <c r="N160" s="101" t="s">
        <v>83</v>
      </c>
      <c r="O160" s="101"/>
    </row>
    <row r="161" spans="1:15">
      <c r="A161" t="s">
        <v>51</v>
      </c>
      <c r="B161" s="27">
        <f>B16*Calculations!B$390*10^3</f>
        <v>27.712755965472951</v>
      </c>
      <c r="C161" s="27">
        <f>C16*Calculations!C$390*10^3</f>
        <v>38.878111985514025</v>
      </c>
      <c r="D161" s="27">
        <f>D16*Calculations!D$390*10^3</f>
        <v>43.37513021971759</v>
      </c>
      <c r="E161" s="27">
        <f>E16*Calculations!E$390*10^3</f>
        <v>19.056713406575177</v>
      </c>
      <c r="F161" s="27">
        <f>F16*Calculations!C406*10^3</f>
        <v>87.2870817207329</v>
      </c>
      <c r="G161" s="27">
        <f>G16*Calculations!G$390*10^3</f>
        <v>74.549183929656337</v>
      </c>
      <c r="H161" s="27">
        <f>H16*Calculations!H$390*10^3</f>
        <v>0</v>
      </c>
      <c r="I161" s="27">
        <f>I16*Calculations!I$390*10^3</f>
        <v>103.79119287184345</v>
      </c>
      <c r="J161" s="27">
        <f>J16*Calculations!J$390*10^3</f>
        <v>428.14245240809367</v>
      </c>
      <c r="K161" s="27">
        <f>K16*Calculations!K$390*10^3</f>
        <v>0</v>
      </c>
      <c r="L161" s="27">
        <f>L16*Calculations!L$390*10^3</f>
        <v>0</v>
      </c>
      <c r="M161" s="27">
        <f>M16*Calculations!M$390*10^3</f>
        <v>0</v>
      </c>
      <c r="N161" s="27">
        <f>SUMPRODUCT(Calculations!B21:L21,Calculations!$C$417:$M$417)/10^3</f>
        <v>0</v>
      </c>
      <c r="O161" s="791"/>
    </row>
    <row r="162" spans="1:15">
      <c r="A162" t="s">
        <v>52</v>
      </c>
      <c r="B162" s="27">
        <f>B17*Calculations!B$395*10^3</f>
        <v>50.19115243578716</v>
      </c>
      <c r="C162" s="27">
        <f>C17*Calculations!C$395*10^3</f>
        <v>43.331628389663251</v>
      </c>
      <c r="D162" s="27">
        <f>D17*Calculations!D$395*10^3</f>
        <v>42.962014418218374</v>
      </c>
      <c r="E162" s="27">
        <f>E17*Calculations!E$395*10^3</f>
        <v>19.232056898880455</v>
      </c>
      <c r="F162" s="27">
        <f>F17*Calculations!C407*10^3</f>
        <v>139.45092423286459</v>
      </c>
      <c r="G162" s="27">
        <f>G17*Calculations!G$395*10^3</f>
        <v>108.24171371377416</v>
      </c>
      <c r="H162" s="27">
        <f>H17*Calculations!H$395*10^3</f>
        <v>0</v>
      </c>
      <c r="I162" s="27">
        <f>I17*Calculations!I$395*10^3</f>
        <v>151.24600033641187</v>
      </c>
      <c r="J162" s="27">
        <f>J17*Calculations!J$395*10^3</f>
        <v>473.01774196331093</v>
      </c>
      <c r="K162" s="27">
        <f>K17*Calculations!K$395*10^3</f>
        <v>0</v>
      </c>
      <c r="L162" s="27">
        <f>L17*Calculations!L$395*10^3</f>
        <v>0</v>
      </c>
      <c r="M162" s="27">
        <f>M17*Calculations!M$395*10^3</f>
        <v>0</v>
      </c>
      <c r="N162" s="27">
        <f>SUMPRODUCT(Calculations!B59:L59,Calculations!$C$419:$M$419)/10^3</f>
        <v>182.90350759519976</v>
      </c>
    </row>
    <row r="163" spans="1:15">
      <c r="A163" t="s">
        <v>53</v>
      </c>
      <c r="B163" s="27">
        <f>B18*Calculations!B$395*10^3</f>
        <v>38.247214435924668</v>
      </c>
      <c r="C163" s="27">
        <f>C18*Calculations!C$395*10^3</f>
        <v>25.6333993771092</v>
      </c>
      <c r="D163" s="27">
        <f>D18*Calculations!D$395*10^3</f>
        <v>23.312021266424463</v>
      </c>
      <c r="E163" s="27">
        <f>E18*Calculations!E$395*10^3</f>
        <v>11.234283877522016</v>
      </c>
      <c r="F163" s="27">
        <f>F18*Calculations!C408*10^3</f>
        <v>83.692034018704661</v>
      </c>
      <c r="G163" s="27">
        <f>G18*Calculations!G$395*10^3</f>
        <v>70.898896689514103</v>
      </c>
      <c r="H163" s="27">
        <f>H18*Calculations!H$395*10^3</f>
        <v>0</v>
      </c>
      <c r="I163" s="27">
        <f>I18*Calculations!I$395*10^3</f>
        <v>103.03437395349235</v>
      </c>
      <c r="J163" s="27">
        <f>J18*Calculations!J$395*10^3</f>
        <v>312.80996548233458</v>
      </c>
      <c r="K163" s="27">
        <f>K18*Calculations!K$395*10^3</f>
        <v>0</v>
      </c>
      <c r="L163" s="27">
        <f>L18*Calculations!L$395*10^3</f>
        <v>0</v>
      </c>
      <c r="M163" s="27">
        <f>M18*Calculations!M$395*10^3</f>
        <v>0</v>
      </c>
      <c r="N163" s="27">
        <f>SUMPRODUCT(Calculations!B99:L99,Calculations!$C$419:$M$419)/10^3</f>
        <v>112.87771640405481</v>
      </c>
    </row>
    <row r="164" spans="1:15">
      <c r="A164" t="s">
        <v>54</v>
      </c>
      <c r="B164" s="27">
        <f>B19*Calculations!B$395*10^3</f>
        <v>38.247214435924668</v>
      </c>
      <c r="C164" s="27">
        <f>C19*Calculations!C$395*10^3</f>
        <v>13.858921561424868</v>
      </c>
      <c r="D164" s="27">
        <f>D19*Calculations!D$395*10^3</f>
        <v>9.4638913876340656</v>
      </c>
      <c r="E164" s="27">
        <f>E19*Calculations!E$395*10^3</f>
        <v>5.3586848477143754</v>
      </c>
      <c r="F164" s="27">
        <f>F19*Calculations!C409*10^3</f>
        <v>35.615708717472486</v>
      </c>
      <c r="G164" s="27">
        <f>G19*Calculations!G$395*10^3</f>
        <v>32.497066831694795</v>
      </c>
      <c r="H164" s="27">
        <f>H19*Calculations!H$395*10^3</f>
        <v>0</v>
      </c>
      <c r="I164" s="27">
        <f>I19*Calculations!I$395*10^3</f>
        <v>103.03437395349235</v>
      </c>
      <c r="J164" s="27">
        <f>J19*Calculations!J$395*10^3</f>
        <v>437.26849153370847</v>
      </c>
      <c r="K164" s="27">
        <f>K19*Calculations!K$395*10^3</f>
        <v>0</v>
      </c>
      <c r="L164" s="27">
        <f>L19*Calculations!L$395*10^3</f>
        <v>0</v>
      </c>
      <c r="M164" s="27">
        <f>M19*Calculations!M$395*10^3</f>
        <v>0</v>
      </c>
      <c r="N164" s="27">
        <f>SUMPRODUCT(Calculations!B206:L206,Calculations!$C$419:$M$419)/10^3</f>
        <v>56.917680921073782</v>
      </c>
    </row>
    <row r="165" spans="1:15">
      <c r="A165" t="s">
        <v>55</v>
      </c>
      <c r="B165" s="27">
        <f>B20*Calculations!B$395*10^3</f>
        <v>38.247214435924668</v>
      </c>
      <c r="C165" s="27">
        <f>C20*Calculations!C$395*10^3</f>
        <v>8.6223976541232474</v>
      </c>
      <c r="D165" s="27">
        <f>D20*Calculations!D$395*10^3</f>
        <v>6.4843132359494851</v>
      </c>
      <c r="E165" s="27">
        <f>E20*Calculations!E$395*10^3</f>
        <v>3.9644543777481331</v>
      </c>
      <c r="F165" s="27">
        <f>F20*Calculations!C410*10^3</f>
        <v>16.498471001862676</v>
      </c>
      <c r="G165" s="27">
        <f>G20*Calculations!G$395*10^3</f>
        <v>14.244105066483346</v>
      </c>
      <c r="H165" s="27">
        <f>H20*Calculations!H$395*10^3</f>
        <v>0</v>
      </c>
      <c r="I165" s="27">
        <f>I20*Calculations!I$395*10^3</f>
        <v>103.03437395349235</v>
      </c>
      <c r="J165" s="27">
        <f>J20*Calculations!J$395*10^3</f>
        <v>519.88993691138444</v>
      </c>
      <c r="K165" s="27">
        <f>K20*Calculations!K$395*10^3</f>
        <v>0</v>
      </c>
      <c r="L165" s="27">
        <f>L20*Calculations!L$395*10^3</f>
        <v>0</v>
      </c>
      <c r="M165" s="27">
        <f>M20*Calculations!M$395*10^3</f>
        <v>0</v>
      </c>
      <c r="N165" s="27">
        <f>SUMPRODUCT(Calculations!B226:L226,Calculations!$C$419:$M$419)/10^3</f>
        <v>39.023215053700156</v>
      </c>
    </row>
    <row r="166" spans="1:15">
      <c r="A166" t="s">
        <v>56</v>
      </c>
      <c r="B166" s="27">
        <f>B21*Calculations!B$395*10^3</f>
        <v>38.247214435924668</v>
      </c>
      <c r="C166" s="27">
        <f>C21*Calculations!C$395*10^3</f>
        <v>4.9764748658010545</v>
      </c>
      <c r="D166" s="27">
        <f>D21*Calculations!D$395*10^3</f>
        <v>2.6670477858757202</v>
      </c>
      <c r="E166" s="27">
        <f>E21*Calculations!E$395*10^3</f>
        <v>2.409337988124844</v>
      </c>
      <c r="F166" s="27">
        <f>F21*Calculations!C411*10^3</f>
        <v>12.320369339203683</v>
      </c>
      <c r="G166" s="27">
        <f>G21*Calculations!G$395*10^3</f>
        <v>10.805244376320069</v>
      </c>
      <c r="H166" s="27">
        <f>H21*Calculations!H$395*10^3</f>
        <v>0</v>
      </c>
      <c r="I166" s="27">
        <f>I21*Calculations!I$395*10^3</f>
        <v>103.03437395349235</v>
      </c>
      <c r="J166" s="27">
        <f>J21*Calculations!J$395*10^3</f>
        <v>519.88993691138444</v>
      </c>
      <c r="K166" s="27">
        <f>K21*Calculations!K$395*10^3</f>
        <v>0</v>
      </c>
      <c r="L166" s="27">
        <f>L21*Calculations!L$395*10^3</f>
        <v>0</v>
      </c>
      <c r="M166" s="27">
        <f>M21*Calculations!M$395*10^3</f>
        <v>25.915772704742512</v>
      </c>
      <c r="N166" s="27">
        <f>SUMPRODUCT(Calculations!B265:L265,Calculations!$C$419:$M$419)/10^3</f>
        <v>29.183283626262881</v>
      </c>
    </row>
    <row r="167" spans="1:15">
      <c r="A167" t="s">
        <v>57</v>
      </c>
      <c r="B167" s="27">
        <f>B22*Calculations!B$395*10^3</f>
        <v>38.247214435924668</v>
      </c>
      <c r="C167" s="27">
        <f>C22*Calculations!C$395*10^3</f>
        <v>-1.7847486923343906E-16</v>
      </c>
      <c r="D167" s="27">
        <f>D22*Calculations!D$395*10^3</f>
        <v>9.4128656745045811E-18</v>
      </c>
      <c r="E167" s="27">
        <f>E22*Calculations!E$395*10^3</f>
        <v>7.5904531248493316E-19</v>
      </c>
      <c r="F167" s="27">
        <f>F22*Calculations!C412*10^3</f>
        <v>-1.8859444934494797E-17</v>
      </c>
      <c r="G167" s="27">
        <f>G22*Calculations!G$395*10^3</f>
        <v>-9.001503379690622E-16</v>
      </c>
      <c r="H167" s="27">
        <f>H22*Calculations!H$395*10^3</f>
        <v>0</v>
      </c>
      <c r="I167" s="27">
        <f>I22*Calculations!I$395*10^3</f>
        <v>103.03437395349235</v>
      </c>
      <c r="J167" s="27">
        <f>J22*Calculations!J$395*10^3</f>
        <v>519.88993691138444</v>
      </c>
      <c r="K167" s="27">
        <f>K22*Calculations!K$395*10^3</f>
        <v>147.80610471978659</v>
      </c>
      <c r="L167" s="27">
        <f>L22*Calculations!L$395*10^3</f>
        <v>0</v>
      </c>
      <c r="M167" s="27">
        <f>M22*Calculations!M$395*10^3</f>
        <v>25.915772704742512</v>
      </c>
      <c r="N167" s="27">
        <f>SUMPRODUCT(Calculations!B304:L304,Calculations!$C$419:$M$419)/10^3</f>
        <v>1.8158292554375151</v>
      </c>
    </row>
    <row r="168" spans="1:15">
      <c r="A168" t="s">
        <v>58</v>
      </c>
      <c r="B168" s="27">
        <f>B23*Calculations!B$395*10^3</f>
        <v>0</v>
      </c>
      <c r="C168" s="27">
        <f>C23*Calculations!C$395*10^3</f>
        <v>-1.7847486923343906E-16</v>
      </c>
      <c r="D168" s="27">
        <f>D23*Calculations!D$395*10^3</f>
        <v>9.4128656745045811E-18</v>
      </c>
      <c r="E168" s="27">
        <f>E23*Calculations!E$395*10^3</f>
        <v>7.5904531248493316E-19</v>
      </c>
      <c r="F168" s="27">
        <f>F23*Calculations!C413*10^3</f>
        <v>-1.8859444934494797E-17</v>
      </c>
      <c r="G168" s="27">
        <f>G23*Calculations!G$395*10^3</f>
        <v>-9.001503379690622E-16</v>
      </c>
      <c r="H168" s="27">
        <f>H23*Calculations!H$395*10^3</f>
        <v>6.0230984915298027</v>
      </c>
      <c r="I168" s="27">
        <f>I23*Calculations!I$395*10^3</f>
        <v>103.03437395349235</v>
      </c>
      <c r="J168" s="27">
        <f>J23*Calculations!J$395*10^3</f>
        <v>519.88993691138444</v>
      </c>
      <c r="K168" s="27">
        <f>K23*Calculations!K$395*10^3</f>
        <v>188.56278190568412</v>
      </c>
      <c r="L168" s="27">
        <f>L23*Calculations!L$395*10^3</f>
        <v>23.231305995961616</v>
      </c>
      <c r="M168" s="27">
        <f>M23*Calculations!M$395*10^3</f>
        <v>25.915772704742512</v>
      </c>
      <c r="N168" s="27">
        <f>SUMPRODUCT(Calculations!B364:L364,Calculations!$C$419:$M$419)/10^3</f>
        <v>2.4746930360755783</v>
      </c>
    </row>
    <row r="169" spans="1:15">
      <c r="B169" s="27"/>
      <c r="C169" s="27"/>
      <c r="D169" s="27"/>
      <c r="E169" s="27"/>
      <c r="F169" s="27"/>
      <c r="G169" s="27"/>
      <c r="H169" s="27"/>
      <c r="I169" s="27"/>
      <c r="J169" s="27"/>
    </row>
    <row r="203" spans="1:3">
      <c r="A203" s="23" t="s">
        <v>84</v>
      </c>
    </row>
    <row r="204" spans="1:3">
      <c r="B204" t="s">
        <v>60</v>
      </c>
    </row>
    <row r="205" spans="1:3">
      <c r="A205" t="s">
        <v>51</v>
      </c>
      <c r="B205" s="27">
        <f>SUM(B161:N161)</f>
        <v>822.79262250760621</v>
      </c>
      <c r="C205" t="s">
        <v>85</v>
      </c>
    </row>
    <row r="206" spans="1:3">
      <c r="A206" t="s">
        <v>52</v>
      </c>
      <c r="B206" s="27">
        <f>SUM(B162:N162)-SUM(B161:N161)</f>
        <v>387.78411747650421</v>
      </c>
      <c r="C206" t="s">
        <v>85</v>
      </c>
    </row>
    <row r="207" spans="1:3">
      <c r="A207" t="s">
        <v>53</v>
      </c>
      <c r="B207" s="27">
        <f t="shared" ref="B207:B211" si="11">SUM(B163:N163)-SUM(B162:N162)</f>
        <v>-428.83683447902968</v>
      </c>
      <c r="C207" t="s">
        <v>85</v>
      </c>
    </row>
    <row r="208" spans="1:3">
      <c r="A208" t="s">
        <v>54</v>
      </c>
      <c r="B208" s="27">
        <f t="shared" si="11"/>
        <v>-49.477871314940785</v>
      </c>
      <c r="C208" t="s">
        <v>85</v>
      </c>
    </row>
    <row r="209" spans="1:3">
      <c r="A209" t="s">
        <v>55</v>
      </c>
      <c r="B209" s="27">
        <f t="shared" si="11"/>
        <v>17.746447500528575</v>
      </c>
      <c r="C209" t="s">
        <v>85</v>
      </c>
    </row>
    <row r="210" spans="1:3">
      <c r="A210" t="s">
        <v>56</v>
      </c>
      <c r="B210" s="27">
        <f t="shared" si="11"/>
        <v>-0.55942570353636256</v>
      </c>
      <c r="C210" t="s">
        <v>85</v>
      </c>
    </row>
    <row r="211" spans="1:3">
      <c r="A211" t="s">
        <v>57</v>
      </c>
      <c r="B211" s="27">
        <f t="shared" si="11"/>
        <v>87.260175993635926</v>
      </c>
      <c r="C211" t="s">
        <v>85</v>
      </c>
    </row>
    <row r="212" spans="1:3">
      <c r="A212" t="s">
        <v>58</v>
      </c>
      <c r="B212" s="27">
        <f>SUM(B168:N168)-SUM(B167:N167)</f>
        <v>32.422731018102354</v>
      </c>
      <c r="C212" t="s">
        <v>85</v>
      </c>
    </row>
    <row r="248" spans="1:17">
      <c r="A248" s="106" t="s">
        <v>86</v>
      </c>
      <c r="B248" s="107"/>
      <c r="C248" s="107"/>
      <c r="D248" s="107"/>
      <c r="E248" s="107"/>
      <c r="F248" s="107"/>
      <c r="G248" s="107"/>
      <c r="H248" s="107"/>
      <c r="I248" s="107"/>
      <c r="J248" s="107"/>
      <c r="K248" s="107"/>
      <c r="L248" s="107"/>
    </row>
    <row r="250" spans="1:17">
      <c r="A250" s="535" t="s">
        <v>51</v>
      </c>
    </row>
    <row r="251" spans="1:17" ht="30">
      <c r="B251" s="101" t="s">
        <v>39</v>
      </c>
      <c r="C251" s="101" t="s">
        <v>40</v>
      </c>
      <c r="D251" s="101" t="s">
        <v>41</v>
      </c>
      <c r="E251" s="101" t="s">
        <v>42</v>
      </c>
      <c r="F251" s="101" t="s">
        <v>43</v>
      </c>
      <c r="G251" s="101" t="s">
        <v>44</v>
      </c>
      <c r="H251" s="101" t="s">
        <v>45</v>
      </c>
      <c r="I251" s="101" t="s">
        <v>46</v>
      </c>
      <c r="J251" s="101" t="s">
        <v>47</v>
      </c>
      <c r="K251" s="101" t="s">
        <v>48</v>
      </c>
      <c r="L251" s="101" t="s">
        <v>49</v>
      </c>
      <c r="M251" s="101" t="s">
        <v>50</v>
      </c>
      <c r="O251" s="101" t="s">
        <v>87</v>
      </c>
    </row>
    <row r="252" spans="1:17">
      <c r="A252" t="str">
        <f>IFERROR(INDEX(Calculations!$A$6:$A$19,MATCH(O252,Calculations!$O$6:$O$19,0)),"")</f>
        <v>Iron &amp; steel</v>
      </c>
      <c r="B252" s="501" t="str">
        <f>IF($A252="Chemicals",SUM(Calculations!$B$313:$G$313)/10^3,"")</f>
        <v/>
      </c>
      <c r="C252" s="501">
        <f>INDEX(Calculations!B$6:B$19,MATCH($O252,Calculations!$O$6:$O$19,0))/10^3</f>
        <v>2.5689595545134818</v>
      </c>
      <c r="D252" s="501">
        <f>INDEX(Calculations!C$6:C$19,MATCH($O252,Calculations!$O$6:$O$19,0))/10^3</f>
        <v>11.204997069167643</v>
      </c>
      <c r="E252" s="501">
        <f>INDEX(Calculations!D$6:D$19,MATCH($O252,Calculations!$O$6:$O$19,0))/10^3</f>
        <v>4.3196395076201641</v>
      </c>
      <c r="F252" s="501">
        <f>INDEX(Calculations!E$6:E$19,MATCH($O252,Calculations!$O$6:$O$19,0))/10^3</f>
        <v>3.8021688159437281E-2</v>
      </c>
      <c r="G252" s="501">
        <f>INDEX(Calculations!F$6:F$19,MATCH($O252,Calculations!$O$6:$O$19,0))/10^3</f>
        <v>0.53608733880422055</v>
      </c>
      <c r="H252" s="501">
        <f>INDEX(Calculations!G$6:G$19,MATCH($O252,Calculations!$O$6:$O$19,0))/10^3</f>
        <v>0</v>
      </c>
      <c r="I252" s="501">
        <f>INDEX(Calculations!H$6:H$19,MATCH($O252,Calculations!$O$6:$O$19,0))/10^3</f>
        <v>0.18370457209847596</v>
      </c>
      <c r="J252" s="501">
        <f>INDEX(Calculations!I$6:I$19,MATCH($O252,Calculations!$O$6:$O$19,0))/10^3</f>
        <v>2.4712250879249709</v>
      </c>
      <c r="K252" s="27">
        <v>0</v>
      </c>
      <c r="L252" s="27">
        <v>0</v>
      </c>
      <c r="M252" s="27">
        <v>0</v>
      </c>
      <c r="O252" s="27">
        <v>1</v>
      </c>
      <c r="Q252" s="501"/>
    </row>
    <row r="253" spans="1:17">
      <c r="A253" t="str">
        <f>IFERROR(INDEX(Calculations!$A$6:$A$19,MATCH(O253,Calculations!$O$6:$O$19,0)),"")</f>
        <v>Chemicals</v>
      </c>
      <c r="B253" s="501">
        <f>IF($A253="Chemicals",SUM(Calculations!$B$313:$G$313)/10^3,"")</f>
        <v>4.6586104395654244</v>
      </c>
      <c r="C253" s="501">
        <f>INDEX(Calculations!B$6:B$19,MATCH($O253,Calculations!$O$6:$O$19,0))/10^3</f>
        <v>2.9021805392731537</v>
      </c>
      <c r="D253" s="501">
        <f>INDEX(Calculations!C$6:C$19,MATCH($O253,Calculations!$O$6:$O$19,0))/10^3</f>
        <v>1.190143610785463</v>
      </c>
      <c r="E253" s="501">
        <f>INDEX(Calculations!D$6:D$19,MATCH($O253,Calculations!$O$6:$O$19,0))/10^3</f>
        <v>0.39607854630715128</v>
      </c>
      <c r="F253" s="501">
        <f>INDEX(Calculations!E$6:E$19,MATCH($O253,Calculations!$O$6:$O$19,0))/10^3</f>
        <v>4.092368112543963</v>
      </c>
      <c r="G253" s="501">
        <f>INDEX(Calculations!F$6:F$19,MATCH($O253,Calculations!$O$6:$O$19,0))/10^3</f>
        <v>1.9759056271981246</v>
      </c>
      <c r="H253" s="501">
        <f>INDEX(Calculations!G$6:G$19,MATCH($O253,Calculations!$O$6:$O$19,0))/10^3</f>
        <v>0</v>
      </c>
      <c r="I253" s="501">
        <f>INDEX(Calculations!H$6:H$19,MATCH($O253,Calculations!$O$6:$O$19,0))/10^3</f>
        <v>3.1916617819460731</v>
      </c>
      <c r="J253" s="501">
        <f>INDEX(Calculations!I$6:I$19,MATCH($O253,Calculations!$O$6:$O$19,0))/10^3</f>
        <v>2.7509906213364603</v>
      </c>
      <c r="K253" s="27">
        <v>0</v>
      </c>
      <c r="L253" s="27">
        <v>0</v>
      </c>
      <c r="M253" s="27">
        <v>0</v>
      </c>
      <c r="O253" s="27">
        <v>2</v>
      </c>
      <c r="Q253" s="501"/>
    </row>
    <row r="254" spans="1:17">
      <c r="A254" t="str">
        <f>IFERROR(INDEX(Calculations!$A$6:$A$19,MATCH(O254,Calculations!$O$6:$O$19,0)),"")</f>
        <v>Refining &amp; fuel processing</v>
      </c>
      <c r="B254" s="501" t="str">
        <f>IF($A254="Chemicals",SUM(Calculations!$B$313:$G$313)/10^3,"")</f>
        <v/>
      </c>
      <c r="C254" s="501">
        <f>INDEX(Calculations!B$6:B$19,MATCH($O254,Calculations!$O$6:$O$19,0))/10^3</f>
        <v>0.70563012895662369</v>
      </c>
      <c r="D254" s="501">
        <f>INDEX(Calculations!C$6:C$19,MATCH($O254,Calculations!$O$6:$O$19,0))/10^3</f>
        <v>2.5445486518171159E-2</v>
      </c>
      <c r="E254" s="501">
        <f>INDEX(Calculations!D$6:D$19,MATCH($O254,Calculations!$O$6:$O$19,0))/10^3</f>
        <v>0.57957209847596725</v>
      </c>
      <c r="F254" s="501">
        <f>INDEX(Calculations!E$6:E$19,MATCH($O254,Calculations!$O$6:$O$19,0))/10^3</f>
        <v>5.7938247362250879</v>
      </c>
      <c r="G254" s="501">
        <f>INDEX(Calculations!F$6:F$19,MATCH($O254,Calculations!$O$6:$O$19,0))/10^3</f>
        <v>0.45433177022274324</v>
      </c>
      <c r="H254" s="501">
        <f>INDEX(Calculations!G$6:G$19,MATCH($O254,Calculations!$O$6:$O$19,0))/10^3</f>
        <v>0</v>
      </c>
      <c r="I254" s="501">
        <f>INDEX(Calculations!H$6:H$19,MATCH($O254,Calculations!$O$6:$O$19,0))/10^3</f>
        <v>0.92932883939038691</v>
      </c>
      <c r="J254" s="501">
        <f>INDEX(Calculations!I$6:I$19,MATCH($O254,Calculations!$O$6:$O$19,0))/10^3</f>
        <v>0.57566822977725673</v>
      </c>
      <c r="K254" s="27">
        <v>0</v>
      </c>
      <c r="L254" s="27">
        <v>0</v>
      </c>
      <c r="M254" s="27">
        <v>0</v>
      </c>
      <c r="O254" s="27">
        <v>3</v>
      </c>
      <c r="Q254" s="501"/>
    </row>
    <row r="255" spans="1:17">
      <c r="A255" t="str">
        <f>IFERROR(INDEX(Calculations!$A$6:$A$19,MATCH(O255,Calculations!$O$6:$O$19,0)),"")</f>
        <v>Non-metallic minerals</v>
      </c>
      <c r="B255" s="501" t="str">
        <f>IF($A255="Chemicals",SUM(Calculations!$B$313:$G$313)/10^3,"")</f>
        <v/>
      </c>
      <c r="C255" s="501">
        <f>INDEX(Calculations!B$6:B$19,MATCH($O255,Calculations!$O$6:$O$19,0))/10^3</f>
        <v>4.6974853458382189</v>
      </c>
      <c r="D255" s="501">
        <f>INDEX(Calculations!C$6:C$19,MATCH($O255,Calculations!$O$6:$O$19,0))/10^3</f>
        <v>0.29203106682297775</v>
      </c>
      <c r="E255" s="501">
        <f>INDEX(Calculations!D$6:D$19,MATCH($O255,Calculations!$O$6:$O$19,0))/10^3</f>
        <v>0.20965709261430249</v>
      </c>
      <c r="F255" s="501">
        <f>INDEX(Calculations!E$6:E$19,MATCH($O255,Calculations!$O$6:$O$19,0))/10^3</f>
        <v>1.3918200468933177</v>
      </c>
      <c r="G255" s="501">
        <f>INDEX(Calculations!F$6:F$19,MATCH($O255,Calculations!$O$6:$O$19,0))/10^3</f>
        <v>0.952198124267292</v>
      </c>
      <c r="H255" s="501">
        <f>INDEX(Calculations!G$6:G$19,MATCH($O255,Calculations!$O$6:$O$19,0))/10^3</f>
        <v>0</v>
      </c>
      <c r="I255" s="501">
        <f>INDEX(Calculations!H$6:H$19,MATCH($O255,Calculations!$O$6:$O$19,0))/10^3</f>
        <v>6.4258499413833534E-2</v>
      </c>
      <c r="J255" s="501">
        <f>INDEX(Calculations!I$6:I$19,MATCH($O255,Calculations!$O$6:$O$19,0))/10^3</f>
        <v>1.4475234466588511</v>
      </c>
      <c r="K255" s="27">
        <v>0</v>
      </c>
      <c r="L255" s="27">
        <v>0</v>
      </c>
      <c r="M255" s="27">
        <v>0</v>
      </c>
      <c r="O255" s="27">
        <v>4</v>
      </c>
      <c r="Q255" s="501"/>
    </row>
    <row r="256" spans="1:17">
      <c r="A256" t="str">
        <f>IFERROR(INDEX(Calculations!$A$6:$A$19,MATCH(O256,Calculations!$O$6:$O$19,0)),"")</f>
        <v>Nonferrous metals</v>
      </c>
      <c r="B256" s="501" t="str">
        <f>IF($A256="Chemicals",SUM(Calculations!$B$313:$G$313)/10^3,"")</f>
        <v/>
      </c>
      <c r="C256" s="501">
        <f>INDEX(Calculations!B$6:B$19,MATCH($O256,Calculations!$O$6:$O$19,0))/10^3</f>
        <v>0.33543376318874563</v>
      </c>
      <c r="D256" s="501">
        <f>INDEX(Calculations!C$6:C$19,MATCH($O256,Calculations!$O$6:$O$19,0))/10^3</f>
        <v>0.10435228604923799</v>
      </c>
      <c r="E256" s="501">
        <f>INDEX(Calculations!D$6:D$19,MATCH($O256,Calculations!$O$6:$O$19,0))/10^3</f>
        <v>0.16550703399765535</v>
      </c>
      <c r="F256" s="501">
        <f>INDEX(Calculations!E$6:E$19,MATCH($O256,Calculations!$O$6:$O$19,0))/10^3</f>
        <v>0.10585287221570927</v>
      </c>
      <c r="G256" s="501">
        <f>INDEX(Calculations!F$6:F$19,MATCH($O256,Calculations!$O$6:$O$19,0))/10^3</f>
        <v>0.27919988276670582</v>
      </c>
      <c r="H256" s="501">
        <f>INDEX(Calculations!G$6:G$19,MATCH($O256,Calculations!$O$6:$O$19,0))/10^3</f>
        <v>0</v>
      </c>
      <c r="I256" s="501">
        <f>INDEX(Calculations!H$6:H$19,MATCH($O256,Calculations!$O$6:$O$19,0))/10^3</f>
        <v>0.30917350527549825</v>
      </c>
      <c r="J256" s="501">
        <f>INDEX(Calculations!I$6:I$19,MATCH($O256,Calculations!$O$6:$O$19,0))/10^3</f>
        <v>2.8031477139507626</v>
      </c>
      <c r="K256" s="27">
        <v>0</v>
      </c>
      <c r="L256" s="27">
        <v>0</v>
      </c>
      <c r="M256" s="27">
        <v>0</v>
      </c>
      <c r="O256" s="27">
        <v>5</v>
      </c>
      <c r="Q256" s="501"/>
    </row>
    <row r="257" spans="1:17">
      <c r="A257" t="str">
        <f>IFERROR(INDEX(Calculations!$A$6:$A$19,MATCH(O257,Calculations!$O$6:$O$19,0)),"")</f>
        <v>Food, beverage, &amp; tobacco</v>
      </c>
      <c r="B257" s="501" t="str">
        <f>IF($A257="Chemicals",SUM(Calculations!$B$313:$G$313)/10^3,"")</f>
        <v/>
      </c>
      <c r="C257" s="501">
        <f>INDEX(Calculations!B$6:B$19,MATCH($O257,Calculations!$O$6:$O$19,0))/10^3</f>
        <v>0.22229484173505279</v>
      </c>
      <c r="D257" s="501">
        <f>INDEX(Calculations!C$6:C$19,MATCH($O257,Calculations!$O$6:$O$19,0))/10^3</f>
        <v>3.8276670574443139E-3</v>
      </c>
      <c r="E257" s="501">
        <f>INDEX(Calculations!D$6:D$19,MATCH($O257,Calculations!$O$6:$O$19,0))/10^3</f>
        <v>1.7291910902696367E-4</v>
      </c>
      <c r="F257" s="501">
        <f>INDEX(Calculations!E$6:E$19,MATCH($O257,Calculations!$O$6:$O$19,0))/10^3</f>
        <v>2.1374560375146543E-2</v>
      </c>
      <c r="G257" s="501">
        <f>INDEX(Calculations!F$6:F$19,MATCH($O257,Calculations!$O$6:$O$19,0))/10^3</f>
        <v>0.35146248534583829</v>
      </c>
      <c r="H257" s="501">
        <f>INDEX(Calculations!G$6:G$19,MATCH($O257,Calculations!$O$6:$O$19,0))/10^3</f>
        <v>0</v>
      </c>
      <c r="I257" s="501">
        <f>INDEX(Calculations!H$6:H$19,MATCH($O257,Calculations!$O$6:$O$19,0))/10^3</f>
        <v>0.39646541617819464</v>
      </c>
      <c r="J257" s="501">
        <f>INDEX(Calculations!I$6:I$19,MATCH($O257,Calculations!$O$6:$O$19,0))/10^3</f>
        <v>0.57035463071512327</v>
      </c>
      <c r="K257" s="27">
        <v>0</v>
      </c>
      <c r="L257" s="27">
        <v>0</v>
      </c>
      <c r="M257" s="27">
        <v>0</v>
      </c>
      <c r="O257" s="27">
        <v>6</v>
      </c>
      <c r="Q257" s="501"/>
    </row>
    <row r="258" spans="1:17">
      <c r="A258" t="str">
        <f>IFERROR(INDEX(Calculations!$A$6:$A$19,MATCH(O258,Calculations!$O$6:$O$19,0)),"")</f>
        <v>Machinery</v>
      </c>
      <c r="B258" s="501" t="str">
        <f>IF($A258="Chemicals",SUM(Calculations!$B$313:$G$313)/10^3,"")</f>
        <v/>
      </c>
      <c r="C258" s="501">
        <f>INDEX(Calculations!B$6:B$19,MATCH($O258,Calculations!$O$6:$O$19,0))/10^3</f>
        <v>6.1195779601406807E-3</v>
      </c>
      <c r="D258" s="501">
        <f>INDEX(Calculations!C$6:C$19,MATCH($O258,Calculations!$O$6:$O$19,0))/10^3</f>
        <v>5.4091441969519344E-2</v>
      </c>
      <c r="E258" s="501">
        <f>INDEX(Calculations!D$6:D$19,MATCH($O258,Calculations!$O$6:$O$19,0))/10^3</f>
        <v>3.4935521688159439E-3</v>
      </c>
      <c r="F258" s="501">
        <f>INDEX(Calculations!E$6:E$19,MATCH($O258,Calculations!$O$6:$O$19,0))/10^3</f>
        <v>4.3783704572098493E-2</v>
      </c>
      <c r="G258" s="501">
        <f>INDEX(Calculations!F$6:F$19,MATCH($O258,Calculations!$O$6:$O$19,0))/10^3</f>
        <v>0.25355803048065656</v>
      </c>
      <c r="H258" s="501">
        <f>INDEX(Calculations!G$6:G$19,MATCH($O258,Calculations!$O$6:$O$19,0))/10^3</f>
        <v>0</v>
      </c>
      <c r="I258" s="501">
        <f>INDEX(Calculations!H$6:H$19,MATCH($O258,Calculations!$O$6:$O$19,0))/10^3</f>
        <v>3.8774912075029311E-2</v>
      </c>
      <c r="J258" s="501">
        <f>INDEX(Calculations!I$6:I$19,MATCH($O258,Calculations!$O$6:$O$19,0))/10^3</f>
        <v>1.1417203985932005</v>
      </c>
      <c r="K258" s="27">
        <v>0</v>
      </c>
      <c r="L258" s="27">
        <v>0</v>
      </c>
      <c r="M258" s="27">
        <v>0</v>
      </c>
      <c r="O258" s="27">
        <v>7</v>
      </c>
      <c r="Q258" s="501"/>
    </row>
    <row r="259" spans="1:17">
      <c r="A259" t="str">
        <f>IFERROR(INDEX(Calculations!$A$6:$A$19,MATCH(O259,Calculations!$O$6:$O$19,0)),"")</f>
        <v>Textiles, leather, &amp; apparel</v>
      </c>
      <c r="B259" s="501" t="str">
        <f>IF($A259="Chemicals",SUM(Calculations!$B$313:$G$313)/10^3,"")</f>
        <v/>
      </c>
      <c r="C259" s="501">
        <f>INDEX(Calculations!B$6:B$19,MATCH($O259,Calculations!$O$6:$O$19,0))/10^3</f>
        <v>3.6034583821805397E-2</v>
      </c>
      <c r="D259" s="501">
        <f>INDEX(Calculations!C$6:C$19,MATCH($O259,Calculations!$O$6:$O$19,0))/10^3</f>
        <v>1.4331770222743259E-3</v>
      </c>
      <c r="E259" s="501">
        <f>INDEX(Calculations!D$6:D$19,MATCH($O259,Calculations!$O$6:$O$19,0))/10^3</f>
        <v>2.9308323563892146E-6</v>
      </c>
      <c r="F259" s="501">
        <f>INDEX(Calculations!E$6:E$19,MATCH($O259,Calculations!$O$6:$O$19,0))/10^3</f>
        <v>1.3748534583821808E-2</v>
      </c>
      <c r="G259" s="501">
        <f>INDEX(Calculations!F$6:F$19,MATCH($O259,Calculations!$O$6:$O$19,0))/10^3</f>
        <v>0.22776670574443142</v>
      </c>
      <c r="H259" s="501">
        <f>INDEX(Calculations!G$6:G$19,MATCH($O259,Calculations!$O$6:$O$19,0))/10^3</f>
        <v>0</v>
      </c>
      <c r="I259" s="501">
        <f>INDEX(Calculations!H$6:H$19,MATCH($O259,Calculations!$O$6:$O$19,0))/10^3</f>
        <v>0.35373681125439627</v>
      </c>
      <c r="J259" s="501">
        <f>INDEX(Calculations!I$6:I$19,MATCH($O259,Calculations!$O$6:$O$19,0))/10^3</f>
        <v>0.78564185228604944</v>
      </c>
      <c r="K259" s="27">
        <v>0</v>
      </c>
      <c r="L259" s="27">
        <v>0</v>
      </c>
      <c r="M259" s="27">
        <v>0</v>
      </c>
      <c r="O259" s="27">
        <v>8</v>
      </c>
      <c r="Q259" s="501"/>
    </row>
    <row r="260" spans="1:17">
      <c r="A260" t="str">
        <f>IFERROR(INDEX(Calculations!$A$6:$A$19,MATCH(O260,Calculations!$O$6:$O$19,0)),"")</f>
        <v>Other metal products</v>
      </c>
      <c r="B260" s="501" t="str">
        <f>IF($A260="Chemicals",SUM(Calculations!$B$313:$G$313)/10^3,"")</f>
        <v/>
      </c>
      <c r="C260" s="501">
        <f>INDEX(Calculations!B$6:B$19,MATCH($O260,Calculations!$O$6:$O$19,0))/10^3</f>
        <v>4.9129542790152407E-2</v>
      </c>
      <c r="D260" s="501">
        <f>INDEX(Calculations!C$6:C$19,MATCH($O260,Calculations!$O$6:$O$19,0))/10^3</f>
        <v>0.12964536928487691</v>
      </c>
      <c r="E260" s="501">
        <f>INDEX(Calculations!D$6:D$19,MATCH($O260,Calculations!$O$6:$O$19,0))/10^3</f>
        <v>3.6400937866354052E-2</v>
      </c>
      <c r="F260" s="501">
        <f>INDEX(Calculations!E$6:E$19,MATCH($O260,Calculations!$O$6:$O$19,0))/10^3</f>
        <v>1.7734466588511136E-2</v>
      </c>
      <c r="G260" s="501">
        <f>INDEX(Calculations!F$6:F$19,MATCH($O260,Calculations!$O$6:$O$19,0))/10^3</f>
        <v>0.26504103165298948</v>
      </c>
      <c r="H260" s="501">
        <f>INDEX(Calculations!G$6:G$19,MATCH($O260,Calculations!$O$6:$O$19,0))/10^3</f>
        <v>0</v>
      </c>
      <c r="I260" s="501">
        <f>INDEX(Calculations!H$6:H$19,MATCH($O260,Calculations!$O$6:$O$19,0))/10^3</f>
        <v>7.8898007033997661E-3</v>
      </c>
      <c r="J260" s="501">
        <f>INDEX(Calculations!I$6:I$19,MATCH($O260,Calculations!$O$6:$O$19,0))/10^3</f>
        <v>0.59407092614302459</v>
      </c>
      <c r="K260" s="27">
        <v>0</v>
      </c>
      <c r="L260" s="27">
        <v>0</v>
      </c>
      <c r="M260" s="27">
        <v>0</v>
      </c>
      <c r="O260" s="27">
        <v>9</v>
      </c>
      <c r="Q260" s="501"/>
    </row>
    <row r="261" spans="1:17">
      <c r="A261" t="str">
        <f>IFERROR(INDEX(Calculations!$A$6:$A$19,MATCH(O261,Calculations!$O$6:$O$19,0)),"")</f>
        <v>Electronics</v>
      </c>
      <c r="B261" s="501" t="str">
        <f>IF($A261="Chemicals",SUM(Calculations!$B$313:$G$313)/10^3,"")</f>
        <v/>
      </c>
      <c r="C261" s="501">
        <f>INDEX(Calculations!B$6:B$19,MATCH($O261,Calculations!$O$6:$O$19,0))/10^3</f>
        <v>4.7948417350527558E-3</v>
      </c>
      <c r="D261" s="501">
        <f>INDEX(Calculations!C$6:C$19,MATCH($O261,Calculations!$O$6:$O$19,0))/10^3</f>
        <v>1.7584994138335289E-5</v>
      </c>
      <c r="E261" s="501">
        <f>INDEX(Calculations!D$6:D$19,MATCH($O261,Calculations!$O$6:$O$19,0))/10^3</f>
        <v>2.01641266119578E-3</v>
      </c>
      <c r="F261" s="501">
        <f>INDEX(Calculations!E$6:E$19,MATCH($O261,Calculations!$O$6:$O$19,0))/10^3</f>
        <v>1.4589683470105509E-2</v>
      </c>
      <c r="G261" s="501">
        <f>INDEX(Calculations!F$6:F$19,MATCH($O261,Calculations!$O$6:$O$19,0))/10^3</f>
        <v>0.19302168815943729</v>
      </c>
      <c r="H261" s="501">
        <f>INDEX(Calculations!G$6:G$19,MATCH($O261,Calculations!$O$6:$O$19,0))/10^3</f>
        <v>0</v>
      </c>
      <c r="I261" s="501">
        <f>INDEX(Calculations!H$6:H$19,MATCH($O261,Calculations!$O$6:$O$19,0))/10^3</f>
        <v>3.4519343493552172E-2</v>
      </c>
      <c r="J261" s="501">
        <f>INDEX(Calculations!I$6:I$19,MATCH($O261,Calculations!$O$6:$O$19,0))/10^3</f>
        <v>0.74964830011723338</v>
      </c>
      <c r="K261" s="27">
        <v>0</v>
      </c>
      <c r="L261" s="27">
        <v>0</v>
      </c>
      <c r="M261" s="27">
        <v>0</v>
      </c>
      <c r="O261" s="27">
        <v>10</v>
      </c>
      <c r="Q261" s="501"/>
    </row>
    <row r="262" spans="1:17">
      <c r="A262" t="str">
        <f>IFERROR(INDEX(Calculations!$A$6:$A$19,MATCH(O262,Calculations!$O$6:$O$19,0)),"")</f>
        <v>Pulp, paper, &amp; printing</v>
      </c>
      <c r="B262" s="501" t="str">
        <f>IF($A262="Chemicals",SUM(Calculations!$B$313:$G$313)/10^3,"")</f>
        <v/>
      </c>
      <c r="C262" s="501">
        <f>INDEX(Calculations!B$6:B$19,MATCH($O262,Calculations!$O$6:$O$19,0))/10^3</f>
        <v>8.4818288393903887E-2</v>
      </c>
      <c r="D262" s="501">
        <f>INDEX(Calculations!C$6:C$19,MATCH($O262,Calculations!$O$6:$O$19,0))/10^3</f>
        <v>4.3083235638921455E-4</v>
      </c>
      <c r="E262" s="501">
        <f>INDEX(Calculations!D$6:D$19,MATCH($O262,Calculations!$O$6:$O$19,0))/10^3</f>
        <v>0</v>
      </c>
      <c r="F262" s="501">
        <f>INDEX(Calculations!E$6:E$19,MATCH($O262,Calculations!$O$6:$O$19,0))/10^3</f>
        <v>1.6647127784290741E-2</v>
      </c>
      <c r="G262" s="501">
        <f>INDEX(Calculations!F$6:F$19,MATCH($O262,Calculations!$O$6:$O$19,0))/10^3</f>
        <v>8.8147713950762027E-2</v>
      </c>
      <c r="H262" s="501">
        <f>INDEX(Calculations!G$6:G$19,MATCH($O262,Calculations!$O$6:$O$19,0))/10^3</f>
        <v>0</v>
      </c>
      <c r="I262" s="501">
        <f>INDEX(Calculations!H$6:H$19,MATCH($O262,Calculations!$O$6:$O$19,0))/10^3</f>
        <v>0.35872508792497071</v>
      </c>
      <c r="J262" s="501">
        <f>INDEX(Calculations!I$6:I$19,MATCH($O262,Calculations!$O$6:$O$19,0))/10^3</f>
        <v>0.37584701055099651</v>
      </c>
      <c r="K262" s="27">
        <v>0</v>
      </c>
      <c r="L262" s="27">
        <v>0</v>
      </c>
      <c r="M262" s="27">
        <v>0</v>
      </c>
      <c r="O262" s="27">
        <v>11</v>
      </c>
      <c r="Q262" s="501"/>
    </row>
    <row r="263" spans="1:17">
      <c r="A263" t="str">
        <f>IFERROR(INDEX(Calculations!$A$6:$A$19,MATCH(O263,Calculations!$O$6:$O$19,0)),"")</f>
        <v>Vehicles &amp; transport equipment</v>
      </c>
      <c r="B263" s="501" t="str">
        <f>IF($A263="Chemicals",SUM(Calculations!$B$313:$G$313)/10^3,"")</f>
        <v/>
      </c>
      <c r="C263" s="501">
        <f>INDEX(Calculations!B$6:B$19,MATCH($O263,Calculations!$O$6:$O$19,0))/10^3</f>
        <v>1.0234466588511138E-2</v>
      </c>
      <c r="D263" s="501">
        <f>INDEX(Calculations!C$6:C$19,MATCH($O263,Calculations!$O$6:$O$19,0))/10^3</f>
        <v>4.1441969519343501E-3</v>
      </c>
      <c r="E263" s="501">
        <f>INDEX(Calculations!D$6:D$19,MATCH($O263,Calculations!$O$6:$O$19,0))/10^3</f>
        <v>1.0990621336459557E-3</v>
      </c>
      <c r="F263" s="501">
        <f>INDEX(Calculations!E$6:E$19,MATCH($O263,Calculations!$O$6:$O$19,0))/10^3</f>
        <v>2.6699882766705749E-2</v>
      </c>
      <c r="G263" s="501">
        <f>INDEX(Calculations!F$6:F$19,MATCH($O263,Calculations!$O$6:$O$19,0))/10^3</f>
        <v>0.24200762016412661</v>
      </c>
      <c r="H263" s="501">
        <f>INDEX(Calculations!G$6:G$19,MATCH($O263,Calculations!$O$6:$O$19,0))/10^3</f>
        <v>0</v>
      </c>
      <c r="I263" s="501">
        <f>INDEX(Calculations!H$6:H$19,MATCH($O263,Calculations!$O$6:$O$19,0))/10^3</f>
        <v>2.9264361078546311E-2</v>
      </c>
      <c r="J263" s="501">
        <f>INDEX(Calculations!I$6:I$19,MATCH($O263,Calculations!$O$6:$O$19,0))/10^3</f>
        <v>0.57022274325908562</v>
      </c>
      <c r="K263" s="27">
        <v>0</v>
      </c>
      <c r="L263" s="27">
        <v>0</v>
      </c>
      <c r="M263" s="27">
        <v>0</v>
      </c>
      <c r="O263" s="27">
        <v>12</v>
      </c>
      <c r="Q263" s="501"/>
    </row>
    <row r="264" spans="1:17">
      <c r="A264" t="str">
        <f>IFERROR(INDEX(Calculations!$A$6:$A$19,MATCH(O264,Calculations!$O$6:$O$19,0)),"")</f>
        <v>Plastic &amp; rubber products</v>
      </c>
      <c r="B264" s="501" t="str">
        <f>IF($A264="Chemicals",SUM(Calculations!$B$313:$G$313)/10^3,"")</f>
        <v/>
      </c>
      <c r="C264" s="501">
        <f>INDEX(Calculations!B$6:B$19,MATCH($O264,Calculations!$O$6:$O$19,0))/10^3</f>
        <v>3.6362837045720985E-2</v>
      </c>
      <c r="D264" s="501">
        <f>INDEX(Calculations!C$6:C$19,MATCH($O264,Calculations!$O$6:$O$19,0))/10^3</f>
        <v>1.6031652989449004E-3</v>
      </c>
      <c r="E264" s="501">
        <f>INDEX(Calculations!D$6:D$19,MATCH($O264,Calculations!$O$6:$O$19,0))/10^3</f>
        <v>2.9894490035169987E-3</v>
      </c>
      <c r="F264" s="501">
        <f>INDEX(Calculations!E$6:E$19,MATCH($O264,Calculations!$O$6:$O$19,0))/10^3</f>
        <v>2.1195779601406797E-2</v>
      </c>
      <c r="G264" s="501">
        <f>INDEX(Calculations!F$6:F$19,MATCH($O264,Calculations!$O$6:$O$19,0))/10^3</f>
        <v>7.2523446658851118E-2</v>
      </c>
      <c r="H264" s="501">
        <f>INDEX(Calculations!G$6:G$19,MATCH($O264,Calculations!$O$6:$O$19,0))/10^3</f>
        <v>0</v>
      </c>
      <c r="I264" s="501">
        <f>INDEX(Calculations!H$6:H$19,MATCH($O264,Calculations!$O$6:$O$19,0))/10^3</f>
        <v>4.4073856975381014E-2</v>
      </c>
      <c r="J264" s="501">
        <f>INDEX(Calculations!I$6:I$19,MATCH($O264,Calculations!$O$6:$O$19,0))/10^3</f>
        <v>0.5793991793669403</v>
      </c>
      <c r="K264" s="27">
        <v>0</v>
      </c>
      <c r="L264" s="27">
        <v>0</v>
      </c>
      <c r="M264" s="27">
        <v>0</v>
      </c>
      <c r="O264" s="27">
        <v>13</v>
      </c>
      <c r="Q264" s="501"/>
    </row>
    <row r="265" spans="1:17">
      <c r="A265" t="str">
        <f>IFERROR(INDEX(Calculations!$A$6:$A$19,MATCH(O265,Calculations!$O$6:$O$19,0)),"")</f>
        <v>Wood &amp; furniture</v>
      </c>
      <c r="B265" s="501" t="str">
        <f>IF($A265="Chemicals",SUM(Calculations!$B$313:$G$313)/10^3,"")</f>
        <v/>
      </c>
      <c r="C265" s="501">
        <f>INDEX(Calculations!B$6:B$19,MATCH($O265,Calculations!$O$6:$O$19,0))/10^3</f>
        <v>2.2684642438452517E-3</v>
      </c>
      <c r="D265" s="501">
        <f>INDEX(Calculations!C$6:C$19,MATCH($O265,Calculations!$O$6:$O$19,0))/10^3</f>
        <v>2.9308323563892146E-6</v>
      </c>
      <c r="E265" s="501">
        <f>INDEX(Calculations!D$6:D$19,MATCH($O265,Calculations!$O$6:$O$19,0))/10^3</f>
        <v>0</v>
      </c>
      <c r="F265" s="501">
        <f>INDEX(Calculations!E$6:E$19,MATCH($O265,Calculations!$O$6:$O$19,0))/10^3</f>
        <v>6.7350527549824152E-3</v>
      </c>
      <c r="G265" s="501">
        <f>INDEX(Calculations!F$6:F$19,MATCH($O265,Calculations!$O$6:$O$19,0))/10^3</f>
        <v>2.2898593200468935E-2</v>
      </c>
      <c r="H265" s="501">
        <f>INDEX(Calculations!G$6:G$19,MATCH($O265,Calculations!$O$6:$O$19,0))/10^3</f>
        <v>0</v>
      </c>
      <c r="I265" s="501">
        <f>INDEX(Calculations!H$6:H$19,MATCH($O265,Calculations!$O$6:$O$19,0))/10^3</f>
        <v>8.9361078546307138E-3</v>
      </c>
      <c r="J265" s="501">
        <f>INDEX(Calculations!I$6:I$19,MATCH($O265,Calculations!$O$6:$O$19,0))/10^3</f>
        <v>0.15977725674091442</v>
      </c>
      <c r="K265" s="27">
        <v>0</v>
      </c>
      <c r="L265" s="27">
        <v>0</v>
      </c>
      <c r="M265" s="27">
        <v>0</v>
      </c>
      <c r="O265" s="27">
        <v>14</v>
      </c>
      <c r="Q265" s="501"/>
    </row>
    <row r="266" spans="1:17">
      <c r="A266" t="s">
        <v>77</v>
      </c>
      <c r="B266" s="501" t="str">
        <f>IF($A266="Chemicals",SUM(Calculations!$B$313:$G$313)/10^3,"")</f>
        <v/>
      </c>
      <c r="C266" s="501">
        <f>Calculations!B20/10^3</f>
        <v>1.3628370457209849E-3</v>
      </c>
      <c r="D266" s="501">
        <f>Calculations!C20/10^3</f>
        <v>1.1723329425556858E-5</v>
      </c>
      <c r="E266" s="501">
        <f>Calculations!D20/10^3</f>
        <v>2.2567409144196954E-4</v>
      </c>
      <c r="F266" s="501">
        <f>Calculations!E20/10^3</f>
        <v>8.4056271981242658E-3</v>
      </c>
      <c r="G266" s="501">
        <f>Calculations!F20/10^3</f>
        <v>4.9618991793669402E-2</v>
      </c>
      <c r="H266" s="501">
        <f>Calculations!G20/10^3</f>
        <v>0</v>
      </c>
      <c r="I266" s="501">
        <f>Calculations!H20/10^3</f>
        <v>2.9454865181711611E-3</v>
      </c>
      <c r="J266" s="501">
        <f>Calculations!I20/10^3</f>
        <v>0.31414419695193435</v>
      </c>
      <c r="K266" s="27">
        <v>0</v>
      </c>
      <c r="L266" s="27">
        <v>0</v>
      </c>
      <c r="M266" s="27">
        <v>0</v>
      </c>
      <c r="Q266" s="501"/>
    </row>
    <row r="267" spans="1:17">
      <c r="Q267" s="501"/>
    </row>
    <row r="308" spans="1:15">
      <c r="A308" s="535" t="s">
        <v>88</v>
      </c>
    </row>
    <row r="309" spans="1:15" ht="30">
      <c r="B309" s="101" t="s">
        <v>39</v>
      </c>
      <c r="C309" s="101" t="s">
        <v>40</v>
      </c>
      <c r="D309" s="101" t="s">
        <v>41</v>
      </c>
      <c r="E309" s="101" t="s">
        <v>42</v>
      </c>
      <c r="F309" s="101" t="s">
        <v>43</v>
      </c>
      <c r="G309" s="101" t="s">
        <v>44</v>
      </c>
      <c r="H309" s="101" t="s">
        <v>45</v>
      </c>
      <c r="I309" s="101" t="s">
        <v>46</v>
      </c>
      <c r="J309" s="101" t="s">
        <v>47</v>
      </c>
      <c r="K309" s="101" t="s">
        <v>48</v>
      </c>
      <c r="L309" s="101" t="s">
        <v>49</v>
      </c>
      <c r="M309" s="101" t="s">
        <v>50</v>
      </c>
      <c r="O309" s="101" t="s">
        <v>87</v>
      </c>
    </row>
    <row r="310" spans="1:15">
      <c r="A310" t="str">
        <f>IFERROR(INDEX(Calculations!$A$349:$A$362,MATCH(O310,Calculations!$O$349:$O$362,0)),"")</f>
        <v>Chemicals</v>
      </c>
      <c r="B310" s="501">
        <f>IF($A310="Chemicals",SUM(Calculations!$B$316:$F$316)/10^3,"")</f>
        <v>0</v>
      </c>
      <c r="C310" s="501">
        <f>INDEX(Calculations!B$349:B$362,MATCH($O310,Calculations!$O$349:$O$362,0))/10^3</f>
        <v>0</v>
      </c>
      <c r="D310" s="501">
        <f>INDEX(Calculations!C$349:C$362,MATCH($O310,Calculations!$O$349:$O$362,0))/10^3</f>
        <v>0</v>
      </c>
      <c r="E310" s="501">
        <f>INDEX(Calculations!D$349:D$362,MATCH($O310,Calculations!$O$349:$O$362,0))/10^3</f>
        <v>0</v>
      </c>
      <c r="F310" s="501">
        <f>INDEX(Calculations!E$349:E$362,MATCH($O310,Calculations!$O$349:$O$362,0))/10^3</f>
        <v>0</v>
      </c>
      <c r="G310" s="501">
        <f>INDEX(Calculations!F$349:F$362,MATCH($O310,Calculations!$O$349:$O$362,0))/10^3</f>
        <v>0</v>
      </c>
      <c r="H310" s="501">
        <f>INDEX(Calculations!G$349:G$362,MATCH($O310,Calculations!$O$349:$O$362,0))/10^3</f>
        <v>1.5487537330641077</v>
      </c>
      <c r="I310" s="501">
        <f>INDEX(Calculations!H$349:H$362,MATCH($O310,Calculations!$O$349:$O$362,0))/10^3</f>
        <v>2.835408423797662</v>
      </c>
      <c r="J310" s="501">
        <f>INDEX(Calculations!I$349:I$362,MATCH($O310,Calculations!$O$349:$O$362,0))/10^3</f>
        <v>5.8461331817145785</v>
      </c>
      <c r="K310" s="501">
        <f>INDEX(Calculations!J$349:J$362,MATCH($O310,Calculations!$O$349:$O$362,0))/10^3</f>
        <v>4.5482239868898304</v>
      </c>
      <c r="L310" s="501">
        <f>INDEX(Calculations!K$349:K$362,MATCH($O310,Calculations!$O$349:$O$362,0))/10^3</f>
        <v>1.5487537330641077</v>
      </c>
      <c r="M310" s="501">
        <f>INDEX(Calculations!L$349:L$362,MATCH($O310,Calculations!$O$349:$O$362,0))/10^3</f>
        <v>0</v>
      </c>
      <c r="O310" s="27">
        <v>1</v>
      </c>
    </row>
    <row r="311" spans="1:15">
      <c r="A311" t="str">
        <f>IFERROR(INDEX(Calculations!$A$349:$A$362,MATCH(O311,Calculations!$O$349:$O$362,0)),"")</f>
        <v>Refining &amp; fuel processing</v>
      </c>
      <c r="B311" s="501" t="str">
        <f>IF($A311="Chemicals",SUM(Calculations!$B$316:$F$316)/10^3,"")</f>
        <v/>
      </c>
      <c r="C311" s="501">
        <f>INDEX(Calculations!B$349:B$362,MATCH($O311,Calculations!$O$349:$O$362,0))/10^3</f>
        <v>0</v>
      </c>
      <c r="D311" s="501">
        <f>INDEX(Calculations!C$349:C$362,MATCH($O311,Calculations!$O$349:$O$362,0))/10^3</f>
        <v>0</v>
      </c>
      <c r="E311" s="501">
        <f>INDEX(Calculations!D$349:D$362,MATCH($O311,Calculations!$O$349:$O$362,0))/10^3</f>
        <v>0</v>
      </c>
      <c r="F311" s="501">
        <f>INDEX(Calculations!E$349:E$362,MATCH($O311,Calculations!$O$349:$O$362,0))/10^3</f>
        <v>0</v>
      </c>
      <c r="G311" s="501">
        <f>INDEX(Calculations!F$349:F$362,MATCH($O311,Calculations!$O$349:$O$362,0))/10^3</f>
        <v>0</v>
      </c>
      <c r="H311" s="501">
        <f>INDEX(Calculations!G$349:G$362,MATCH($O311,Calculations!$O$349:$O$362,0))/10^3</f>
        <v>0</v>
      </c>
      <c r="I311" s="501">
        <f>INDEX(Calculations!H$349:H$362,MATCH($O311,Calculations!$O$349:$O$362,0))/10^3</f>
        <v>0.85924830396094787</v>
      </c>
      <c r="J311" s="501">
        <f>INDEX(Calculations!I$349:I$362,MATCH($O311,Calculations!$O$349:$O$362,0))/10^3</f>
        <v>1.3520816029901943</v>
      </c>
      <c r="K311" s="501">
        <f>INDEX(Calculations!J$349:J$362,MATCH($O311,Calculations!$O$349:$O$362,0))/10^3</f>
        <v>6.2200697989924798</v>
      </c>
      <c r="L311" s="501">
        <f>INDEX(Calculations!K$349:K$362,MATCH($O311,Calculations!$O$349:$O$362,0))/10^3</f>
        <v>0</v>
      </c>
      <c r="M311" s="501">
        <f>INDEX(Calculations!L$349:L$362,MATCH($O311,Calculations!$O$349:$O$362,0))/10^3</f>
        <v>0</v>
      </c>
      <c r="O311" s="27">
        <v>2</v>
      </c>
    </row>
    <row r="312" spans="1:15">
      <c r="A312" t="str">
        <f>IFERROR(INDEX(Calculations!$A$349:$A$362,MATCH(O312,Calculations!$O$349:$O$362,0)),"")</f>
        <v>Iron &amp; steel</v>
      </c>
      <c r="B312" s="501" t="str">
        <f>IF($A312="Chemicals",SUM(Calculations!$B$316:$F$316)/10^3,"")</f>
        <v/>
      </c>
      <c r="C312" s="501">
        <f>INDEX(Calculations!B$349:B$362,MATCH($O312,Calculations!$O$349:$O$362,0))/10^3</f>
        <v>0</v>
      </c>
      <c r="D312" s="501">
        <f>INDEX(Calculations!C$349:C$362,MATCH($O312,Calculations!$O$349:$O$362,0))/10^3</f>
        <v>0</v>
      </c>
      <c r="E312" s="501">
        <f>INDEX(Calculations!D$349:D$362,MATCH($O312,Calculations!$O$349:$O$362,0))/10^3</f>
        <v>0</v>
      </c>
      <c r="F312" s="501">
        <f>INDEX(Calculations!E$349:E$362,MATCH($O312,Calculations!$O$349:$O$362,0))/10^3</f>
        <v>0</v>
      </c>
      <c r="G312" s="501">
        <f>INDEX(Calculations!F$349:F$362,MATCH($O312,Calculations!$O$349:$O$362,0))/10^3</f>
        <v>0</v>
      </c>
      <c r="H312" s="501">
        <f>INDEX(Calculations!G$349:G$362,MATCH($O312,Calculations!$O$349:$O$362,0))/10^3</f>
        <v>0</v>
      </c>
      <c r="I312" s="501">
        <f>INDEX(Calculations!H$349:H$362,MATCH($O312,Calculations!$O$349:$O$362,0))/10^3</f>
        <v>7.6035610658362771E-2</v>
      </c>
      <c r="J312" s="501">
        <f>INDEX(Calculations!I$349:I$362,MATCH($O312,Calculations!$O$349:$O$362,0))/10^3</f>
        <v>2.4584830430130249</v>
      </c>
      <c r="K312" s="501">
        <f>INDEX(Calculations!J$349:J$362,MATCH($O312,Calculations!$O$349:$O$362,0))/10^3</f>
        <v>1.0777869345814712</v>
      </c>
      <c r="L312" s="501">
        <f>INDEX(Calculations!K$349:K$362,MATCH($O312,Calculations!$O$349:$O$362,0))/10^3</f>
        <v>0</v>
      </c>
      <c r="M312" s="501">
        <f>INDEX(Calculations!L$349:L$362,MATCH($O312,Calculations!$O$349:$O$362,0))/10^3</f>
        <v>1.8631879688203636</v>
      </c>
      <c r="O312" s="27">
        <v>3</v>
      </c>
    </row>
    <row r="313" spans="1:15">
      <c r="A313" t="str">
        <f>IFERROR(INDEX(Calculations!$A$349:$A$362,MATCH(O313,Calculations!$O$349:$O$362,0)),"")</f>
        <v>Non-metallic minerals</v>
      </c>
      <c r="B313" s="501" t="str">
        <f>IF($A313="Chemicals",SUM(Calculations!$B$316:$F$316)/10^3,"")</f>
        <v/>
      </c>
      <c r="C313" s="501">
        <f>INDEX(Calculations!B$349:B$362,MATCH($O313,Calculations!$O$349:$O$362,0))/10^3</f>
        <v>0</v>
      </c>
      <c r="D313" s="501">
        <f>INDEX(Calculations!C$349:C$362,MATCH($O313,Calculations!$O$349:$O$362,0))/10^3</f>
        <v>0</v>
      </c>
      <c r="E313" s="501">
        <f>INDEX(Calculations!D$349:D$362,MATCH($O313,Calculations!$O$349:$O$362,0))/10^3</f>
        <v>0</v>
      </c>
      <c r="F313" s="501">
        <f>INDEX(Calculations!E$349:E$362,MATCH($O313,Calculations!$O$349:$O$362,0))/10^3</f>
        <v>0</v>
      </c>
      <c r="G313" s="501">
        <f>INDEX(Calculations!F$349:F$362,MATCH($O313,Calculations!$O$349:$O$362,0))/10^3</f>
        <v>0</v>
      </c>
      <c r="H313" s="501">
        <f>INDEX(Calculations!G$349:G$362,MATCH($O313,Calculations!$O$349:$O$362,0))/10^3</f>
        <v>0</v>
      </c>
      <c r="I313" s="501">
        <f>INDEX(Calculations!H$349:H$362,MATCH($O313,Calculations!$O$349:$O$362,0))/10^3</f>
        <v>2.2701564232714428E-2</v>
      </c>
      <c r="J313" s="501">
        <f>INDEX(Calculations!I$349:I$362,MATCH($O313,Calculations!$O$349:$O$362,0))/10^3</f>
        <v>1.0529434650933784</v>
      </c>
      <c r="K313" s="501">
        <f>INDEX(Calculations!J$349:J$362,MATCH($O313,Calculations!$O$349:$O$362,0))/10^3</f>
        <v>0.72477140658182737</v>
      </c>
      <c r="L313" s="501">
        <f>INDEX(Calculations!K$349:K$362,MATCH($O313,Calculations!$O$349:$O$362,0))/10^3</f>
        <v>0</v>
      </c>
      <c r="M313" s="501">
        <f>INDEX(Calculations!L$349:L$362,MATCH($O313,Calculations!$O$349:$O$362,0))/10^3</f>
        <v>2.3397242862447336</v>
      </c>
      <c r="O313" s="27">
        <v>4</v>
      </c>
    </row>
    <row r="314" spans="1:15">
      <c r="A314" t="str">
        <f>IFERROR(INDEX(Calculations!$A$349:$A$362,MATCH(O314,Calculations!$O$349:$O$362,0)),"")</f>
        <v>Nonferrous metals</v>
      </c>
      <c r="B314" s="501" t="str">
        <f>IF($A314="Chemicals",SUM(Calculations!$B$316:$F$316)/10^3,"")</f>
        <v/>
      </c>
      <c r="C314" s="501">
        <f>INDEX(Calculations!B$349:B$362,MATCH($O314,Calculations!$O$349:$O$362,0))/10^3</f>
        <v>0</v>
      </c>
      <c r="D314" s="501">
        <f>INDEX(Calculations!C$349:C$362,MATCH($O314,Calculations!$O$349:$O$362,0))/10^3</f>
        <v>0</v>
      </c>
      <c r="E314" s="501">
        <f>INDEX(Calculations!D$349:D$362,MATCH($O314,Calculations!$O$349:$O$362,0))/10^3</f>
        <v>0</v>
      </c>
      <c r="F314" s="501">
        <f>INDEX(Calculations!E$349:E$362,MATCH($O314,Calculations!$O$349:$O$362,0))/10^3</f>
        <v>0</v>
      </c>
      <c r="G314" s="501">
        <f>INDEX(Calculations!F$349:F$362,MATCH($O314,Calculations!$O$349:$O$362,0))/10^3</f>
        <v>0</v>
      </c>
      <c r="H314" s="501">
        <f>INDEX(Calculations!G$349:G$362,MATCH($O314,Calculations!$O$349:$O$362,0))/10^3</f>
        <v>0</v>
      </c>
      <c r="I314" s="501">
        <f>INDEX(Calculations!H$349:H$362,MATCH($O314,Calculations!$O$349:$O$362,0))/10^3</f>
        <v>0.20879646211899178</v>
      </c>
      <c r="J314" s="501">
        <f>INDEX(Calculations!I$349:I$362,MATCH($O314,Calculations!$O$349:$O$362,0))/10^3</f>
        <v>2.1345905944911374</v>
      </c>
      <c r="K314" s="501">
        <f>INDEX(Calculations!J$349:J$362,MATCH($O314,Calculations!$O$349:$O$362,0))/10^3</f>
        <v>0</v>
      </c>
      <c r="L314" s="501">
        <f>INDEX(Calculations!K$349:K$362,MATCH($O314,Calculations!$O$349:$O$362,0))/10^3</f>
        <v>0</v>
      </c>
      <c r="M314" s="501">
        <f>INDEX(Calculations!L$349:L$362,MATCH($O314,Calculations!$O$349:$O$362,0))/10^3</f>
        <v>6.5454622292135833E-2</v>
      </c>
      <c r="O314" s="27">
        <v>5</v>
      </c>
    </row>
    <row r="315" spans="1:15">
      <c r="A315" t="str">
        <f>IFERROR(INDEX(Calculations!$A$349:$A$362,MATCH(O315,Calculations!$O$349:$O$362,0)),"")</f>
        <v>Plastic &amp; rubber products</v>
      </c>
      <c r="B315" s="501" t="str">
        <f>IF($A315="Chemicals",SUM(Calculations!$B$316:$F$316)/10^3,"")</f>
        <v/>
      </c>
      <c r="C315" s="501">
        <f>INDEX(Calculations!B$349:B$362,MATCH($O315,Calculations!$O$349:$O$362,0))/10^3</f>
        <v>0</v>
      </c>
      <c r="D315" s="501">
        <f>INDEX(Calculations!C$349:C$362,MATCH($O315,Calculations!$O$349:$O$362,0))/10^3</f>
        <v>0</v>
      </c>
      <c r="E315" s="501">
        <f>INDEX(Calculations!D$349:D$362,MATCH($O315,Calculations!$O$349:$O$362,0))/10^3</f>
        <v>0</v>
      </c>
      <c r="F315" s="501">
        <f>INDEX(Calculations!E$349:E$362,MATCH($O315,Calculations!$O$349:$O$362,0))/10^3</f>
        <v>0</v>
      </c>
      <c r="G315" s="501">
        <f>INDEX(Calculations!F$349:F$362,MATCH($O315,Calculations!$O$349:$O$362,0))/10^3</f>
        <v>0</v>
      </c>
      <c r="H315" s="501">
        <f>INDEX(Calculations!G$349:G$362,MATCH($O315,Calculations!$O$349:$O$362,0))/10^3</f>
        <v>0</v>
      </c>
      <c r="I315" s="501">
        <f>INDEX(Calculations!H$349:H$362,MATCH($O315,Calculations!$O$349:$O$362,0))/10^3</f>
        <v>8.5056525473612671E-2</v>
      </c>
      <c r="J315" s="501">
        <f>INDEX(Calculations!I$349:I$362,MATCH($O315,Calculations!$O$349:$O$362,0))/10^3</f>
        <v>1.2617711253586728</v>
      </c>
      <c r="K315" s="501">
        <f>INDEX(Calculations!J$349:J$362,MATCH($O315,Calculations!$O$349:$O$362,0))/10^3</f>
        <v>0</v>
      </c>
      <c r="L315" s="501">
        <f>INDEX(Calculations!K$349:K$362,MATCH($O315,Calculations!$O$349:$O$362,0))/10^3</f>
        <v>0</v>
      </c>
      <c r="M315" s="501">
        <f>INDEX(Calculations!L$349:L$362,MATCH($O315,Calculations!$O$349:$O$362,0))/10^3</f>
        <v>0</v>
      </c>
      <c r="O315" s="27">
        <v>6</v>
      </c>
    </row>
    <row r="316" spans="1:15">
      <c r="A316" t="str">
        <f>IFERROR(INDEX(Calculations!$A$349:$A$362,MATCH(O316,Calculations!$O$349:$O$362,0)),"")</f>
        <v>Food, beverage, &amp; tobacco</v>
      </c>
      <c r="B316" s="501" t="str">
        <f>IF($A316="Chemicals",SUM(Calculations!$B$316:$F$316)/10^3,"")</f>
        <v/>
      </c>
      <c r="C316" s="501">
        <f>INDEX(Calculations!B$349:B$362,MATCH($O316,Calculations!$O$349:$O$362,0))/10^3</f>
        <v>-4.639780809133623E-17</v>
      </c>
      <c r="D316" s="501">
        <f>INDEX(Calculations!C$349:C$362,MATCH($O316,Calculations!$O$349:$O$362,0))/10^3</f>
        <v>-7.9891805038149295E-19</v>
      </c>
      <c r="E316" s="501">
        <f>INDEX(Calculations!D$349:D$362,MATCH($O316,Calculations!$O$349:$O$362,0))/10^3</f>
        <v>-3.6092009933007726E-20</v>
      </c>
      <c r="F316" s="501">
        <f>INDEX(Calculations!E$349:E$362,MATCH($O316,Calculations!$O$349:$O$362,0))/10^3</f>
        <v>-4.4613394651089051E-18</v>
      </c>
      <c r="G316" s="501">
        <f>INDEX(Calculations!F$349:F$362,MATCH($O316,Calculations!$O$349:$O$362,0))/10^3</f>
        <v>-7.3357927782311096E-17</v>
      </c>
      <c r="H316" s="501">
        <f>INDEX(Calculations!G$349:G$362,MATCH($O316,Calculations!$O$349:$O$362,0))/10^3</f>
        <v>0</v>
      </c>
      <c r="I316" s="501">
        <f>INDEX(Calculations!H$349:H$362,MATCH($O316,Calculations!$O$349:$O$362,0))/10^3</f>
        <v>0.37267749120750293</v>
      </c>
      <c r="J316" s="501">
        <f>INDEX(Calculations!I$349:I$362,MATCH($O316,Calculations!$O$349:$O$362,0))/10^3</f>
        <v>0.69343627409993491</v>
      </c>
      <c r="K316" s="501">
        <f>INDEX(Calculations!J$349:J$362,MATCH($O316,Calculations!$O$349:$O$362,0))/10^3</f>
        <v>0</v>
      </c>
      <c r="L316" s="501">
        <f>INDEX(Calculations!K$349:K$362,MATCH($O316,Calculations!$O$349:$O$362,0))/10^3</f>
        <v>0</v>
      </c>
      <c r="M316" s="501">
        <f>INDEX(Calculations!L$349:L$362,MATCH($O316,Calculations!$O$349:$O$362,0))/10^3</f>
        <v>0</v>
      </c>
      <c r="O316" s="27">
        <v>7</v>
      </c>
    </row>
    <row r="317" spans="1:15">
      <c r="A317" t="str">
        <f>IFERROR(INDEX(Calculations!$A$349:$A$362,MATCH(O317,Calculations!$O$349:$O$362,0)),"")</f>
        <v>Textiles, leather, &amp; apparel</v>
      </c>
      <c r="B317" s="501" t="str">
        <f>IF($A317="Chemicals",SUM(Calculations!$B$316:$F$316)/10^3,"")</f>
        <v/>
      </c>
      <c r="C317" s="501">
        <f>INDEX(Calculations!B$349:B$362,MATCH($O317,Calculations!$O$349:$O$362,0))/10^3</f>
        <v>0</v>
      </c>
      <c r="D317" s="501">
        <f>INDEX(Calculations!C$349:C$362,MATCH($O317,Calculations!$O$349:$O$362,0))/10^3</f>
        <v>0</v>
      </c>
      <c r="E317" s="501">
        <f>INDEX(Calculations!D$349:D$362,MATCH($O317,Calculations!$O$349:$O$362,0))/10^3</f>
        <v>0</v>
      </c>
      <c r="F317" s="501">
        <f>INDEX(Calculations!E$349:E$362,MATCH($O317,Calculations!$O$349:$O$362,0))/10^3</f>
        <v>0</v>
      </c>
      <c r="G317" s="501">
        <f>INDEX(Calculations!F$349:F$362,MATCH($O317,Calculations!$O$349:$O$362,0))/10^3</f>
        <v>0</v>
      </c>
      <c r="H317" s="501">
        <f>INDEX(Calculations!G$349:G$362,MATCH($O317,Calculations!$O$349:$O$362,0))/10^3</f>
        <v>0</v>
      </c>
      <c r="I317" s="501">
        <f>INDEX(Calculations!H$349:H$362,MATCH($O317,Calculations!$O$349:$O$362,0))/10^3</f>
        <v>0.24761576787807738</v>
      </c>
      <c r="J317" s="501">
        <f>INDEX(Calculations!I$349:I$362,MATCH($O317,Calculations!$O$349:$O$362,0))/10^3</f>
        <v>0.63703273384251569</v>
      </c>
      <c r="K317" s="501">
        <f>INDEX(Calculations!J$349:J$362,MATCH($O317,Calculations!$O$349:$O$362,0))/10^3</f>
        <v>0</v>
      </c>
      <c r="L317" s="501">
        <f>INDEX(Calculations!K$349:K$362,MATCH($O317,Calculations!$O$349:$O$362,0))/10^3</f>
        <v>0</v>
      </c>
      <c r="M317" s="501">
        <f>INDEX(Calculations!L$349:L$362,MATCH($O317,Calculations!$O$349:$O$362,0))/10^3</f>
        <v>0</v>
      </c>
      <c r="O317" s="27">
        <v>8</v>
      </c>
    </row>
    <row r="318" spans="1:15">
      <c r="A318" t="str">
        <f>IFERROR(INDEX(Calculations!$A$349:$A$362,MATCH(O318,Calculations!$O$349:$O$362,0)),"")</f>
        <v>Machinery</v>
      </c>
      <c r="B318" s="501" t="str">
        <f>IF($A318="Chemicals",SUM(Calculations!$B$316:$F$316)/10^3,"")</f>
        <v/>
      </c>
      <c r="C318" s="501">
        <f>INDEX(Calculations!B$349:B$362,MATCH($O318,Calculations!$O$349:$O$362,0))/10^3</f>
        <v>3.6407464032828891E-19</v>
      </c>
      <c r="D318" s="501">
        <f>INDEX(Calculations!C$349:C$362,MATCH($O318,Calculations!$O$349:$O$362,0))/10^3</f>
        <v>3.2180850392236112E-18</v>
      </c>
      <c r="E318" s="501">
        <f>INDEX(Calculations!D$349:D$362,MATCH($O318,Calculations!$O$349:$O$362,0))/10^3</f>
        <v>2.0784337704565155E-19</v>
      </c>
      <c r="F318" s="501">
        <f>INDEX(Calculations!E$349:E$362,MATCH($O318,Calculations!$O$349:$O$362,0))/10^3</f>
        <v>2.6048424577894202E-18</v>
      </c>
      <c r="G318" s="501">
        <f>INDEX(Calculations!F$349:F$362,MATCH($O318,Calculations!$O$349:$O$362,0))/10^3</f>
        <v>1.5085035169234477E-17</v>
      </c>
      <c r="H318" s="501">
        <f>INDEX(Calculations!G$349:G$362,MATCH($O318,Calculations!$O$349:$O$362,0))/10^3</f>
        <v>0</v>
      </c>
      <c r="I318" s="501">
        <f>INDEX(Calculations!H$349:H$362,MATCH($O318,Calculations!$O$349:$O$362,0))/10^3</f>
        <v>2.0778277839144554E-2</v>
      </c>
      <c r="J318" s="501">
        <f>INDEX(Calculations!I$349:I$362,MATCH($O318,Calculations!$O$349:$O$362,0))/10^3</f>
        <v>0.69690755250121672</v>
      </c>
      <c r="K318" s="501">
        <f>INDEX(Calculations!J$349:J$362,MATCH($O318,Calculations!$O$349:$O$362,0))/10^3</f>
        <v>0</v>
      </c>
      <c r="L318" s="501">
        <f>INDEX(Calculations!K$349:K$362,MATCH($O318,Calculations!$O$349:$O$362,0))/10^3</f>
        <v>0</v>
      </c>
      <c r="M318" s="501">
        <f>INDEX(Calculations!L$349:L$362,MATCH($O318,Calculations!$O$349:$O$362,0))/10^3</f>
        <v>0</v>
      </c>
      <c r="O318" s="27">
        <v>9</v>
      </c>
    </row>
    <row r="319" spans="1:15">
      <c r="A319" t="str">
        <f>IFERROR(INDEX(Calculations!$A$349:$A$362,MATCH(O319,Calculations!$O$349:$O$362,0)),"")</f>
        <v>Pulp, paper, &amp; printing</v>
      </c>
      <c r="B319" s="501" t="str">
        <f>IF($A319="Chemicals",SUM(Calculations!$B$316:$F$316)/10^3,"")</f>
        <v/>
      </c>
      <c r="C319" s="501">
        <f>INDEX(Calculations!B$349:B$362,MATCH($O319,Calculations!$O$349:$O$362,0))/10^3</f>
        <v>0</v>
      </c>
      <c r="D319" s="501">
        <f>INDEX(Calculations!C$349:C$362,MATCH($O319,Calculations!$O$349:$O$362,0))/10^3</f>
        <v>0</v>
      </c>
      <c r="E319" s="501">
        <f>INDEX(Calculations!D$349:D$362,MATCH($O319,Calculations!$O$349:$O$362,0))/10^3</f>
        <v>0</v>
      </c>
      <c r="F319" s="501">
        <f>INDEX(Calculations!E$349:E$362,MATCH($O319,Calculations!$O$349:$O$362,0))/10^3</f>
        <v>0</v>
      </c>
      <c r="G319" s="501">
        <f>INDEX(Calculations!F$349:F$362,MATCH($O319,Calculations!$O$349:$O$362,0))/10^3</f>
        <v>0</v>
      </c>
      <c r="H319" s="501">
        <f>INDEX(Calculations!G$349:G$362,MATCH($O319,Calculations!$O$349:$O$362,0))/10^3</f>
        <v>0</v>
      </c>
      <c r="I319" s="501">
        <f>INDEX(Calculations!H$349:H$362,MATCH($O319,Calculations!$O$349:$O$362,0))/10^3</f>
        <v>0.28967050849941384</v>
      </c>
      <c r="J319" s="501">
        <f>INDEX(Calculations!I$349:I$362,MATCH($O319,Calculations!$O$349:$O$362,0))/10^3</f>
        <v>0.36854841253898041</v>
      </c>
      <c r="K319" s="501">
        <f>INDEX(Calculations!J$349:J$362,MATCH($O319,Calculations!$O$349:$O$362,0))/10^3</f>
        <v>0</v>
      </c>
      <c r="L319" s="501">
        <f>INDEX(Calculations!K$349:K$362,MATCH($O319,Calculations!$O$349:$O$362,0))/10^3</f>
        <v>0</v>
      </c>
      <c r="M319" s="501">
        <f>INDEX(Calculations!L$349:L$362,MATCH($O319,Calculations!$O$349:$O$362,0))/10^3</f>
        <v>0</v>
      </c>
      <c r="O319" s="27">
        <v>10</v>
      </c>
    </row>
    <row r="320" spans="1:15">
      <c r="A320" t="str">
        <f>IFERROR(INDEX(Calculations!$A$349:$A$362,MATCH(O320,Calculations!$O$349:$O$362,0)),"")</f>
        <v>Electronics</v>
      </c>
      <c r="B320" s="501" t="str">
        <f>IF($A320="Chemicals",SUM(Calculations!$B$316:$F$316)/10^3,"")</f>
        <v/>
      </c>
      <c r="C320" s="501">
        <f>INDEX(Calculations!B$349:B$362,MATCH($O320,Calculations!$O$349:$O$362,0))/10^3</f>
        <v>0</v>
      </c>
      <c r="D320" s="501">
        <f>INDEX(Calculations!C$349:C$362,MATCH($O320,Calculations!$O$349:$O$362,0))/10^3</f>
        <v>0</v>
      </c>
      <c r="E320" s="501">
        <f>INDEX(Calculations!D$349:D$362,MATCH($O320,Calculations!$O$349:$O$362,0))/10^3</f>
        <v>0</v>
      </c>
      <c r="F320" s="501">
        <f>INDEX(Calculations!E$349:E$362,MATCH($O320,Calculations!$O$349:$O$362,0))/10^3</f>
        <v>0</v>
      </c>
      <c r="G320" s="501">
        <f>INDEX(Calculations!F$349:F$362,MATCH($O320,Calculations!$O$349:$O$362,0))/10^3</f>
        <v>0</v>
      </c>
      <c r="H320" s="501">
        <f>INDEX(Calculations!G$349:G$362,MATCH($O320,Calculations!$O$349:$O$362,0))/10^3</f>
        <v>0</v>
      </c>
      <c r="I320" s="501">
        <f>INDEX(Calculations!H$349:H$362,MATCH($O320,Calculations!$O$349:$O$362,0))/10^3</f>
        <v>1.7175121514567199E-2</v>
      </c>
      <c r="J320" s="501">
        <f>INDEX(Calculations!I$349:I$362,MATCH($O320,Calculations!$O$349:$O$362,0))/10^3</f>
        <v>0.41918301392174045</v>
      </c>
      <c r="K320" s="501">
        <f>INDEX(Calculations!J$349:J$362,MATCH($O320,Calculations!$O$349:$O$362,0))/10^3</f>
        <v>0</v>
      </c>
      <c r="L320" s="501">
        <f>INDEX(Calculations!K$349:K$362,MATCH($O320,Calculations!$O$349:$O$362,0))/10^3</f>
        <v>0</v>
      </c>
      <c r="M320" s="501">
        <f>INDEX(Calculations!L$349:L$362,MATCH($O320,Calculations!$O$349:$O$362,0))/10^3</f>
        <v>0</v>
      </c>
      <c r="O320" s="27">
        <v>11</v>
      </c>
    </row>
    <row r="321" spans="1:15">
      <c r="A321" t="str">
        <f>IFERROR(INDEX(Calculations!$A$349:$A$362,MATCH(O321,Calculations!$O$349:$O$362,0)),"")</f>
        <v>Vehicles &amp; transport equipment</v>
      </c>
      <c r="B321" s="501" t="str">
        <f>IF($A321="Chemicals",SUM(Calculations!$B$316:$F$316)/10^3,"")</f>
        <v/>
      </c>
      <c r="C321" s="501">
        <f>INDEX(Calculations!B$349:B$362,MATCH($O321,Calculations!$O$349:$O$362,0))/10^3</f>
        <v>0</v>
      </c>
      <c r="D321" s="501">
        <f>INDEX(Calculations!C$349:C$362,MATCH($O321,Calculations!$O$349:$O$362,0))/10^3</f>
        <v>0</v>
      </c>
      <c r="E321" s="501">
        <f>INDEX(Calculations!D$349:D$362,MATCH($O321,Calculations!$O$349:$O$362,0))/10^3</f>
        <v>0</v>
      </c>
      <c r="F321" s="501">
        <f>INDEX(Calculations!E$349:E$362,MATCH($O321,Calculations!$O$349:$O$362,0))/10^3</f>
        <v>0</v>
      </c>
      <c r="G321" s="501">
        <f>INDEX(Calculations!F$349:F$362,MATCH($O321,Calculations!$O$349:$O$362,0))/10^3</f>
        <v>0</v>
      </c>
      <c r="H321" s="501">
        <f>INDEX(Calculations!G$349:G$362,MATCH($O321,Calculations!$O$349:$O$362,0))/10^3</f>
        <v>0</v>
      </c>
      <c r="I321" s="501">
        <f>INDEX(Calculations!H$349:H$362,MATCH($O321,Calculations!$O$349:$O$362,0))/10^3</f>
        <v>1.6242550112111658E-2</v>
      </c>
      <c r="J321" s="501">
        <f>INDEX(Calculations!I$349:I$362,MATCH($O321,Calculations!$O$349:$O$362,0))/10^3</f>
        <v>0.38479358534095076</v>
      </c>
      <c r="K321" s="501">
        <f>INDEX(Calculations!J$349:J$362,MATCH($O321,Calculations!$O$349:$O$362,0))/10^3</f>
        <v>0</v>
      </c>
      <c r="L321" s="501">
        <f>INDEX(Calculations!K$349:K$362,MATCH($O321,Calculations!$O$349:$O$362,0))/10^3</f>
        <v>0</v>
      </c>
      <c r="M321" s="501">
        <f>INDEX(Calculations!L$349:L$362,MATCH($O321,Calculations!$O$349:$O$362,0))/10^3</f>
        <v>0</v>
      </c>
      <c r="O321" s="27">
        <v>12</v>
      </c>
    </row>
    <row r="322" spans="1:15">
      <c r="A322" t="str">
        <f>IFERROR(INDEX(Calculations!$A$349:$A$362,MATCH(O322,Calculations!$O$349:$O$362,0)),"")</f>
        <v>Other metal products</v>
      </c>
      <c r="B322" s="501" t="str">
        <f>IF($A322="Chemicals",SUM(Calculations!$B$316:$F$316)/10^3,"")</f>
        <v/>
      </c>
      <c r="C322" s="501">
        <f>INDEX(Calculations!B$349:B$362,MATCH($O322,Calculations!$O$349:$O$362,0))/10^3</f>
        <v>0</v>
      </c>
      <c r="D322" s="501">
        <f>INDEX(Calculations!C$349:C$362,MATCH($O322,Calculations!$O$349:$O$362,0))/10^3</f>
        <v>0</v>
      </c>
      <c r="E322" s="501">
        <f>INDEX(Calculations!D$349:D$362,MATCH($O322,Calculations!$O$349:$O$362,0))/10^3</f>
        <v>0</v>
      </c>
      <c r="F322" s="501">
        <f>INDEX(Calculations!E$349:E$362,MATCH($O322,Calculations!$O$349:$O$362,0))/10^3</f>
        <v>0</v>
      </c>
      <c r="G322" s="501">
        <f>INDEX(Calculations!F$349:F$362,MATCH($O322,Calculations!$O$349:$O$362,0))/10^3</f>
        <v>0</v>
      </c>
      <c r="H322" s="501">
        <f>INDEX(Calculations!G$349:G$362,MATCH($O322,Calculations!$O$349:$O$362,0))/10^3</f>
        <v>0</v>
      </c>
      <c r="I322" s="501">
        <f>INDEX(Calculations!H$349:H$362,MATCH($O322,Calculations!$O$349:$O$362,0))/10^3</f>
        <v>3.8197616127438115E-3</v>
      </c>
      <c r="J322" s="501">
        <f>INDEX(Calculations!I$349:I$362,MATCH($O322,Calculations!$O$349:$O$362,0))/10^3</f>
        <v>0.39169056655136347</v>
      </c>
      <c r="K322" s="501">
        <f>INDEX(Calculations!J$349:J$362,MATCH($O322,Calculations!$O$349:$O$362,0))/10^3</f>
        <v>0</v>
      </c>
      <c r="L322" s="501">
        <f>INDEX(Calculations!K$349:K$362,MATCH($O322,Calculations!$O$349:$O$362,0))/10^3</f>
        <v>0</v>
      </c>
      <c r="M322" s="501">
        <f>INDEX(Calculations!L$349:L$362,MATCH($O322,Calculations!$O$349:$O$362,0))/10^3</f>
        <v>0</v>
      </c>
      <c r="O322" s="27">
        <v>13</v>
      </c>
    </row>
    <row r="323" spans="1:15">
      <c r="A323" t="str">
        <f>IFERROR(INDEX(Calculations!$A$349:$A$362,MATCH(O323,Calculations!$O$349:$O$362,0)),"")</f>
        <v>Wood &amp; furniture</v>
      </c>
      <c r="B323" s="501" t="str">
        <f>IF($A323="Chemicals",SUM(Calculations!$B$316:$F$316)/10^3,"")</f>
        <v/>
      </c>
      <c r="C323" s="501">
        <f>INDEX(Calculations!B$349:B$362,MATCH($O323,Calculations!$O$349:$O$362,0))/10^3</f>
        <v>0</v>
      </c>
      <c r="D323" s="501">
        <f>INDEX(Calculations!C$349:C$362,MATCH($O323,Calculations!$O$349:$O$362,0))/10^3</f>
        <v>0</v>
      </c>
      <c r="E323" s="501">
        <f>INDEX(Calculations!D$349:D$362,MATCH($O323,Calculations!$O$349:$O$362,0))/10^3</f>
        <v>0</v>
      </c>
      <c r="F323" s="501">
        <f>INDEX(Calculations!E$349:E$362,MATCH($O323,Calculations!$O$349:$O$362,0))/10^3</f>
        <v>0</v>
      </c>
      <c r="G323" s="501">
        <f>INDEX(Calculations!F$349:F$362,MATCH($O323,Calculations!$O$349:$O$362,0))/10^3</f>
        <v>0</v>
      </c>
      <c r="H323" s="501">
        <f>INDEX(Calculations!G$349:G$362,MATCH($O323,Calculations!$O$349:$O$362,0))/10^3</f>
        <v>0</v>
      </c>
      <c r="I323" s="501">
        <f>INDEX(Calculations!H$349:H$362,MATCH($O323,Calculations!$O$349:$O$362,0))/10^3</f>
        <v>7.7744138335287217E-3</v>
      </c>
      <c r="J323" s="501">
        <f>INDEX(Calculations!I$349:I$362,MATCH($O323,Calculations!$O$349:$O$362,0))/10^3</f>
        <v>0.15495325231861262</v>
      </c>
      <c r="K323" s="501">
        <f>INDEX(Calculations!J$349:J$362,MATCH($O323,Calculations!$O$349:$O$362,0))/10^3</f>
        <v>0</v>
      </c>
      <c r="L323" s="501">
        <f>INDEX(Calculations!K$349:K$362,MATCH($O323,Calculations!$O$349:$O$362,0))/10^3</f>
        <v>0</v>
      </c>
      <c r="M323" s="501">
        <f>INDEX(Calculations!L$349:L$362,MATCH($O323,Calculations!$O$349:$O$362,0))/10^3</f>
        <v>0</v>
      </c>
      <c r="O323" s="27">
        <v>14</v>
      </c>
    </row>
    <row r="324" spans="1:15">
      <c r="A324" t="s">
        <v>77</v>
      </c>
      <c r="B324" s="501" t="str">
        <f>IF($A324="Chemicals",SUM(Calculations!$B$316:$F$316)/10^3,"")</f>
        <v/>
      </c>
      <c r="C324" s="501">
        <f>Calculations!B363/10^3</f>
        <v>1.4147046176184132E-19</v>
      </c>
      <c r="D324" s="501">
        <f>Calculations!C363/10^3</f>
        <v>1.2169502087040109E-21</v>
      </c>
      <c r="E324" s="501">
        <f>Calculations!D363/10^3</f>
        <v>2.3426291517552213E-20</v>
      </c>
      <c r="F324" s="501">
        <f>Calculations!E363/10^3</f>
        <v>8.7255329964077593E-19</v>
      </c>
      <c r="G324" s="501">
        <f>Calculations!F363/10^3</f>
        <v>5.1507417583397265E-18</v>
      </c>
      <c r="H324" s="501">
        <f>Calculations!G363/10^3</f>
        <v>0</v>
      </c>
      <c r="I324" s="501">
        <f>Calculations!H363/10^3</f>
        <v>2.7540298944900353E-3</v>
      </c>
      <c r="J324" s="501">
        <f>Calculations!I363/10^3</f>
        <v>0.31785726774702661</v>
      </c>
      <c r="K324" s="501">
        <f>Calculations!J363/10^3</f>
        <v>0</v>
      </c>
      <c r="L324" s="501">
        <f>Calculations!K363/10^3</f>
        <v>0</v>
      </c>
      <c r="M324" s="501">
        <f>Calculations!L363/10^3</f>
        <v>0</v>
      </c>
    </row>
    <row r="368" spans="1:12">
      <c r="A368" s="106" t="s">
        <v>89</v>
      </c>
      <c r="B368" s="107"/>
      <c r="C368" s="107"/>
      <c r="D368" s="107"/>
      <c r="E368" s="107"/>
      <c r="F368" s="107"/>
      <c r="G368" s="107"/>
      <c r="H368" s="107"/>
      <c r="I368" s="107"/>
      <c r="J368" s="107"/>
      <c r="K368" s="107"/>
      <c r="L368" s="107"/>
    </row>
    <row r="369" spans="1:7" ht="30">
      <c r="A369" s="25"/>
      <c r="B369" s="37" t="s">
        <v>40</v>
      </c>
      <c r="C369" s="37" t="s">
        <v>44</v>
      </c>
      <c r="D369" s="37" t="s">
        <v>43</v>
      </c>
      <c r="E369" s="37" t="s">
        <v>90</v>
      </c>
      <c r="F369" s="37" t="s">
        <v>82</v>
      </c>
      <c r="G369" s="37" t="s">
        <v>49</v>
      </c>
    </row>
    <row r="370" spans="1:7">
      <c r="A370" t="s">
        <v>51</v>
      </c>
      <c r="B370" s="501">
        <f>Calculations!B313/10^3</f>
        <v>1.09324261505482</v>
      </c>
      <c r="C370" s="501">
        <f>SUM(Calculations!F313:G313)/10^3</f>
        <v>2.8512648164712591</v>
      </c>
      <c r="D370" s="501">
        <f>Calculations!E313/10^3</f>
        <v>0.71410300803934612</v>
      </c>
    </row>
    <row r="371" spans="1:7">
      <c r="A371" t="s">
        <v>52</v>
      </c>
      <c r="B371" s="501">
        <f>Calculations!B314/10^3</f>
        <v>1.58982244887099</v>
      </c>
      <c r="C371" s="501">
        <f>SUM(Calculations!F314:G314)/10^3</f>
        <v>4.1463850297079077</v>
      </c>
      <c r="D371" s="501">
        <f>Calculations!E314/10^3</f>
        <v>1.0384675618689863</v>
      </c>
    </row>
    <row r="372" spans="1:7">
      <c r="A372" t="s">
        <v>91</v>
      </c>
      <c r="B372" s="501">
        <f>Calculations!B315/10^3</f>
        <v>1.2114940017527811</v>
      </c>
      <c r="C372" s="501">
        <f>SUM(Calculations!F315:G315)/10^3</f>
        <v>3.1596739598286341</v>
      </c>
      <c r="D372" s="501">
        <f>Calculations!E315/10^3</f>
        <v>0.79134448196561047</v>
      </c>
    </row>
    <row r="373" spans="1:7">
      <c r="A373" t="s">
        <v>88</v>
      </c>
      <c r="B373" s="501">
        <f>Calculations!B316/10^3</f>
        <v>0</v>
      </c>
      <c r="C373" s="501">
        <f>Calculations!F316/10^3</f>
        <v>0</v>
      </c>
      <c r="D373" s="501">
        <f>Calculations!E316/10^3</f>
        <v>0</v>
      </c>
      <c r="E373" s="501">
        <f t="array" ref="E373:G373">TRANSPOSE(Calculations!B327:B329)/10^3</f>
        <v>1.5487537330641077</v>
      </c>
      <c r="F373" s="501">
        <v>2.0650049774188104</v>
      </c>
      <c r="G373" s="501">
        <v>1.5487537330641077</v>
      </c>
    </row>
    <row r="400" spans="1:17">
      <c r="A400" s="106" t="s">
        <v>92</v>
      </c>
      <c r="B400" s="106"/>
      <c r="C400" s="107"/>
      <c r="D400" s="107"/>
      <c r="E400" s="107"/>
      <c r="F400" s="107"/>
      <c r="G400" s="107"/>
      <c r="H400" s="107"/>
      <c r="I400" s="107"/>
      <c r="J400" s="107"/>
      <c r="K400" s="107"/>
      <c r="L400" s="107"/>
      <c r="M400" s="107"/>
      <c r="N400" s="107"/>
      <c r="O400" s="107"/>
      <c r="P400" s="107"/>
      <c r="Q400" s="107"/>
    </row>
    <row r="401" spans="1:19" ht="30">
      <c r="A401" s="33"/>
      <c r="B401" s="101" t="s">
        <v>39</v>
      </c>
      <c r="C401" s="101" t="s">
        <v>40</v>
      </c>
      <c r="D401" s="101" t="s">
        <v>41</v>
      </c>
      <c r="E401" s="101" t="s">
        <v>42</v>
      </c>
      <c r="F401" s="101" t="s">
        <v>43</v>
      </c>
      <c r="G401" s="101" t="s">
        <v>44</v>
      </c>
      <c r="H401" s="101" t="s">
        <v>45</v>
      </c>
      <c r="I401" s="101" t="s">
        <v>46</v>
      </c>
      <c r="J401" s="101" t="s">
        <v>47</v>
      </c>
      <c r="K401" s="101" t="s">
        <v>48</v>
      </c>
      <c r="L401" s="101" t="s">
        <v>49</v>
      </c>
      <c r="M401" s="101" t="s">
        <v>50</v>
      </c>
      <c r="N401" s="101" t="s">
        <v>93</v>
      </c>
      <c r="O401" s="101" t="s">
        <v>94</v>
      </c>
      <c r="P401" s="101" t="s">
        <v>95</v>
      </c>
      <c r="Q401" s="101" t="s">
        <v>96</v>
      </c>
      <c r="S401" s="101"/>
    </row>
    <row r="402" spans="1:19">
      <c r="A402" t="s">
        <v>51</v>
      </c>
      <c r="B402" s="27">
        <f>IF($B$11=TRUE,Calculations!G341,0)</f>
        <v>291.54782646400002</v>
      </c>
      <c r="C402" s="27">
        <f>Calculations!B21*Calculations!B$371</f>
        <v>1046.5249307939796</v>
      </c>
      <c r="D402" s="27">
        <f>Calculations!C21*Calculations!C$371</f>
        <v>1401.9053298733043</v>
      </c>
      <c r="E402" s="27">
        <f>Calculations!D21*Calculations!D$371</f>
        <v>253.85728628269021</v>
      </c>
      <c r="F402" s="27">
        <f>Calculations!E21*Calculations!E$371</f>
        <v>814.06065220380538</v>
      </c>
      <c r="G402" s="27">
        <f>Calculations!F21*Calculations!F$371</f>
        <v>299.92378409889028</v>
      </c>
      <c r="L402" s="27"/>
      <c r="M402">
        <f>SUM(Calculations!K21:L21)*Calculations!$B$379</f>
        <v>0</v>
      </c>
      <c r="N402" s="27">
        <f>Calculations!B620</f>
        <v>979</v>
      </c>
      <c r="O402" s="27">
        <f>Calculations!E608</f>
        <v>521.38599714100735</v>
      </c>
      <c r="P402" s="27">
        <f>SUM(Calculations!I21:J21)*Calculations!$B$594</f>
        <v>2928.9570261316371</v>
      </c>
      <c r="Q402" s="27"/>
      <c r="S402" s="27"/>
    </row>
    <row r="403" spans="1:19">
      <c r="A403" t="s">
        <v>52</v>
      </c>
      <c r="B403" s="27">
        <f>IF($B$11=TRUE,Calculations!G342,0)</f>
        <v>423.97659316342015</v>
      </c>
      <c r="C403" s="27">
        <f>Calculations!B59*Calculations!B$371</f>
        <v>999.77582873614165</v>
      </c>
      <c r="D403" s="27">
        <f>Calculations!C59*Calculations!C$371</f>
        <v>1190.1884794332182</v>
      </c>
      <c r="E403" s="27">
        <f>Calculations!D59*Calculations!D$371</f>
        <v>219.59405380391271</v>
      </c>
      <c r="F403" s="27">
        <f>Calculations!E59*Calculations!E$371</f>
        <v>927.26015138968035</v>
      </c>
      <c r="G403" s="27">
        <f>Calculations!F59*Calculations!F$371</f>
        <v>321.2516385410417</v>
      </c>
      <c r="L403" s="27"/>
      <c r="M403">
        <f>SUM(Calculations!K59:L59)*Calculations!$B$379</f>
        <v>0</v>
      </c>
      <c r="N403" s="27">
        <f>Calculations!B621</f>
        <v>691.49001663893512</v>
      </c>
      <c r="O403" s="27">
        <f>Calculations!E609</f>
        <v>486.87557349405392</v>
      </c>
      <c r="P403" s="27">
        <f>SUM(Calculations!I59:J59)*Calculations!$B$595</f>
        <v>0</v>
      </c>
      <c r="Q403" s="27">
        <f>SUM(Calculations!I59:J59)*(Calculations!$B$594-Calculations!$B$595)</f>
        <v>3047.4504117024926</v>
      </c>
      <c r="S403" s="27"/>
    </row>
    <row r="404" spans="1:19">
      <c r="A404" t="s">
        <v>53</v>
      </c>
      <c r="B404" s="27">
        <f>IF($B$11=TRUE,Calculations!G343,0)</f>
        <v>323.0833102563289</v>
      </c>
      <c r="C404" s="27">
        <f>Calculations!B99*Calculations!B$371</f>
        <v>591.43064911189265</v>
      </c>
      <c r="D404" s="27">
        <f>Calculations!C99*Calculations!C$371</f>
        <v>645.81932479950922</v>
      </c>
      <c r="E404" s="27">
        <f>Calculations!D99*Calculations!D$371</f>
        <v>128.27447169172052</v>
      </c>
      <c r="F404" s="27">
        <f>Calculations!E99*Calculations!E$371</f>
        <v>681.60835503905594</v>
      </c>
      <c r="G404" s="27">
        <f>Calculations!F99*Calculations!F$371</f>
        <v>210.42152743891805</v>
      </c>
      <c r="L404" s="27"/>
      <c r="M404">
        <f>SUM(Calculations!K99:L99)*Calculations!$B$379</f>
        <v>0</v>
      </c>
      <c r="N404" s="27">
        <f>Calculations!B622</f>
        <v>488.79772461524186</v>
      </c>
      <c r="O404" s="27">
        <f>Calculations!E610</f>
        <v>286.01590727414623</v>
      </c>
      <c r="P404" s="27">
        <f>SUM(Calculations!I99:J99)*Calculations!$B$595</f>
        <v>0</v>
      </c>
      <c r="Q404" s="27">
        <f>SUM(Calculations!I99:J99)*(Calculations!$B$594-Calculations!$B$595)</f>
        <v>2015.3004285571226</v>
      </c>
      <c r="S404" s="27"/>
    </row>
    <row r="405" spans="1:19">
      <c r="A405" t="s">
        <v>54</v>
      </c>
      <c r="B405" s="27">
        <f>IF($B$11=TRUE,B$404,0)</f>
        <v>323.0833102563289</v>
      </c>
      <c r="C405" s="27">
        <f>Calculations!B206*Calculations!B$371</f>
        <v>319.76215305972744</v>
      </c>
      <c r="D405" s="27">
        <f>Calculations!C206*Calculations!C$371</f>
        <v>262.18078115519666</v>
      </c>
      <c r="E405" s="27">
        <f>Calculations!D206*Calculations!D$371</f>
        <v>61.186140148935564</v>
      </c>
      <c r="F405" s="27">
        <f>Calculations!E206*Calculations!E$371</f>
        <v>398.77618224522178</v>
      </c>
      <c r="G405" s="27">
        <f>Calculations!F206*Calculations!F$371</f>
        <v>96.448361812394296</v>
      </c>
      <c r="L405" s="27"/>
      <c r="M405">
        <f>SUM(Calculations!K206:L206)*Calculations!$B$379</f>
        <v>0</v>
      </c>
      <c r="N405" s="27">
        <f>Calculations!B623</f>
        <v>488.79772461524186</v>
      </c>
      <c r="O405" s="27">
        <f>Calculations!E611</f>
        <v>134.9533514698486</v>
      </c>
      <c r="P405" s="27">
        <f>SUM(Calculations!I206:J206)*Calculations!$B$595</f>
        <v>0</v>
      </c>
      <c r="Q405" s="27">
        <f>SUM(Calculations!I206:J206)*(Calculations!$B$594-Calculations!$B$595)</f>
        <v>2817.1333257353499</v>
      </c>
      <c r="S405" s="27"/>
    </row>
    <row r="406" spans="1:19">
      <c r="A406" t="s">
        <v>55</v>
      </c>
      <c r="B406" s="27">
        <f>IF($B$11=TRUE,B$404,0)</f>
        <v>323.0833102563289</v>
      </c>
      <c r="C406" s="27">
        <f>Calculations!B226*Calculations!B$371</f>
        <v>198.94162949112805</v>
      </c>
      <c r="D406" s="27">
        <f>Calculations!C226*Calculations!C$371</f>
        <v>179.63670966021365</v>
      </c>
      <c r="E406" s="27">
        <f>Calculations!D226*Calculations!D$371</f>
        <v>45.266640615079453</v>
      </c>
      <c r="F406" s="27">
        <f>Calculations!E226*Calculations!E$371</f>
        <v>314.34410286214245</v>
      </c>
      <c r="G406" s="27">
        <f>Calculations!F226*Calculations!F$371</f>
        <v>42.275218445439513</v>
      </c>
      <c r="L406" s="27"/>
      <c r="M406">
        <f>SUM(Calculations!K226:L226)*Calculations!$B$379</f>
        <v>0</v>
      </c>
      <c r="N406" s="27">
        <f>Calculations!B624</f>
        <v>488.79772461524186</v>
      </c>
      <c r="O406" s="27">
        <f>Calculations!E612</f>
        <v>80.351497211132042</v>
      </c>
      <c r="P406" s="27">
        <f>SUM(Calculations!I226:J226)*Calculations!$B$595</f>
        <v>0</v>
      </c>
      <c r="Q406" s="27">
        <f>SUM(Calculations!I226:J226)*(Calculations!$B$594-Calculations!$B$595)</f>
        <v>3349.4278580431528</v>
      </c>
      <c r="S406" s="27"/>
    </row>
    <row r="407" spans="1:19">
      <c r="A407" t="s">
        <v>56</v>
      </c>
      <c r="B407" s="27">
        <f>IF($B$11=TRUE,B$404,0)</f>
        <v>323.0833102563289</v>
      </c>
      <c r="C407" s="27">
        <f>Calculations!B265*Calculations!B$371</f>
        <v>114.82050105293759</v>
      </c>
      <c r="D407" s="27">
        <f>Calculations!C265*Calculations!C$371</f>
        <v>73.885956974612256</v>
      </c>
      <c r="E407" s="27">
        <f>Calculations!D265*Calculations!D$371</f>
        <v>27.510125338018145</v>
      </c>
      <c r="F407" s="27">
        <f>Calculations!E265*Calculations!E$371</f>
        <v>299.06351381018828</v>
      </c>
      <c r="G407" s="27">
        <f>Calculations!F265*Calculations!F$371</f>
        <v>32.068990240751106</v>
      </c>
      <c r="L407" s="27"/>
      <c r="M407" s="27">
        <f>SUM(Calculations!K265:L265)*Calculations!$B$379</f>
        <v>36.316585108750303</v>
      </c>
      <c r="N407" s="27">
        <f>Calculations!B625</f>
        <v>48.879772461524176</v>
      </c>
      <c r="O407" s="27">
        <f>Calculations!E613</f>
        <v>118.97520852892427</v>
      </c>
      <c r="P407" s="27">
        <f>SUM(Calculations!I265:J265)*Calculations!$B$595</f>
        <v>0</v>
      </c>
      <c r="Q407" s="27">
        <f>SUM(Calculations!I265:J265)*(Calculations!$B$594-Calculations!$B$595)</f>
        <v>3349.4278580431528</v>
      </c>
      <c r="S407" s="27"/>
    </row>
    <row r="408" spans="1:19">
      <c r="A408" t="s">
        <v>57</v>
      </c>
      <c r="B408" s="27">
        <f>IF($B$11=TRUE,B$404,0)</f>
        <v>323.0833102563289</v>
      </c>
      <c r="C408" s="27">
        <f>Calculations!B304*Calculations!B$371</f>
        <v>-4.117889563065708E-15</v>
      </c>
      <c r="D408" s="27">
        <f>Calculations!C304*Calculations!C$371</f>
        <v>2.6076720181670496E-16</v>
      </c>
      <c r="E408" s="27">
        <f>Calculations!D304*Calculations!D$371</f>
        <v>8.6668752107907471E-18</v>
      </c>
      <c r="F408" s="27">
        <f>Calculations!E304*Calculations!E$371</f>
        <v>-6.8974728491544307E-17</v>
      </c>
      <c r="G408" s="27">
        <f>Calculations!F304*Calculations!F$371</f>
        <v>-2.6715649732828938E-15</v>
      </c>
      <c r="L408" s="27"/>
      <c r="M408" s="27">
        <f>SUM(Calculations!K304:L304)*Calculations!$B$379</f>
        <v>36.316585108750303</v>
      </c>
      <c r="N408" s="27">
        <f>Calculations!B626</f>
        <v>48.879772461524176</v>
      </c>
      <c r="O408" s="27">
        <f>Calculations!E614</f>
        <v>74.586411862148211</v>
      </c>
      <c r="P408" s="27">
        <f>SUM(Calculations!I304:J304)*Calculations!$B$595</f>
        <v>0</v>
      </c>
      <c r="Q408" s="27">
        <f>SUM(Calculations!I304:J304)*(Calculations!$B$594-Calculations!$B$595)</f>
        <v>5165.8095565290751</v>
      </c>
      <c r="S408" s="27"/>
    </row>
    <row r="409" spans="1:19">
      <c r="A409" t="s">
        <v>58</v>
      </c>
      <c r="B409" s="27">
        <f>IF($B$11=TRUE,Calculations!G344,0)</f>
        <v>0</v>
      </c>
      <c r="C409" s="27">
        <f>Calculations!B364*Calculations!B$371</f>
        <v>-4.117889563065708E-15</v>
      </c>
      <c r="D409" s="27">
        <f>Calculations!C364*Calculations!C$371</f>
        <v>2.6076720181670496E-16</v>
      </c>
      <c r="E409" s="27">
        <f>Calculations!D364*Calculations!D$371</f>
        <v>8.6668752107907471E-18</v>
      </c>
      <c r="F409" s="27">
        <f>Calculations!E364*Calculations!E$371</f>
        <v>-6.8974728491544307E-17</v>
      </c>
      <c r="G409" s="27">
        <f>Calculations!F364*Calculations!F$371</f>
        <v>-2.6715649732828938E-15</v>
      </c>
      <c r="L409" s="1067" t="s">
        <v>97</v>
      </c>
      <c r="M409" s="27">
        <f>SUM(Calculations!K364:L364)*Calculations!$B$379</f>
        <v>49.493860721511567</v>
      </c>
      <c r="N409" s="27">
        <f>Calculations!B627</f>
        <v>48.879772461524176</v>
      </c>
      <c r="O409" s="27">
        <f>Calculations!E615</f>
        <v>74.586411862148211</v>
      </c>
      <c r="P409" s="27">
        <f>SUM(Calculations!I364:J364)*Calculations!$B$595</f>
        <v>0</v>
      </c>
      <c r="Q409" s="27">
        <f>SUM(Calculations!I364:J364)*(Calculations!$B$594-Calculations!$B$595)</f>
        <v>5666.6662882040609</v>
      </c>
      <c r="S409" s="27"/>
    </row>
    <row r="410" spans="1:19">
      <c r="A410" s="58"/>
    </row>
    <row r="445" spans="1:3">
      <c r="A445" s="23" t="s">
        <v>98</v>
      </c>
    </row>
    <row r="446" spans="1:3">
      <c r="B446" t="s">
        <v>60</v>
      </c>
    </row>
    <row r="447" spans="1:3">
      <c r="A447" t="s">
        <v>51</v>
      </c>
      <c r="B447" s="27">
        <f>SUM(B402:O402)</f>
        <v>5608.2058068576771</v>
      </c>
      <c r="C447" t="s">
        <v>99</v>
      </c>
    </row>
    <row r="448" spans="1:3">
      <c r="A448" t="s">
        <v>52</v>
      </c>
      <c r="B448" s="27">
        <f t="shared" ref="B448:B453" si="12">SUM(B403:O403)-SUM(B402:O402)</f>
        <v>-347.79347165727359</v>
      </c>
      <c r="C448" t="s">
        <v>99</v>
      </c>
    </row>
    <row r="449" spans="1:3">
      <c r="A449" t="s">
        <v>53</v>
      </c>
      <c r="B449" s="27">
        <f t="shared" si="12"/>
        <v>-1904.9610649735905</v>
      </c>
      <c r="C449" t="s">
        <v>99</v>
      </c>
    </row>
    <row r="450" spans="1:3">
      <c r="A450" t="s">
        <v>54</v>
      </c>
      <c r="B450" s="27">
        <f t="shared" si="12"/>
        <v>-1270.2632654639178</v>
      </c>
      <c r="C450" t="s">
        <v>99</v>
      </c>
    </row>
    <row r="451" spans="1:3">
      <c r="A451" t="s">
        <v>55</v>
      </c>
      <c r="B451" s="27">
        <f t="shared" si="12"/>
        <v>-412.49117160618903</v>
      </c>
      <c r="C451" t="s">
        <v>99</v>
      </c>
    </row>
    <row r="452" spans="1:3">
      <c r="A452" t="s">
        <v>56</v>
      </c>
      <c r="B452" s="27">
        <f t="shared" si="12"/>
        <v>-598.09286938467108</v>
      </c>
      <c r="C452" t="s">
        <v>99</v>
      </c>
    </row>
    <row r="453" spans="1:3">
      <c r="A453" t="s">
        <v>57</v>
      </c>
      <c r="B453" s="27">
        <f t="shared" si="12"/>
        <v>-591.73788408328346</v>
      </c>
      <c r="C453" t="s">
        <v>99</v>
      </c>
    </row>
    <row r="454" spans="1:3">
      <c r="A454" t="s">
        <v>58</v>
      </c>
      <c r="B454" s="27">
        <f>IF($B$11=TRUE,SUM(B409:O409)-SUM(B408:O408),0)</f>
        <v>-309.90603464356764</v>
      </c>
      <c r="C454" t="s">
        <v>99</v>
      </c>
    </row>
    <row r="486" spans="1:12">
      <c r="A486" s="106" t="s">
        <v>100</v>
      </c>
      <c r="B486" s="107"/>
      <c r="C486" s="107"/>
      <c r="D486" s="107"/>
      <c r="E486" s="107"/>
      <c r="F486" s="107"/>
      <c r="G486" s="107"/>
      <c r="H486" s="107"/>
      <c r="I486" s="107"/>
      <c r="J486" s="107"/>
      <c r="K486" s="107"/>
      <c r="L486" s="107"/>
    </row>
    <row r="488" spans="1:12">
      <c r="B488" t="s">
        <v>60</v>
      </c>
    </row>
    <row r="489" spans="1:12">
      <c r="A489" t="s">
        <v>53</v>
      </c>
      <c r="B489" s="27">
        <f>Calculations!C547/10^3</f>
        <v>56.830127142810106</v>
      </c>
      <c r="C489" t="s">
        <v>101</v>
      </c>
    </row>
    <row r="490" spans="1:12">
      <c r="A490" t="s">
        <v>54</v>
      </c>
      <c r="B490" s="27">
        <f>Calculations!C548/10^3</f>
        <v>251.52507879169386</v>
      </c>
      <c r="C490" t="s">
        <v>101</v>
      </c>
    </row>
    <row r="491" spans="1:12">
      <c r="A491" t="s">
        <v>55</v>
      </c>
      <c r="B491" s="27">
        <f>Calculations!C549/10^3</f>
        <v>229.15577613653861</v>
      </c>
      <c r="C491" t="s">
        <v>101</v>
      </c>
    </row>
    <row r="492" spans="1:12">
      <c r="A492" t="s">
        <v>56</v>
      </c>
      <c r="B492" s="27">
        <f>Calculations!C550/10^3</f>
        <v>401.01492235068571</v>
      </c>
      <c r="C492" t="s">
        <v>101</v>
      </c>
    </row>
    <row r="493" spans="1:12">
      <c r="A493" t="s">
        <v>57</v>
      </c>
      <c r="B493" s="27">
        <f>Calculations!C551/10^3</f>
        <v>369.42304754800853</v>
      </c>
      <c r="C493" t="s">
        <v>101</v>
      </c>
    </row>
    <row r="494" spans="1:12">
      <c r="A494" t="s">
        <v>58</v>
      </c>
      <c r="B494" s="27">
        <f>Calculations!C552/10^3</f>
        <v>201.15224459934001</v>
      </c>
      <c r="C494" t="s">
        <v>101</v>
      </c>
    </row>
    <row r="525" spans="1:3">
      <c r="A525" s="23" t="s">
        <v>102</v>
      </c>
    </row>
    <row r="526" spans="1:3">
      <c r="B526" t="s">
        <v>103</v>
      </c>
    </row>
    <row r="527" spans="1:3">
      <c r="A527" t="s">
        <v>53</v>
      </c>
      <c r="B527" s="27">
        <f t="shared" ref="B527:B532" si="13">B489/-B449*10^3</f>
        <v>29.832697469645119</v>
      </c>
      <c r="C527" t="s">
        <v>104</v>
      </c>
    </row>
    <row r="528" spans="1:3">
      <c r="A528" t="s">
        <v>54</v>
      </c>
      <c r="B528" s="27">
        <f t="shared" si="13"/>
        <v>198.01019649248332</v>
      </c>
      <c r="C528" t="s">
        <v>104</v>
      </c>
    </row>
    <row r="529" spans="1:3">
      <c r="A529" t="s">
        <v>55</v>
      </c>
      <c r="B529" s="27">
        <f t="shared" si="13"/>
        <v>555.5410440524937</v>
      </c>
      <c r="C529" t="s">
        <v>104</v>
      </c>
    </row>
    <row r="530" spans="1:3">
      <c r="A530" t="s">
        <v>56</v>
      </c>
      <c r="B530" s="27">
        <f t="shared" si="13"/>
        <v>670.48938865172772</v>
      </c>
      <c r="C530" t="s">
        <v>104</v>
      </c>
    </row>
    <row r="531" spans="1:3">
      <c r="A531" t="s">
        <v>57</v>
      </c>
      <c r="B531" s="27">
        <f t="shared" si="13"/>
        <v>624.30183614205521</v>
      </c>
      <c r="C531" t="s">
        <v>104</v>
      </c>
    </row>
    <row r="532" spans="1:3">
      <c r="A532" t="s">
        <v>58</v>
      </c>
      <c r="B532" s="27">
        <f t="shared" si="13"/>
        <v>649.07495212441188</v>
      </c>
      <c r="C532" t="s">
        <v>104</v>
      </c>
    </row>
    <row r="560" spans="1:12">
      <c r="A560" s="106" t="s">
        <v>105</v>
      </c>
      <c r="B560" s="107"/>
      <c r="C560" s="107"/>
      <c r="D560" s="107"/>
      <c r="E560" s="107"/>
      <c r="F560" s="107"/>
      <c r="G560" s="107"/>
      <c r="H560" s="107"/>
      <c r="I560" s="107"/>
      <c r="J560" s="107"/>
      <c r="K560" s="107"/>
      <c r="L560" s="107"/>
    </row>
    <row r="562" spans="1:3">
      <c r="B562" t="s">
        <v>106</v>
      </c>
    </row>
    <row r="563" spans="1:3">
      <c r="A563" t="s">
        <v>53</v>
      </c>
      <c r="B563" s="792">
        <f t="shared" ref="B563:B568" si="14">B207</f>
        <v>-428.83683447902968</v>
      </c>
      <c r="C563" t="s">
        <v>107</v>
      </c>
    </row>
    <row r="564" spans="1:3">
      <c r="A564" t="s">
        <v>54</v>
      </c>
      <c r="B564" s="792">
        <f t="shared" si="14"/>
        <v>-49.477871314940785</v>
      </c>
      <c r="C564" t="s">
        <v>107</v>
      </c>
    </row>
    <row r="565" spans="1:3">
      <c r="A565" t="s">
        <v>55</v>
      </c>
      <c r="B565" s="792">
        <f t="shared" si="14"/>
        <v>17.746447500528575</v>
      </c>
      <c r="C565" t="s">
        <v>107</v>
      </c>
    </row>
    <row r="566" spans="1:3">
      <c r="A566" t="s">
        <v>56</v>
      </c>
      <c r="B566" s="792">
        <f t="shared" si="14"/>
        <v>-0.55942570353636256</v>
      </c>
      <c r="C566" t="s">
        <v>107</v>
      </c>
    </row>
    <row r="567" spans="1:3">
      <c r="A567" t="s">
        <v>57</v>
      </c>
      <c r="B567" s="792">
        <f t="shared" si="14"/>
        <v>87.260175993635926</v>
      </c>
      <c r="C567" t="s">
        <v>107</v>
      </c>
    </row>
    <row r="568" spans="1:3">
      <c r="A568" t="s">
        <v>58</v>
      </c>
      <c r="B568" s="792">
        <f t="shared" si="14"/>
        <v>32.422731018102354</v>
      </c>
      <c r="C568" t="s">
        <v>107</v>
      </c>
    </row>
    <row r="599" spans="1:12">
      <c r="A599" s="106" t="s">
        <v>108</v>
      </c>
      <c r="B599" s="107"/>
      <c r="C599" s="107"/>
      <c r="D599" s="107"/>
      <c r="E599" s="107"/>
      <c r="F599" s="107"/>
      <c r="G599" s="107"/>
      <c r="H599" s="107"/>
      <c r="I599" s="107"/>
      <c r="J599" s="107"/>
      <c r="K599" s="107"/>
      <c r="L599" s="107"/>
    </row>
    <row r="601" spans="1:12" ht="30">
      <c r="B601" s="30" t="s">
        <v>109</v>
      </c>
      <c r="C601" s="101" t="s">
        <v>110</v>
      </c>
      <c r="E601" s="23"/>
    </row>
    <row r="602" spans="1:12">
      <c r="A602" t="s">
        <v>53</v>
      </c>
      <c r="B602" s="792">
        <f>B563</f>
        <v>-428.83683447902968</v>
      </c>
      <c r="C602" s="501">
        <f>Calculations!C584/10^3</f>
        <v>4.579735557518247</v>
      </c>
      <c r="D602" t="s">
        <v>107</v>
      </c>
    </row>
    <row r="603" spans="1:12">
      <c r="A603" t="s">
        <v>54</v>
      </c>
      <c r="B603" s="792">
        <f t="shared" ref="B603:B605" si="15">B564</f>
        <v>-49.477871314940785</v>
      </c>
      <c r="C603" s="27">
        <f>Calculations!C585/10^3</f>
        <v>20.26950149267148</v>
      </c>
      <c r="D603" t="s">
        <v>107</v>
      </c>
    </row>
    <row r="604" spans="1:12">
      <c r="A604" t="s">
        <v>55</v>
      </c>
      <c r="B604" s="792">
        <f t="shared" si="15"/>
        <v>17.746447500528575</v>
      </c>
      <c r="C604" s="27">
        <f>Calculations!C586/10^3</f>
        <v>18.466839842640965</v>
      </c>
      <c r="D604" t="s">
        <v>107</v>
      </c>
    </row>
    <row r="605" spans="1:12">
      <c r="A605" t="s">
        <v>56</v>
      </c>
      <c r="B605" s="792">
        <f t="shared" si="15"/>
        <v>-0.55942570353636256</v>
      </c>
      <c r="C605" s="27">
        <f>Calculations!C587/10^3</f>
        <v>32.316350346529283</v>
      </c>
      <c r="D605" t="s">
        <v>107</v>
      </c>
    </row>
    <row r="606" spans="1:12">
      <c r="A606" t="s">
        <v>57</v>
      </c>
      <c r="B606" s="792">
        <f>B567</f>
        <v>87.260175993635926</v>
      </c>
      <c r="C606" s="27">
        <f>Calculations!C588/10^3</f>
        <v>29.770474776008232</v>
      </c>
      <c r="D606" t="s">
        <v>107</v>
      </c>
    </row>
    <row r="607" spans="1:12">
      <c r="A607" t="s">
        <v>58</v>
      </c>
      <c r="B607" s="792">
        <f>B568</f>
        <v>32.422731018102354</v>
      </c>
      <c r="C607" s="27">
        <f>Calculations!C589/10^3</f>
        <v>16.210135950448151</v>
      </c>
      <c r="D607" t="s">
        <v>107</v>
      </c>
    </row>
    <row r="638" spans="1:12">
      <c r="A638" s="106" t="s">
        <v>111</v>
      </c>
      <c r="B638" s="107"/>
      <c r="C638" s="107"/>
      <c r="D638" s="107"/>
      <c r="E638" s="107"/>
      <c r="F638" s="107"/>
      <c r="G638" s="107"/>
      <c r="H638" s="107"/>
      <c r="I638" s="107"/>
      <c r="J638" s="107"/>
      <c r="K638" s="107"/>
      <c r="L638" s="107"/>
    </row>
    <row r="640" spans="1:12" ht="30">
      <c r="B640" s="30" t="s">
        <v>109</v>
      </c>
      <c r="C640" s="101" t="s">
        <v>110</v>
      </c>
    </row>
    <row r="641" spans="1:4">
      <c r="A641" t="s">
        <v>53</v>
      </c>
      <c r="B641" s="27">
        <f t="shared" ref="B641:C646" si="16">B602/-$B449*10^3</f>
        <v>-225.1158001935199</v>
      </c>
      <c r="C641" s="27">
        <f t="shared" si="16"/>
        <v>2.4041097961137274</v>
      </c>
      <c r="D641" t="s">
        <v>112</v>
      </c>
    </row>
    <row r="642" spans="1:4">
      <c r="A642" t="s">
        <v>54</v>
      </c>
      <c r="B642" s="27">
        <f t="shared" si="16"/>
        <v>-38.950879443774809</v>
      </c>
      <c r="C642" s="27">
        <f t="shared" si="16"/>
        <v>15.956929593857677</v>
      </c>
      <c r="D642" t="s">
        <v>112</v>
      </c>
    </row>
    <row r="643" spans="1:4">
      <c r="A643" t="s">
        <v>55</v>
      </c>
      <c r="B643" s="27">
        <f t="shared" si="16"/>
        <v>43.022611687484435</v>
      </c>
      <c r="C643" s="27">
        <f t="shared" si="16"/>
        <v>44.769054742998257</v>
      </c>
      <c r="D643" t="s">
        <v>112</v>
      </c>
    </row>
    <row r="644" spans="1:4">
      <c r="A644" t="s">
        <v>56</v>
      </c>
      <c r="B644" s="27">
        <f t="shared" si="16"/>
        <v>-0.93534922780789875</v>
      </c>
      <c r="C644" s="27">
        <f t="shared" si="16"/>
        <v>54.032328423806383</v>
      </c>
      <c r="D644" t="s">
        <v>112</v>
      </c>
    </row>
    <row r="645" spans="1:4">
      <c r="A645" t="s">
        <v>57</v>
      </c>
      <c r="B645" s="27">
        <f t="shared" si="16"/>
        <v>147.46423769845129</v>
      </c>
      <c r="C645" s="27">
        <f t="shared" si="16"/>
        <v>50.310239680071291</v>
      </c>
      <c r="D645" t="s">
        <v>112</v>
      </c>
    </row>
    <row r="646" spans="1:4">
      <c r="A646" t="s">
        <v>58</v>
      </c>
      <c r="B646" s="27">
        <f t="shared" si="16"/>
        <v>104.62116704307718</v>
      </c>
      <c r="C646" s="27">
        <f t="shared" si="16"/>
        <v>52.30661600085304</v>
      </c>
      <c r="D646" t="s">
        <v>112</v>
      </c>
    </row>
    <row r="678" spans="1:12">
      <c r="A678" s="106" t="s">
        <v>113</v>
      </c>
      <c r="B678" s="107"/>
      <c r="C678" s="107"/>
      <c r="D678" s="107"/>
      <c r="E678" s="107"/>
      <c r="F678" s="107"/>
      <c r="G678" s="107"/>
      <c r="H678" s="107"/>
      <c r="I678" s="107"/>
      <c r="J678" s="107"/>
      <c r="K678" s="107"/>
      <c r="L678" s="107"/>
    </row>
    <row r="679" spans="1:12" s="33" customFormat="1">
      <c r="D679" s="780"/>
      <c r="E679" s="780"/>
      <c r="F679" s="780"/>
    </row>
    <row r="680" spans="1:12" ht="30">
      <c r="A680" s="36" t="s">
        <v>114</v>
      </c>
      <c r="B680" s="36" t="s">
        <v>53</v>
      </c>
      <c r="C680" s="37" t="s">
        <v>54</v>
      </c>
      <c r="D680" s="37" t="s">
        <v>55</v>
      </c>
      <c r="E680" s="37" t="s">
        <v>56</v>
      </c>
      <c r="F680" s="37" t="s">
        <v>57</v>
      </c>
      <c r="G680" s="37" t="s">
        <v>115</v>
      </c>
      <c r="H680" s="48" t="s">
        <v>116</v>
      </c>
      <c r="J680" s="101" t="s">
        <v>87</v>
      </c>
    </row>
    <row r="681" spans="1:12">
      <c r="A681" t="str">
        <f>IFERROR(INDEX(Calculations!$A$557:$A$571,MATCH(J681,Calculations!$I$557:$I$570,0)),"")</f>
        <v>Chemicals</v>
      </c>
      <c r="B681" s="791">
        <f>INDEX(Calculations!B$557:B$571,MATCH($J681,Calculations!$I$557:$I$570,0))/10^3</f>
        <v>26.533556084877791</v>
      </c>
      <c r="C681" s="791">
        <f>INDEX(Calculations!C$557:C$571,MATCH($J681,Calculations!$I$557:$I$570,0))/10^3</f>
        <v>113.01156201240926</v>
      </c>
      <c r="D681" s="791">
        <f>INDEX(Calculations!D$557:D$571,MATCH($J681,Calculations!$I$557:$I$570,0))/10^3</f>
        <v>85.667101565284412</v>
      </c>
      <c r="E681" s="791">
        <f>INDEX(Calculations!E$557:E$571,MATCH($J681,Calculations!$I$557:$I$570,0))/10^3</f>
        <v>0</v>
      </c>
      <c r="F681" s="791">
        <f>INDEX(Calculations!F$557:F$571,MATCH($J681,Calculations!$I$557:$I$570,0))/10^3</f>
        <v>66.85541114729385</v>
      </c>
      <c r="G681" s="791">
        <f>INDEX(Calculations!G$557:G$571,MATCH($J681,Calculations!$I$557:$I$570,0))/10^3</f>
        <v>201.15224459934001</v>
      </c>
      <c r="H681" s="49" t="s">
        <v>101</v>
      </c>
      <c r="J681">
        <v>1</v>
      </c>
    </row>
    <row r="682" spans="1:12">
      <c r="A682" t="str">
        <f>IFERROR(INDEX(Calculations!$A$557:$A$571,MATCH(J682,Calculations!$I$557:$I$570,0)),"")</f>
        <v>Non-metallic minerals</v>
      </c>
      <c r="B682" s="791">
        <f>INDEX(Calculations!B$557:B$571,MATCH($J682,Calculations!$I$557:$I$570,0))/10^3</f>
        <v>8.0885215140318287</v>
      </c>
      <c r="C682" s="791">
        <f>INDEX(Calculations!C$557:C$571,MATCH($J682,Calculations!$I$557:$I$570,0))/10^3</f>
        <v>3.6102279911907105</v>
      </c>
      <c r="D682" s="791">
        <f>INDEX(Calculations!D$557:D$571,MATCH($J682,Calculations!$I$557:$I$570,0))/10^3</f>
        <v>36.431252047336528</v>
      </c>
      <c r="E682" s="791">
        <f>INDEX(Calculations!E$557:E$571,MATCH($J682,Calculations!$I$557:$I$570,0))/10^3</f>
        <v>308.75872104237448</v>
      </c>
      <c r="F682" s="791">
        <f>INDEX(Calculations!F$557:F$571,MATCH($J682,Calculations!$I$557:$I$570,0))/10^3</f>
        <v>26.462000007263327</v>
      </c>
      <c r="G682" s="791">
        <f>INDEX(Calculations!G$557:G$571,MATCH($J682,Calculations!$I$557:$I$570,0))/10^3</f>
        <v>0</v>
      </c>
      <c r="H682" s="49" t="s">
        <v>101</v>
      </c>
      <c r="J682">
        <v>2</v>
      </c>
    </row>
    <row r="683" spans="1:12">
      <c r="A683" t="str">
        <f>IFERROR(INDEX(Calculations!$A$557:$A$571,MATCH(J683,Calculations!$I$557:$I$570,0)),"")</f>
        <v>Refining &amp; fuel processing</v>
      </c>
      <c r="B683" s="791">
        <f>INDEX(Calculations!B$557:B$571,MATCH($J683,Calculations!$I$557:$I$570,0))/10^3</f>
        <v>5.1918175472540709</v>
      </c>
      <c r="C683" s="791">
        <f>INDEX(Calculations!C$557:C$571,MATCH($J683,Calculations!$I$557:$I$570,0))/10^3</f>
        <v>34.277330906746727</v>
      </c>
      <c r="D683" s="791">
        <f>INDEX(Calculations!D$557:D$571,MATCH($J683,Calculations!$I$557:$I$570,0))/10^3</f>
        <v>7.1072230615094876</v>
      </c>
      <c r="E683" s="791">
        <f>INDEX(Calculations!E$557:E$571,MATCH($J683,Calculations!$I$557:$I$570,0))/10^3</f>
        <v>0</v>
      </c>
      <c r="F683" s="791">
        <f>INDEX(Calculations!F$557:F$571,MATCH($J683,Calculations!$I$557:$I$570,0))/10^3</f>
        <v>227.09986289661171</v>
      </c>
      <c r="G683" s="791">
        <f>INDEX(Calculations!G$557:G$571,MATCH($J683,Calculations!$I$557:$I$570,0))/10^3</f>
        <v>0</v>
      </c>
      <c r="H683" s="49" t="s">
        <v>101</v>
      </c>
      <c r="J683">
        <v>3</v>
      </c>
    </row>
    <row r="684" spans="1:12">
      <c r="A684" t="str">
        <f>IFERROR(INDEX(Calculations!$A$557:$A$571,MATCH(J684,Calculations!$I$557:$I$570,0)),"")</f>
        <v>Iron &amp; steel</v>
      </c>
      <c r="B684" s="791">
        <f>INDEX(Calculations!B$557:B$571,MATCH($J684,Calculations!$I$557:$I$570,0))/10^3</f>
        <v>7.858212632573248</v>
      </c>
      <c r="C684" s="791">
        <f>INDEX(Calculations!C$557:C$571,MATCH($J684,Calculations!$I$557:$I$570,0))/10^3</f>
        <v>79.07526456796549</v>
      </c>
      <c r="D684" s="791">
        <f>INDEX(Calculations!D$557:D$571,MATCH($J684,Calculations!$I$557:$I$570,0))/10^3</f>
        <v>36.434621956123458</v>
      </c>
      <c r="E684" s="791">
        <f>INDEX(Calculations!E$557:E$571,MATCH($J684,Calculations!$I$557:$I$570,0))/10^3</f>
        <v>89.802656644002653</v>
      </c>
      <c r="F684" s="791">
        <f>INDEX(Calculations!F$557:F$571,MATCH($J684,Calculations!$I$557:$I$570,0))/10^3</f>
        <v>49.005773496839623</v>
      </c>
      <c r="G684" s="791">
        <f>INDEX(Calculations!G$557:G$571,MATCH($J684,Calculations!$I$557:$I$570,0))/10^3</f>
        <v>0</v>
      </c>
      <c r="H684" s="49" t="s">
        <v>101</v>
      </c>
      <c r="J684">
        <v>4</v>
      </c>
    </row>
    <row r="685" spans="1:12">
      <c r="A685" t="str">
        <f>IFERROR(INDEX(Calculations!$A$557:$A$571,MATCH(J685,Calculations!$I$557:$I$570,0)),"")</f>
        <v>Nonferrous metals</v>
      </c>
      <c r="B685" s="791">
        <f>INDEX(Calculations!B$557:B$571,MATCH($J685,Calculations!$I$557:$I$570,0))/10^3</f>
        <v>2.6306701763591733</v>
      </c>
      <c r="C685" s="791">
        <f>INDEX(Calculations!C$557:C$571,MATCH($J685,Calculations!$I$557:$I$570,0))/10^3</f>
        <v>2.6269189080352535</v>
      </c>
      <c r="D685" s="791">
        <f>INDEX(Calculations!D$557:D$571,MATCH($J685,Calculations!$I$557:$I$570,0))/10^3</f>
        <v>31.258743120977474</v>
      </c>
      <c r="E685" s="791">
        <f>INDEX(Calculations!E$557:E$571,MATCH($J685,Calculations!$I$557:$I$570,0))/10^3</f>
        <v>2.4535446643085579</v>
      </c>
      <c r="F685" s="791">
        <f>INDEX(Calculations!F$557:F$571,MATCH($J685,Calculations!$I$557:$I$570,0))/10^3</f>
        <v>0</v>
      </c>
      <c r="G685" s="791">
        <f>INDEX(Calculations!G$557:G$571,MATCH($J685,Calculations!$I$557:$I$570,0))/10^3</f>
        <v>0</v>
      </c>
      <c r="H685" s="49" t="s">
        <v>101</v>
      </c>
      <c r="J685">
        <v>5</v>
      </c>
    </row>
    <row r="686" spans="1:12">
      <c r="A686" t="str">
        <f>IFERROR(INDEX(Calculations!$A$557:$A$571,MATCH(J686,Calculations!$I$557:$I$570,0)),"")</f>
        <v>Food, beverage, &amp; tobacco</v>
      </c>
      <c r="B686" s="791">
        <f>INDEX(Calculations!B$557:B$571,MATCH($J686,Calculations!$I$557:$I$570,0))/10^3</f>
        <v>0.52388037202252891</v>
      </c>
      <c r="C686" s="791">
        <f>INDEX(Calculations!C$557:C$571,MATCH($J686,Calculations!$I$557:$I$570,0))/10^3</f>
        <v>8.5997234079831273</v>
      </c>
      <c r="D686" s="791">
        <f>INDEX(Calculations!D$557:D$571,MATCH($J686,Calculations!$I$557:$I$570,0))/10^3</f>
        <v>0.26434420388216223</v>
      </c>
      <c r="E686" s="791">
        <f>INDEX(Calculations!E$557:E$571,MATCH($J686,Calculations!$I$557:$I$570,0))/10^3</f>
        <v>0</v>
      </c>
      <c r="F686" s="791">
        <f>INDEX(Calculations!F$557:F$571,MATCH($J686,Calculations!$I$557:$I$570,0))/10^3</f>
        <v>0</v>
      </c>
      <c r="G686" s="791">
        <f>INDEX(Calculations!G$557:G$571,MATCH($J686,Calculations!$I$557:$I$570,0))/10^3</f>
        <v>0</v>
      </c>
      <c r="H686" s="49" t="s">
        <v>101</v>
      </c>
      <c r="J686">
        <v>6</v>
      </c>
    </row>
    <row r="687" spans="1:12">
      <c r="A687" t="str">
        <f>IFERROR(INDEX(Calculations!$A$557:$A$571,MATCH(J687,Calculations!$I$557:$I$570,0)),"")</f>
        <v>Machinery</v>
      </c>
      <c r="B687" s="791">
        <f>INDEX(Calculations!B$557:B$571,MATCH($J687,Calculations!$I$557:$I$570,0))/10^3</f>
        <v>0.6147980962292523</v>
      </c>
      <c r="C687" s="791">
        <f>INDEX(Calculations!C$557:C$571,MATCH($J687,Calculations!$I$557:$I$570,0))/10^3</f>
        <v>1.2967952931118643</v>
      </c>
      <c r="D687" s="791">
        <f>INDEX(Calculations!D$557:D$571,MATCH($J687,Calculations!$I$557:$I$570,0))/10^3</f>
        <v>6.4437668097104606</v>
      </c>
      <c r="E687" s="791">
        <f>INDEX(Calculations!E$557:E$571,MATCH($J687,Calculations!$I$557:$I$570,0))/10^3</f>
        <v>0</v>
      </c>
      <c r="F687" s="791">
        <f>INDEX(Calculations!F$557:F$571,MATCH($J687,Calculations!$I$557:$I$570,0))/10^3</f>
        <v>0</v>
      </c>
      <c r="G687" s="791">
        <f>INDEX(Calculations!G$557:G$571,MATCH($J687,Calculations!$I$557:$I$570,0))/10^3</f>
        <v>0</v>
      </c>
      <c r="H687" s="49" t="s">
        <v>101</v>
      </c>
      <c r="J687">
        <v>7</v>
      </c>
    </row>
    <row r="688" spans="1:12">
      <c r="A688" t="str">
        <f>IFERROR(INDEX(Calculations!$A$557:$A$571,MATCH(J688,Calculations!$I$557:$I$570,0)),"")</f>
        <v>Other metal products</v>
      </c>
      <c r="B688" s="791">
        <f>INDEX(Calculations!B$557:B$571,MATCH($J688,Calculations!$I$557:$I$570,0))/10^3</f>
        <v>0.86166784753912251</v>
      </c>
      <c r="C688" s="791">
        <f>INDEX(Calculations!C$557:C$571,MATCH($J688,Calculations!$I$557:$I$570,0))/10^3</f>
        <v>1.7095779252279042</v>
      </c>
      <c r="D688" s="791">
        <f>INDEX(Calculations!D$557:D$571,MATCH($J688,Calculations!$I$557:$I$570,0))/10^3</f>
        <v>5.6571491926235389</v>
      </c>
      <c r="E688" s="791">
        <f>INDEX(Calculations!E$557:E$571,MATCH($J688,Calculations!$I$557:$I$570,0))/10^3</f>
        <v>0</v>
      </c>
      <c r="F688" s="791">
        <f>INDEX(Calculations!F$557:F$571,MATCH($J688,Calculations!$I$557:$I$570,0))/10^3</f>
        <v>0</v>
      </c>
      <c r="G688" s="791">
        <f>INDEX(Calculations!G$557:G$571,MATCH($J688,Calculations!$I$557:$I$570,0))/10^3</f>
        <v>0</v>
      </c>
      <c r="H688" s="49" t="s">
        <v>101</v>
      </c>
      <c r="J688">
        <v>8</v>
      </c>
    </row>
    <row r="689" spans="1:10">
      <c r="A689" t="str">
        <f>IFERROR(INDEX(Calculations!$A$557:$A$571,MATCH(J689,Calculations!$I$557:$I$570,0)),"")</f>
        <v>Pulp, paper, &amp; printing</v>
      </c>
      <c r="B689" s="791">
        <f>INDEX(Calculations!B$557:B$571,MATCH($J689,Calculations!$I$557:$I$570,0))/10^3</f>
        <v>0.77331240833990922</v>
      </c>
      <c r="C689" s="791">
        <f>INDEX(Calculations!C$557:C$571,MATCH($J689,Calculations!$I$557:$I$570,0))/10^3</f>
        <v>0.95263842644519436</v>
      </c>
      <c r="D689" s="791">
        <f>INDEX(Calculations!D$557:D$571,MATCH($J689,Calculations!$I$557:$I$570,0))/10^3</f>
        <v>6.4307368204859348</v>
      </c>
      <c r="E689" s="791">
        <f>INDEX(Calculations!E$557:E$571,MATCH($J689,Calculations!$I$557:$I$570,0))/10^3</f>
        <v>0</v>
      </c>
      <c r="F689" s="791">
        <f>INDEX(Calculations!F$557:F$571,MATCH($J689,Calculations!$I$557:$I$570,0))/10^3</f>
        <v>0</v>
      </c>
      <c r="G689" s="791">
        <f>INDEX(Calculations!G$557:G$571,MATCH($J689,Calculations!$I$557:$I$570,0))/10^3</f>
        <v>0</v>
      </c>
      <c r="H689" s="49" t="s">
        <v>101</v>
      </c>
      <c r="J689">
        <v>9</v>
      </c>
    </row>
    <row r="690" spans="1:10">
      <c r="A690" t="str">
        <f>IFERROR(INDEX(Calculations!$A$557:$A$571,MATCH(J690,Calculations!$I$557:$I$570,0)),"")</f>
        <v>Plastic &amp; rubber products</v>
      </c>
      <c r="B690" s="791">
        <f>INDEX(Calculations!B$557:B$571,MATCH($J690,Calculations!$I$557:$I$570,0))/10^3</f>
        <v>0.18991462851991775</v>
      </c>
      <c r="C690" s="791">
        <f>INDEX(Calculations!C$557:C$571,MATCH($J690,Calculations!$I$557:$I$570,0))/10^3</f>
        <v>2.1241481518766796</v>
      </c>
      <c r="D690" s="791">
        <f>INDEX(Calculations!D$557:D$571,MATCH($J690,Calculations!$I$557:$I$570,0))/10^3</f>
        <v>3.9661548145606029</v>
      </c>
      <c r="E690" s="791">
        <f>INDEX(Calculations!E$557:E$571,MATCH($J690,Calculations!$I$557:$I$570,0))/10^3</f>
        <v>0</v>
      </c>
      <c r="F690" s="791">
        <f>INDEX(Calculations!F$557:F$571,MATCH($J690,Calculations!$I$557:$I$570,0))/10^3</f>
        <v>0</v>
      </c>
      <c r="G690" s="791">
        <f>INDEX(Calculations!G$557:G$571,MATCH($J690,Calculations!$I$557:$I$570,0))/10^3</f>
        <v>0</v>
      </c>
      <c r="H690" s="49" t="s">
        <v>101</v>
      </c>
      <c r="J690">
        <v>10</v>
      </c>
    </row>
    <row r="691" spans="1:10">
      <c r="A691" t="str">
        <f>IFERROR(INDEX(Calculations!$A$557:$A$571,MATCH(J691,Calculations!$I$557:$I$570,0)),"")</f>
        <v>Textiles, leather, &amp; apparel</v>
      </c>
      <c r="B691" s="791">
        <f>INDEX(Calculations!B$557:B$571,MATCH($J691,Calculations!$I$557:$I$570,0))/10^3</f>
        <v>2.3725284203795862</v>
      </c>
      <c r="C691" s="791">
        <f>INDEX(Calculations!C$557:C$571,MATCH($J691,Calculations!$I$557:$I$570,0))/10^3</f>
        <v>1.6596056263831755</v>
      </c>
      <c r="D691" s="791">
        <f>INDEX(Calculations!D$557:D$571,MATCH($J691,Calculations!$I$557:$I$570,0))/10^3</f>
        <v>2.1068455311365279</v>
      </c>
      <c r="E691" s="791">
        <f>INDEX(Calculations!E$557:E$571,MATCH($J691,Calculations!$I$557:$I$570,0))/10^3</f>
        <v>0</v>
      </c>
      <c r="F691" s="791">
        <f>INDEX(Calculations!F$557:F$571,MATCH($J691,Calculations!$I$557:$I$570,0))/10^3</f>
        <v>0</v>
      </c>
      <c r="G691" s="791">
        <f>INDEX(Calculations!G$557:G$571,MATCH($J691,Calculations!$I$557:$I$570,0))/10^3</f>
        <v>0</v>
      </c>
      <c r="H691" s="49" t="s">
        <v>101</v>
      </c>
      <c r="J691">
        <v>11</v>
      </c>
    </row>
    <row r="692" spans="1:10">
      <c r="A692" t="str">
        <f>IFERROR(INDEX(Calculations!$A$557:$A$571,MATCH(J692,Calculations!$I$557:$I$570,0)),"")</f>
        <v>Vehicles &amp; transport equipment</v>
      </c>
      <c r="B692" s="791">
        <f>INDEX(Calculations!B$557:B$571,MATCH($J692,Calculations!$I$557:$I$570,0))/10^3</f>
        <v>0.22655987242767986</v>
      </c>
      <c r="C692" s="791">
        <f>INDEX(Calculations!C$557:C$571,MATCH($J692,Calculations!$I$557:$I$570,0))/10^3</f>
        <v>1.1982384986412074</v>
      </c>
      <c r="D692" s="791">
        <f>INDEX(Calculations!D$557:D$571,MATCH($J692,Calculations!$I$557:$I$570,0))/10^3</f>
        <v>3.3991755611045229</v>
      </c>
      <c r="E692" s="791">
        <f>INDEX(Calculations!E$557:E$571,MATCH($J692,Calculations!$I$557:$I$570,0))/10^3</f>
        <v>0</v>
      </c>
      <c r="F692" s="791">
        <f>INDEX(Calculations!F$557:F$571,MATCH($J692,Calculations!$I$557:$I$570,0))/10^3</f>
        <v>0</v>
      </c>
      <c r="G692" s="791">
        <f>INDEX(Calculations!G$557:G$571,MATCH($J692,Calculations!$I$557:$I$570,0))/10^3</f>
        <v>0</v>
      </c>
      <c r="H692" s="49" t="s">
        <v>101</v>
      </c>
      <c r="J692">
        <v>12</v>
      </c>
    </row>
    <row r="693" spans="1:10">
      <c r="A693" t="str">
        <f>IFERROR(INDEX(Calculations!$A$557:$A$571,MATCH(J693,Calculations!$I$557:$I$570,0)),"")</f>
        <v>Electronics</v>
      </c>
      <c r="B693" s="791">
        <f>INDEX(Calculations!B$557:B$571,MATCH($J693,Calculations!$I$557:$I$570,0))/10^3</f>
        <v>0.68274015066810578</v>
      </c>
      <c r="C693" s="791">
        <f>INDEX(Calculations!C$557:C$571,MATCH($J693,Calculations!$I$557:$I$570,0))/10^3</f>
        <v>0.8074213515670654</v>
      </c>
      <c r="D693" s="791">
        <f>INDEX(Calculations!D$557:D$571,MATCH($J693,Calculations!$I$557:$I$570,0))/10^3</f>
        <v>2.3111168473766366</v>
      </c>
      <c r="E693" s="791">
        <f>INDEX(Calculations!E$557:E$571,MATCH($J693,Calculations!$I$557:$I$570,0))/10^3</f>
        <v>0</v>
      </c>
      <c r="F693" s="791">
        <f>INDEX(Calculations!F$557:F$571,MATCH($J693,Calculations!$I$557:$I$570,0))/10^3</f>
        <v>0</v>
      </c>
      <c r="G693" s="791">
        <f>INDEX(Calculations!G$557:G$571,MATCH($J693,Calculations!$I$557:$I$570,0))/10^3</f>
        <v>0</v>
      </c>
      <c r="H693" s="49" t="s">
        <v>101</v>
      </c>
      <c r="J693">
        <v>13</v>
      </c>
    </row>
    <row r="694" spans="1:10">
      <c r="A694" t="str">
        <f>IFERROR(INDEX(Calculations!$A$557:$A$571,MATCH(J694,Calculations!$I$557:$I$570,0)),"")</f>
        <v>Wood &amp; furniture</v>
      </c>
      <c r="B694" s="791">
        <f>INDEX(Calculations!B$557:B$571,MATCH($J694,Calculations!$I$557:$I$570,0))/10^3</f>
        <v>0.1454174128066795</v>
      </c>
      <c r="C694" s="791">
        <f>INDEX(Calculations!C$557:C$571,MATCH($J694,Calculations!$I$557:$I$570,0))/10^3</f>
        <v>0.15563538862591222</v>
      </c>
      <c r="D694" s="791">
        <f>INDEX(Calculations!D$557:D$571,MATCH($J694,Calculations!$I$557:$I$570,0))/10^3</f>
        <v>0.46277268270176447</v>
      </c>
      <c r="E694" s="791">
        <f>INDEX(Calculations!E$557:E$571,MATCH($J694,Calculations!$I$557:$I$570,0))/10^3</f>
        <v>0</v>
      </c>
      <c r="F694" s="791">
        <f>INDEX(Calculations!F$557:F$571,MATCH($J694,Calculations!$I$557:$I$570,0))/10^3</f>
        <v>0</v>
      </c>
      <c r="G694" s="791">
        <f>INDEX(Calculations!G$557:G$571,MATCH($J694,Calculations!$I$557:$I$570,0))/10^3</f>
        <v>0</v>
      </c>
      <c r="H694" s="49" t="s">
        <v>101</v>
      </c>
      <c r="J694">
        <v>14</v>
      </c>
    </row>
    <row r="695" spans="1:10">
      <c r="A695" t="s">
        <v>77</v>
      </c>
      <c r="B695" s="791">
        <f>Calculations!B571/10^3</f>
        <v>0.13652997878121978</v>
      </c>
      <c r="C695" s="791">
        <f>Calculations!C571/10^3</f>
        <v>0.41999033548429282</v>
      </c>
      <c r="D695" s="791">
        <f>Calculations!D571/10^3</f>
        <v>1.214771921725095</v>
      </c>
      <c r="E695" s="791">
        <f>Calculations!E571/10^3</f>
        <v>0</v>
      </c>
      <c r="F695" s="791">
        <f>Calculations!F571/10^3</f>
        <v>0</v>
      </c>
      <c r="G695" s="791">
        <f>Calculations!G571/10^3</f>
        <v>0</v>
      </c>
      <c r="H695" s="49" t="s">
        <v>101</v>
      </c>
    </row>
    <row r="726" spans="1:6">
      <c r="A726" s="23" t="s">
        <v>117</v>
      </c>
      <c r="B726" s="30" t="s">
        <v>118</v>
      </c>
      <c r="C726" s="30" t="s">
        <v>119</v>
      </c>
    </row>
    <row r="727" spans="1:6" ht="30">
      <c r="A727" s="36" t="s">
        <v>114</v>
      </c>
      <c r="B727" s="37" t="s">
        <v>120</v>
      </c>
      <c r="C727" s="37" t="s">
        <v>121</v>
      </c>
      <c r="D727" s="48" t="s">
        <v>116</v>
      </c>
      <c r="F727" s="101" t="s">
        <v>87</v>
      </c>
    </row>
    <row r="728" spans="1:6">
      <c r="A728" t="str">
        <f>IFERROR(INDEX(Calculations!$A$557:$A$570,MATCH($F728,Calculations!$L$557:$L$570,0)),"")</f>
        <v>Chemicals</v>
      </c>
      <c r="B728" s="27">
        <f>INDEX(Calculations!C$557:C$570,MATCH($F728,Calculations!$L$557:$L$570,0))/10^3</f>
        <v>113.01156201240926</v>
      </c>
      <c r="C728" s="27">
        <f>INDEX(Calculations!D$557:D$570,MATCH($F728,Calculations!$L$557:$L$570,0))/10^3</f>
        <v>85.667101565284412</v>
      </c>
      <c r="D728" s="49" t="s">
        <v>101</v>
      </c>
      <c r="F728">
        <v>1</v>
      </c>
    </row>
    <row r="729" spans="1:6">
      <c r="A729" t="str">
        <f>IFERROR(INDEX(Calculations!$A$557:$A$570,MATCH($F729,Calculations!$L$557:$L$570,0)),"")</f>
        <v>Iron &amp; steel</v>
      </c>
      <c r="B729" s="27">
        <f>INDEX(Calculations!C$557:C$570,MATCH($F729,Calculations!$L$557:$L$570,0))/10^3</f>
        <v>79.07526456796549</v>
      </c>
      <c r="C729" s="27">
        <f>INDEX(Calculations!D$557:D$570,MATCH($F729,Calculations!$L$557:$L$570,0))/10^3</f>
        <v>36.434621956123458</v>
      </c>
      <c r="D729" s="49" t="s">
        <v>101</v>
      </c>
      <c r="F729">
        <v>2</v>
      </c>
    </row>
    <row r="730" spans="1:6">
      <c r="A730" t="str">
        <f>IFERROR(INDEX(Calculations!$A$557:$A$570,MATCH($F730,Calculations!$L$557:$L$570,0)),"")</f>
        <v>Refining &amp; fuel processing</v>
      </c>
      <c r="B730" s="27">
        <f>INDEX(Calculations!C$557:C$570,MATCH($F730,Calculations!$L$557:$L$570,0))/10^3</f>
        <v>34.277330906746727</v>
      </c>
      <c r="C730" s="27">
        <f>INDEX(Calculations!D$557:D$570,MATCH($F730,Calculations!$L$557:$L$570,0))/10^3</f>
        <v>7.1072230615094876</v>
      </c>
      <c r="D730" s="49" t="s">
        <v>101</v>
      </c>
      <c r="F730">
        <v>3</v>
      </c>
    </row>
    <row r="731" spans="1:6">
      <c r="A731" t="str">
        <f>IFERROR(INDEX(Calculations!$A$557:$A$570,MATCH($F731,Calculations!$L$557:$L$570,0)),"")</f>
        <v>Non-metallic minerals</v>
      </c>
      <c r="B731" s="27">
        <f>INDEX(Calculations!C$557:C$570,MATCH($F731,Calculations!$L$557:$L$570,0))/10^3</f>
        <v>3.6102279911907105</v>
      </c>
      <c r="C731" s="27">
        <f>INDEX(Calculations!D$557:D$570,MATCH($F731,Calculations!$L$557:$L$570,0))/10^3</f>
        <v>36.431252047336528</v>
      </c>
      <c r="D731" s="49" t="s">
        <v>101</v>
      </c>
      <c r="F731">
        <v>4</v>
      </c>
    </row>
    <row r="732" spans="1:6">
      <c r="A732" t="str">
        <f>IFERROR(INDEX(Calculations!$A$557:$A$570,MATCH($F732,Calculations!$L$557:$L$570,0)),"")</f>
        <v>Nonferrous metals</v>
      </c>
      <c r="B732" s="27">
        <f>INDEX(Calculations!C$557:C$570,MATCH($F732,Calculations!$L$557:$L$570,0))/10^3</f>
        <v>2.6269189080352535</v>
      </c>
      <c r="C732" s="27">
        <f>INDEX(Calculations!D$557:D$570,MATCH($F732,Calculations!$L$557:$L$570,0))/10^3</f>
        <v>31.258743120977474</v>
      </c>
      <c r="D732" s="49" t="s">
        <v>101</v>
      </c>
      <c r="F732">
        <v>5</v>
      </c>
    </row>
    <row r="733" spans="1:6">
      <c r="A733" t="str">
        <f>IFERROR(INDEX(Calculations!$A$557:$A$570,MATCH($F733,Calculations!$L$557:$L$570,0)),"")</f>
        <v>Food, beverage, &amp; tobacco</v>
      </c>
      <c r="B733" s="27">
        <f>INDEX(Calculations!C$557:C$570,MATCH($F733,Calculations!$L$557:$L$570,0))/10^3</f>
        <v>8.5997234079831273</v>
      </c>
      <c r="C733" s="27">
        <f>INDEX(Calculations!D$557:D$570,MATCH($F733,Calculations!$L$557:$L$570,0))/10^3</f>
        <v>0.26434420388216223</v>
      </c>
      <c r="D733" s="49" t="s">
        <v>101</v>
      </c>
      <c r="F733">
        <v>6</v>
      </c>
    </row>
    <row r="734" spans="1:6">
      <c r="A734" t="str">
        <f>IFERROR(INDEX(Calculations!$A$557:$A$570,MATCH($F734,Calculations!$L$557:$L$570,0)),"")</f>
        <v>Machinery</v>
      </c>
      <c r="B734" s="27">
        <f>INDEX(Calculations!C$557:C$570,MATCH($F734,Calculations!$L$557:$L$570,0))/10^3</f>
        <v>1.2967952931118643</v>
      </c>
      <c r="C734" s="27">
        <f>INDEX(Calculations!D$557:D$570,MATCH($F734,Calculations!$L$557:$L$570,0))/10^3</f>
        <v>6.4437668097104606</v>
      </c>
      <c r="D734" s="49" t="s">
        <v>101</v>
      </c>
      <c r="F734">
        <v>7</v>
      </c>
    </row>
    <row r="735" spans="1:6">
      <c r="A735" t="str">
        <f>IFERROR(INDEX(Calculations!$A$557:$A$570,MATCH($F735,Calculations!$L$557:$L$570,0)),"")</f>
        <v>Pulp, paper, &amp; printing</v>
      </c>
      <c r="B735" s="27">
        <f>INDEX(Calculations!C$557:C$570,MATCH($F735,Calculations!$L$557:$L$570,0))/10^3</f>
        <v>0.95263842644519436</v>
      </c>
      <c r="C735" s="27">
        <f>INDEX(Calculations!D$557:D$570,MATCH($F735,Calculations!$L$557:$L$570,0))/10^3</f>
        <v>6.4307368204859348</v>
      </c>
      <c r="D735" s="49" t="s">
        <v>101</v>
      </c>
      <c r="F735">
        <v>8</v>
      </c>
    </row>
    <row r="736" spans="1:6">
      <c r="A736" t="str">
        <f>IFERROR(INDEX(Calculations!$A$557:$A$570,MATCH($F736,Calculations!$L$557:$L$570,0)),"")</f>
        <v>Other metal products</v>
      </c>
      <c r="B736" s="27">
        <f>INDEX(Calculations!C$557:C$570,MATCH($F736,Calculations!$L$557:$L$570,0))/10^3</f>
        <v>1.7095779252279042</v>
      </c>
      <c r="C736" s="27">
        <f>INDEX(Calculations!D$557:D$570,MATCH($F736,Calculations!$L$557:$L$570,0))/10^3</f>
        <v>5.6571491926235389</v>
      </c>
      <c r="D736" s="49" t="s">
        <v>101</v>
      </c>
      <c r="F736">
        <v>9</v>
      </c>
    </row>
    <row r="737" spans="1:6">
      <c r="A737" t="str">
        <f>IFERROR(INDEX(Calculations!$A$557:$A$570,MATCH($F737,Calculations!$L$557:$L$570,0)),"")</f>
        <v>Plastic &amp; rubber products</v>
      </c>
      <c r="B737" s="27">
        <f>INDEX(Calculations!C$557:C$570,MATCH($F737,Calculations!$L$557:$L$570,0))/10^3</f>
        <v>2.1241481518766796</v>
      </c>
      <c r="C737" s="27">
        <f>INDEX(Calculations!D$557:D$570,MATCH($F737,Calculations!$L$557:$L$570,0))/10^3</f>
        <v>3.9661548145606029</v>
      </c>
      <c r="D737" s="49" t="s">
        <v>101</v>
      </c>
      <c r="F737">
        <v>10</v>
      </c>
    </row>
    <row r="738" spans="1:6">
      <c r="A738" t="str">
        <f>IFERROR(INDEX(Calculations!$A$557:$A$570,MATCH($F738,Calculations!$L$557:$L$570,0)),"")</f>
        <v>Vehicles &amp; transport equipment</v>
      </c>
      <c r="B738" s="27">
        <f>INDEX(Calculations!C$557:C$570,MATCH($F738,Calculations!$L$557:$L$570,0))/10^3</f>
        <v>1.1982384986412074</v>
      </c>
      <c r="C738" s="27">
        <f>INDEX(Calculations!D$557:D$570,MATCH($F738,Calculations!$L$557:$L$570,0))/10^3</f>
        <v>3.3991755611045229</v>
      </c>
      <c r="D738" s="49" t="s">
        <v>101</v>
      </c>
      <c r="F738">
        <v>11</v>
      </c>
    </row>
    <row r="739" spans="1:6">
      <c r="A739" t="str">
        <f>IFERROR(INDEX(Calculations!$A$557:$A$570,MATCH($F739,Calculations!$L$557:$L$570,0)),"")</f>
        <v>Textiles, leather, &amp; apparel</v>
      </c>
      <c r="B739" s="27">
        <f>INDEX(Calculations!C$557:C$570,MATCH($F739,Calculations!$L$557:$L$570,0))/10^3</f>
        <v>1.6596056263831755</v>
      </c>
      <c r="C739" s="27">
        <f>INDEX(Calculations!D$557:D$570,MATCH($F739,Calculations!$L$557:$L$570,0))/10^3</f>
        <v>2.1068455311365279</v>
      </c>
      <c r="D739" s="49" t="s">
        <v>101</v>
      </c>
      <c r="F739">
        <v>12</v>
      </c>
    </row>
    <row r="740" spans="1:6">
      <c r="A740" t="str">
        <f>IFERROR(INDEX(Calculations!$A$557:$A$570,MATCH($F740,Calculations!$L$557:$L$570,0)),"")</f>
        <v>Electronics</v>
      </c>
      <c r="B740" s="27">
        <f>INDEX(Calculations!C$557:C$570,MATCH($F740,Calculations!$L$557:$L$570,0))/10^3</f>
        <v>0.8074213515670654</v>
      </c>
      <c r="C740" s="27">
        <f>INDEX(Calculations!D$557:D$570,MATCH($F740,Calculations!$L$557:$L$570,0))/10^3</f>
        <v>2.3111168473766366</v>
      </c>
      <c r="D740" s="49" t="s">
        <v>101</v>
      </c>
      <c r="F740">
        <v>13</v>
      </c>
    </row>
    <row r="741" spans="1:6">
      <c r="A741" t="str">
        <f>IFERROR(INDEX(Calculations!$A$557:$A$570,MATCH($F741,Calculations!$L$557:$L$570,0)),"")</f>
        <v>Wood &amp; furniture</v>
      </c>
      <c r="B741" s="27">
        <f>INDEX(Calculations!C$557:C$570,MATCH($F741,Calculations!$L$557:$L$570,0))/10^3</f>
        <v>0.15563538862591222</v>
      </c>
      <c r="C741" s="27">
        <f>INDEX(Calculations!D$557:D$570,MATCH($F741,Calculations!$L$557:$L$570,0))/10^3</f>
        <v>0.46277268270176447</v>
      </c>
      <c r="D741" s="49" t="s">
        <v>101</v>
      </c>
      <c r="F741">
        <v>14</v>
      </c>
    </row>
    <row r="742" spans="1:6">
      <c r="A742" t="s">
        <v>77</v>
      </c>
      <c r="B742" s="27">
        <f>Calculations!C571/10^3</f>
        <v>0.41999033548429282</v>
      </c>
      <c r="C742" s="27">
        <f>Calculations!D571/10^3</f>
        <v>1.214771921725095</v>
      </c>
      <c r="D742" s="49" t="s">
        <v>101</v>
      </c>
    </row>
    <row r="774" spans="1:12">
      <c r="A774" s="106" t="s">
        <v>122</v>
      </c>
      <c r="B774" s="107"/>
      <c r="C774" s="107"/>
      <c r="D774" s="107"/>
      <c r="E774" s="107"/>
      <c r="F774" s="107"/>
      <c r="G774" s="107"/>
      <c r="H774" s="107"/>
      <c r="I774" s="107"/>
      <c r="J774" s="107"/>
      <c r="K774" s="107"/>
      <c r="L774" s="107"/>
    </row>
    <row r="776" spans="1:12">
      <c r="B776" s="30" t="s">
        <v>123</v>
      </c>
      <c r="C776" s="30" t="s">
        <v>124</v>
      </c>
      <c r="D776" s="1013" t="s">
        <v>125</v>
      </c>
      <c r="E776" s="101" t="s">
        <v>87</v>
      </c>
    </row>
    <row r="777" spans="1:12">
      <c r="A777" t="str">
        <f>INDEX(Calculations!$A$6:$A$19,MATCH(E777,Calculations!$O$6:$O$19,0))</f>
        <v>Iron &amp; steel</v>
      </c>
      <c r="B777" s="50">
        <f>INDEX(Calculations!$D$25:$D$38,MATCH(E777,Calculations!$O$6:$O$19,0))</f>
        <v>-0.21398002853067044</v>
      </c>
      <c r="C777" s="50">
        <f>-INDEX(Calculations!$I$65:$I$78,MATCH(E777,Calculations!$O$6:$O$19,0))</f>
        <v>-0.27314194008559206</v>
      </c>
      <c r="D777" s="46">
        <f>SUM(B777:C777)</f>
        <v>-0.4871219686162625</v>
      </c>
      <c r="E777" s="27">
        <v>1</v>
      </c>
    </row>
    <row r="778" spans="1:12">
      <c r="A778" t="str">
        <f>INDEX(Calculations!$A$6:$A$19,MATCH(E778,Calculations!$O$6:$O$19,0))</f>
        <v>Chemicals</v>
      </c>
      <c r="B778" s="50">
        <f>INDEX(Calculations!$D$25:$D$38,MATCH(E778,Calculations!$O$6:$O$19,0))</f>
        <v>0.45422656140354478</v>
      </c>
      <c r="C778" s="50">
        <f>-INDEX(Calculations!$I$65:$I$78,MATCH(E778,Calculations!$O$6:$O$19,0))</f>
        <v>-0.34606083033018048</v>
      </c>
      <c r="D778" s="46">
        <f t="shared" ref="D778:D791" si="17">SUM(B778:C778)</f>
        <v>0.1081657310733643</v>
      </c>
      <c r="E778" s="27">
        <v>2</v>
      </c>
    </row>
    <row r="779" spans="1:12">
      <c r="A779" t="str">
        <f>INDEX(Calculations!$A$6:$A$19,MATCH(E779,Calculations!$O$6:$O$19,0))</f>
        <v>Refining &amp; fuel processing</v>
      </c>
      <c r="B779" s="50">
        <f>INDEX(Calculations!$D$25:$D$38,MATCH(E779,Calculations!$O$6:$O$19,0))</f>
        <v>2.732240437158473E-2</v>
      </c>
      <c r="C779" s="50">
        <f>-INDEX(Calculations!$I$65:$I$78,MATCH(E779,Calculations!$O$6:$O$19,0))</f>
        <v>0</v>
      </c>
      <c r="D779" s="46">
        <f t="shared" si="17"/>
        <v>2.732240437158473E-2</v>
      </c>
      <c r="E779" s="27">
        <v>3</v>
      </c>
    </row>
    <row r="780" spans="1:12">
      <c r="A780" t="str">
        <f>INDEX(Calculations!$A$6:$A$19,MATCH(E780,Calculations!$O$6:$O$19,0))</f>
        <v>Non-metallic minerals</v>
      </c>
      <c r="B780" s="50">
        <f>INDEX(Calculations!$D$25:$D$38,MATCH(E780,Calculations!$O$6:$O$19,0))</f>
        <v>-0.29367720465890179</v>
      </c>
      <c r="C780" s="50">
        <f>-INDEX(Calculations!$I$65:$I$78,MATCH(E780,Calculations!$O$6:$O$19,0))</f>
        <v>-0.29312396006655578</v>
      </c>
      <c r="D780" s="46">
        <f t="shared" si="17"/>
        <v>-0.58680116472545762</v>
      </c>
      <c r="E780" s="27">
        <v>4</v>
      </c>
    </row>
    <row r="781" spans="1:12">
      <c r="A781" t="str">
        <f>INDEX(Calculations!$A$6:$A$19,MATCH(E781,Calculations!$O$6:$O$19,0))</f>
        <v>Nonferrous metals</v>
      </c>
      <c r="B781" s="50">
        <f>INDEX(Calculations!$D$25:$D$38,MATCH(E781,Calculations!$O$6:$O$19,0))</f>
        <v>0.14999999999999991</v>
      </c>
      <c r="C781" s="50">
        <f>-INDEX(Calculations!$I$65:$I$78,MATCH(E781,Calculations!$O$6:$O$19,0))</f>
        <v>-0.39962500000000001</v>
      </c>
      <c r="D781" s="46">
        <f t="shared" si="17"/>
        <v>-0.2496250000000001</v>
      </c>
      <c r="E781" s="27">
        <v>5</v>
      </c>
    </row>
    <row r="782" spans="1:12">
      <c r="A782" t="str">
        <f>INDEX(Calculations!$A$6:$A$19,MATCH(E782,Calculations!$O$6:$O$19,0))</f>
        <v>Food, beverage, &amp; tobacco</v>
      </c>
      <c r="B782" s="50">
        <f>INDEX(Calculations!$D$25:$D$38,MATCH(E782,Calculations!$O$6:$O$19,0))</f>
        <v>0</v>
      </c>
      <c r="C782" s="50">
        <f>-INDEX(Calculations!$I$65:$I$78,MATCH(E782,Calculations!$O$6:$O$19,0))</f>
        <v>0</v>
      </c>
      <c r="D782" s="46">
        <f t="shared" si="17"/>
        <v>0</v>
      </c>
      <c r="E782" s="27">
        <v>6</v>
      </c>
    </row>
    <row r="783" spans="1:12">
      <c r="A783" t="str">
        <f>INDEX(Calculations!$A$6:$A$19,MATCH(E783,Calculations!$O$6:$O$19,0))</f>
        <v>Machinery</v>
      </c>
      <c r="B783" s="50">
        <f>INDEX(Calculations!$D$25:$D$38,MATCH(E783,Calculations!$O$6:$O$19,0))</f>
        <v>-0.21398002853067044</v>
      </c>
      <c r="C783" s="50">
        <f>-INDEX(Calculations!$I$65:$I$78,MATCH(E783,Calculations!$O$6:$O$19,0))</f>
        <v>-0.19650499286733239</v>
      </c>
      <c r="D783" s="46">
        <f t="shared" si="17"/>
        <v>-0.4104850213980028</v>
      </c>
      <c r="E783" s="27">
        <v>7</v>
      </c>
    </row>
    <row r="784" spans="1:12">
      <c r="A784" t="str">
        <f>INDEX(Calculations!$A$6:$A$19,MATCH(E784,Calculations!$O$6:$O$19,0))</f>
        <v>Textiles, leather, &amp; apparel</v>
      </c>
      <c r="B784" s="50">
        <f>INDEX(Calculations!$D$25:$D$38,MATCH(E784,Calculations!$O$6:$O$19,0))</f>
        <v>0</v>
      </c>
      <c r="C784" s="50">
        <f>-INDEX(Calculations!$I$65:$I$78,MATCH(E784,Calculations!$O$6:$O$19,0))</f>
        <v>0</v>
      </c>
      <c r="D784" s="46">
        <f t="shared" si="17"/>
        <v>0</v>
      </c>
      <c r="E784" s="27">
        <v>8</v>
      </c>
    </row>
    <row r="785" spans="1:5">
      <c r="A785" t="str">
        <f>INDEX(Calculations!$A$6:$A$19,MATCH(E785,Calculations!$O$6:$O$19,0))</f>
        <v>Other metal products</v>
      </c>
      <c r="B785" s="50">
        <f>INDEX(Calculations!$D$25:$D$38,MATCH(E785,Calculations!$O$6:$O$19,0))</f>
        <v>-0.21398002853067044</v>
      </c>
      <c r="C785" s="50">
        <f>-INDEX(Calculations!$I$65:$I$78,MATCH(E785,Calculations!$O$6:$O$19,0))</f>
        <v>-0.19650499286733239</v>
      </c>
      <c r="D785" s="46">
        <f t="shared" si="17"/>
        <v>-0.4104850213980028</v>
      </c>
      <c r="E785" s="27">
        <v>9</v>
      </c>
    </row>
    <row r="786" spans="1:5">
      <c r="A786" t="str">
        <f>INDEX(Calculations!$A$6:$A$19,MATCH(E786,Calculations!$O$6:$O$19,0))</f>
        <v>Electronics</v>
      </c>
      <c r="B786" s="50">
        <f>INDEX(Calculations!$D$25:$D$38,MATCH(E786,Calculations!$O$6:$O$19,0))</f>
        <v>-0.21398002853067044</v>
      </c>
      <c r="C786" s="50">
        <f>-INDEX(Calculations!$I$65:$I$78,MATCH(E786,Calculations!$O$6:$O$19,0))</f>
        <v>-0.19650499286733239</v>
      </c>
      <c r="D786" s="46">
        <f t="shared" si="17"/>
        <v>-0.4104850213980028</v>
      </c>
      <c r="E786" s="27">
        <v>10</v>
      </c>
    </row>
    <row r="787" spans="1:5">
      <c r="A787" t="str">
        <f>INDEX(Calculations!$A$6:$A$19,MATCH(E787,Calculations!$O$6:$O$19,0))</f>
        <v>Pulp, paper, &amp; printing</v>
      </c>
      <c r="B787" s="50">
        <f>INDEX(Calculations!$D$25:$D$38,MATCH(E787,Calculations!$O$6:$O$19,0))</f>
        <v>0</v>
      </c>
      <c r="C787" s="50">
        <f>-INDEX(Calculations!$I$65:$I$78,MATCH(E787,Calculations!$O$6:$O$19,0))</f>
        <v>-5.0000000000000044E-2</v>
      </c>
      <c r="D787" s="46">
        <f t="shared" si="17"/>
        <v>-5.0000000000000044E-2</v>
      </c>
      <c r="E787" s="27">
        <v>11</v>
      </c>
    </row>
    <row r="788" spans="1:5">
      <c r="A788" t="str">
        <f>INDEX(Calculations!$A$6:$A$19,MATCH(E788,Calculations!$O$6:$O$19,0))</f>
        <v>Vehicles &amp; transport equipment</v>
      </c>
      <c r="B788" s="50">
        <f>INDEX(Calculations!$D$25:$D$38,MATCH(E788,Calculations!$O$6:$O$19,0))</f>
        <v>-0.21398002853067044</v>
      </c>
      <c r="C788" s="50">
        <f>-INDEX(Calculations!$I$65:$I$78,MATCH(E788,Calculations!$O$6:$O$19,0))</f>
        <v>-0.19650499286733239</v>
      </c>
      <c r="D788" s="46">
        <f t="shared" si="17"/>
        <v>-0.4104850213980028</v>
      </c>
      <c r="E788" s="27">
        <v>12</v>
      </c>
    </row>
    <row r="789" spans="1:5">
      <c r="A789" t="str">
        <f>INDEX(Calculations!$A$6:$A$19,MATCH(E789,Calculations!$O$6:$O$19,0))</f>
        <v>Plastic &amp; rubber products</v>
      </c>
      <c r="B789" s="50">
        <f>INDEX(Calculations!$D$25:$D$38,MATCH(E789,Calculations!$O$6:$O$19,0))</f>
        <v>0.97478991596638664</v>
      </c>
      <c r="C789" s="50">
        <f>-INDEX(Calculations!$I$65:$I$78,MATCH(E789,Calculations!$O$6:$O$19,0))</f>
        <v>0</v>
      </c>
      <c r="D789" s="46">
        <f t="shared" si="17"/>
        <v>0.97478991596638664</v>
      </c>
      <c r="E789" s="27">
        <v>13</v>
      </c>
    </row>
    <row r="790" spans="1:5">
      <c r="A790" t="str">
        <f>INDEX(Calculations!$A$6:$A$19,MATCH(E790,Calculations!$O$6:$O$19,0))</f>
        <v>Wood &amp; furniture</v>
      </c>
      <c r="B790" s="50">
        <f>INDEX(Calculations!$D$25:$D$38,MATCH(E790,Calculations!$O$6:$O$19,0))</f>
        <v>0</v>
      </c>
      <c r="C790" s="50">
        <f>-INDEX(Calculations!$I$65:$I$78,MATCH(E790,Calculations!$O$6:$O$19,0))</f>
        <v>0</v>
      </c>
      <c r="D790" s="46">
        <f t="shared" si="17"/>
        <v>0</v>
      </c>
      <c r="E790" s="27">
        <v>14</v>
      </c>
    </row>
    <row r="791" spans="1:5">
      <c r="A791" t="str">
        <f t="shared" ref="A791" si="18">A266</f>
        <v>Other manufacturing</v>
      </c>
      <c r="B791" s="46">
        <f>Calculations!D39</f>
        <v>0</v>
      </c>
      <c r="C791" s="46">
        <f>Calculations!I79</f>
        <v>0</v>
      </c>
      <c r="D791" s="46">
        <f t="shared" si="17"/>
        <v>0</v>
      </c>
    </row>
    <row r="823" spans="1:12">
      <c r="A823" s="106" t="s">
        <v>126</v>
      </c>
      <c r="B823" s="107"/>
      <c r="C823" s="107"/>
      <c r="D823" s="107"/>
      <c r="E823" s="107"/>
      <c r="F823" s="107"/>
      <c r="G823" s="107"/>
      <c r="H823" s="107"/>
      <c r="I823" s="107"/>
      <c r="J823" s="107"/>
      <c r="K823" s="107"/>
      <c r="L823" s="107"/>
    </row>
    <row r="825" spans="1:12">
      <c r="A825" s="23" t="s">
        <v>53</v>
      </c>
      <c r="B825" s="30" t="s">
        <v>127</v>
      </c>
      <c r="C825" s="30" t="s">
        <v>128</v>
      </c>
    </row>
    <row r="826" spans="1:12">
      <c r="A826" t="s">
        <v>129</v>
      </c>
      <c r="B826" s="46">
        <f>IF('Achivable Interventions'!R17=0,NA(),Calculations!L65/SUM(Calculations!L$65:L$67))</f>
        <v>0.33969015369020289</v>
      </c>
      <c r="C826" s="50">
        <f>IF(B826&gt;0,B826,NA())</f>
        <v>0.33969015369020289</v>
      </c>
    </row>
    <row r="827" spans="1:12">
      <c r="A827" t="s">
        <v>130</v>
      </c>
      <c r="B827" s="46">
        <f>IF('Achivable Interventions'!R18=0,NA(),Calculations!L66/SUM(Calculations!L$65:L$67))</f>
        <v>0.26810856282542284</v>
      </c>
      <c r="C827" s="50">
        <f>IF(B827&gt;0,B827,NA())</f>
        <v>0.26810856282542284</v>
      </c>
    </row>
    <row r="828" spans="1:12">
      <c r="A828" t="s">
        <v>131</v>
      </c>
      <c r="B828" s="46">
        <f>IF('Achivable Interventions'!R19=0,NA(),Calculations!L67/SUM(Calculations!L$65:L$67))</f>
        <v>0.39220128348437427</v>
      </c>
      <c r="C828" s="50">
        <f>IF(B828&gt;0,B828,NA())</f>
        <v>0.39220128348437427</v>
      </c>
    </row>
    <row r="843" spans="1:3">
      <c r="A843" s="23" t="s">
        <v>54</v>
      </c>
      <c r="B843" s="30" t="s">
        <v>127</v>
      </c>
      <c r="C843" s="30" t="s">
        <v>128</v>
      </c>
    </row>
    <row r="844" spans="1:3">
      <c r="A844" t="s">
        <v>132</v>
      </c>
      <c r="B844" s="50">
        <f>(SUM(Calculations!B152:B166)-SUM(Calculations!B172:B186))/(SUM(Calculations!B152:E166)-SUM(Calculations!B172:E186))</f>
        <v>0.29423889287643468</v>
      </c>
      <c r="C844" s="50">
        <f>IF(B844&gt;0,B844,NA())</f>
        <v>0.29423889287643468</v>
      </c>
    </row>
    <row r="845" spans="1:3">
      <c r="A845" t="s">
        <v>133</v>
      </c>
      <c r="B845" s="50">
        <f>(SUM(Calculations!C152:C166)-SUM(Calculations!C172:C186))/(SUM(Calculations!B152:E166)-SUM(Calculations!B172:E186))</f>
        <v>0.14836548431880794</v>
      </c>
      <c r="C845" s="50">
        <f>IF(B845&gt;0,B845,NA())</f>
        <v>0.14836548431880794</v>
      </c>
    </row>
    <row r="846" spans="1:3">
      <c r="A846" t="s">
        <v>134</v>
      </c>
      <c r="B846" s="50">
        <f>(SUM(Calculations!D152:E166)-SUM(Calculations!D172:E186))/(SUM(Calculations!B152:E166)-SUM(Calculations!B172:E186))</f>
        <v>0.55739562280475785</v>
      </c>
      <c r="C846" s="50">
        <f>IF(B846&gt;0,B846,NA())</f>
        <v>0.55739562280475785</v>
      </c>
    </row>
    <row r="861" spans="1:3">
      <c r="A861" s="23" t="s">
        <v>55</v>
      </c>
      <c r="B861" s="30" t="s">
        <v>127</v>
      </c>
      <c r="C861" s="30" t="s">
        <v>128</v>
      </c>
    </row>
    <row r="862" spans="1:3">
      <c r="A862" t="s">
        <v>135</v>
      </c>
      <c r="B862" s="50">
        <f>(SUM(Calculations!F152:G166)-SUM(Calculations!F172:G186))/(SUM(Calculations!F152:I166)-SUM(Calculations!F172:I186))</f>
        <v>0.41981326221725879</v>
      </c>
      <c r="C862" s="50">
        <f>IF(B862&gt;0,B862,NA())</f>
        <v>0.41981326221725879</v>
      </c>
    </row>
    <row r="863" spans="1:3">
      <c r="A863" t="s">
        <v>136</v>
      </c>
      <c r="B863" s="50">
        <f>(SUM(Calculations!H152:I166)-SUM(Calculations!H172:I186))/(SUM(Calculations!F152:I166)-SUM(Calculations!F172:I186))</f>
        <v>0.58018673778274188</v>
      </c>
      <c r="C863" s="50">
        <f>IF(B863&gt;0,B863,NA())</f>
        <v>0.58018673778274188</v>
      </c>
    </row>
    <row r="864" spans="1:3">
      <c r="C864" s="50"/>
    </row>
    <row r="879" spans="1:12">
      <c r="A879" s="106" t="s">
        <v>137</v>
      </c>
      <c r="B879" s="107"/>
      <c r="C879" s="107"/>
      <c r="D879" s="107"/>
      <c r="E879" s="107"/>
      <c r="F879" s="107"/>
      <c r="G879" s="107"/>
      <c r="H879" s="107"/>
      <c r="I879" s="107"/>
      <c r="J879" s="107"/>
      <c r="K879" s="107"/>
      <c r="L879" s="107"/>
    </row>
    <row r="880" spans="1:12">
      <c r="A880" s="45" t="s">
        <v>138</v>
      </c>
      <c r="B880" s="51"/>
      <c r="C880" s="51"/>
      <c r="D880" s="51"/>
    </row>
    <row r="882" spans="1:11">
      <c r="A882" s="502" t="s">
        <v>139</v>
      </c>
      <c r="B882" s="537"/>
      <c r="C882" s="537"/>
      <c r="D882" s="537"/>
    </row>
    <row r="883" spans="1:11" ht="45">
      <c r="B883" s="57" t="s">
        <v>39</v>
      </c>
      <c r="C883" s="37" t="s">
        <v>140</v>
      </c>
      <c r="D883" s="37" t="s">
        <v>43</v>
      </c>
      <c r="E883" s="37" t="s">
        <v>44</v>
      </c>
      <c r="F883" s="37" t="s">
        <v>45</v>
      </c>
      <c r="G883" s="37" t="s">
        <v>46</v>
      </c>
      <c r="H883" s="37" t="s">
        <v>141</v>
      </c>
      <c r="J883" s="101"/>
      <c r="K883" s="101"/>
    </row>
    <row r="884" spans="1:11">
      <c r="A884" t="s">
        <v>17</v>
      </c>
      <c r="B884" s="50">
        <f>SUM('Other Country-Specific Data'!B3:B6)/SUM('Energy Use Data'!$J$9:$J$23,'Other Country-Specific Data'!$B$3:$B$6)</f>
        <v>6.2556736860190407E-2</v>
      </c>
      <c r="C884" s="50">
        <f>SUM('Energy Use Data'!B9:D23)/SUM('Energy Use Data'!$J$9:$J$23,'Other Country-Specific Data'!$B$3:$B$6)</f>
        <v>0.40811166372542945</v>
      </c>
      <c r="D884" s="50">
        <f>SUM('Energy Use Data'!E9:E23)/SUM('Energy Use Data'!$J$9:$J$23,'Other Country-Specific Data'!$B$3:$B$6)</f>
        <v>0.15593898665145817</v>
      </c>
      <c r="E884" s="50">
        <f>SUM('Energy Use Data'!F9:F23)/SUM('Energy Use Data'!$J$9:$J$23,'Other Country-Specific Data'!$B$3:$B$6)</f>
        <v>8.0082663279367833E-2</v>
      </c>
      <c r="F884" s="50">
        <f>SUM('Energy Use Data'!G9:G23)/SUM('Energy Use Data'!$J$9:$J$23,'Other Country-Specific Data'!$B$3:$B$6)</f>
        <v>0</v>
      </c>
      <c r="G884" s="50">
        <f>SUM('Energy Use Data'!H9:H23)/SUM('Energy Use Data'!$J$9:$J$23,'Other Country-Specific Data'!$B$3:$B$6)</f>
        <v>7.9944209599312324E-2</v>
      </c>
      <c r="H884" s="50">
        <f>SUM('Energy Use Data'!I9:I23)/SUM('Energy Use Data'!$J$9:$J$23,'Other Country-Specific Data'!$B$3:$B$6)</f>
        <v>0.21336573988424229</v>
      </c>
      <c r="J884" s="56"/>
      <c r="K884" s="46"/>
    </row>
    <row r="885" spans="1:11">
      <c r="A885" t="s">
        <v>142</v>
      </c>
      <c r="B885" s="50">
        <f>SUM('Other Country-Specific Data'!C3:C6)/SUM('Energy Use Data'!$J$27:$J$41,'Other Country-Specific Data'!$C$3:$C$6)</f>
        <v>1.5942391136854785E-2</v>
      </c>
      <c r="C885" s="50">
        <f>SUM('Energy Use Data'!B27:D41)/SUM('Energy Use Data'!$J$27:$J$41,'Other Country-Specific Data'!$C$3:$C$6)</f>
        <v>0.55869725785144719</v>
      </c>
      <c r="D885" s="50">
        <f>SUM('Energy Use Data'!E27:E41)/SUM('Energy Use Data'!$J$27:$J$41,'Other Country-Specific Data'!$C$3:$C$6)</f>
        <v>2.8358194235756692E-2</v>
      </c>
      <c r="E885" s="50">
        <f>SUM('Energy Use Data'!F27:F41)/SUM('Energy Use Data'!$J$27:$J$41,'Other Country-Specific Data'!$C$3:$C$6)</f>
        <v>5.2728537140004278E-2</v>
      </c>
      <c r="F885" s="50">
        <f>SUM('Energy Use Data'!G27:G41)/SUM('Energy Use Data'!$J$27:$J$41,'Other Country-Specific Data'!$C$3:$C$6)</f>
        <v>8.5350577000543271E-2</v>
      </c>
      <c r="G885" s="50">
        <f>SUM('Energy Use Data'!H27:H41)/SUM('Energy Use Data'!$J$27:$J$41,'Other Country-Specific Data'!$C$3:$C$6)</f>
        <v>0</v>
      </c>
      <c r="H885" s="50">
        <f>SUM('Energy Use Data'!I27:I41)/SUM('Energy Use Data'!$J$27:$J$41,'Other Country-Specific Data'!$C$3:$C$6)</f>
        <v>0.25892304263539356</v>
      </c>
      <c r="J885" s="56"/>
      <c r="K885" s="46"/>
    </row>
    <row r="886" spans="1:11">
      <c r="A886" t="s">
        <v>143</v>
      </c>
      <c r="B886" s="50">
        <f>SUM('Other Country-Specific Data'!D3:D6)/SUM('Energy Use Data'!$J$45:$J$59,'Other Country-Specific Data'!$D$3:$D$6)</f>
        <v>2.971618850969306E-2</v>
      </c>
      <c r="C886" s="50">
        <f>SUM('Energy Use Data'!B45:D59)/SUM('Energy Use Data'!$J$45:$J$59,'Other Country-Specific Data'!$D$3:$D$6)</f>
        <v>0.57817120103132247</v>
      </c>
      <c r="D886" s="50">
        <f>SUM('Energy Use Data'!E45:E59)/SUM('Energy Use Data'!$J$45:$J$59,'Other Country-Specific Data'!$D$3:$D$6)</f>
        <v>7.6595038856339656E-2</v>
      </c>
      <c r="E886" s="50">
        <f>SUM('Energy Use Data'!F45:F59)/SUM('Energy Use Data'!$J$45:$J$59,'Other Country-Specific Data'!$D$3:$D$6)</f>
        <v>1.364905117600773E-2</v>
      </c>
      <c r="F886" s="50">
        <f>SUM('Energy Use Data'!G45:G59)/SUM('Energy Use Data'!$J$45:$J$59,'Other Country-Specific Data'!$D$3:$D$6)</f>
        <v>0.10403114192814056</v>
      </c>
      <c r="G886" s="50">
        <f>SUM('Energy Use Data'!H45:H59)/SUM('Energy Use Data'!$J$45:$J$59,'Other Country-Specific Data'!$D$3:$D$6)</f>
        <v>0</v>
      </c>
      <c r="H886" s="50">
        <f>SUM('Energy Use Data'!I45:I59)/SUM('Energy Use Data'!$J$45:$J$59,'Other Country-Specific Data'!$D$3:$D$6)</f>
        <v>0.19783737849849656</v>
      </c>
      <c r="J886" s="56"/>
      <c r="K886" s="46"/>
    </row>
    <row r="904" spans="1:10">
      <c r="A904" s="502" t="s">
        <v>144</v>
      </c>
      <c r="B904" s="537"/>
      <c r="C904" s="537"/>
      <c r="D904" s="537"/>
    </row>
    <row r="905" spans="1:10" ht="30">
      <c r="B905" s="37" t="s">
        <v>140</v>
      </c>
      <c r="C905" s="37" t="s">
        <v>43</v>
      </c>
      <c r="D905" s="37" t="s">
        <v>44</v>
      </c>
      <c r="E905" s="37" t="s">
        <v>45</v>
      </c>
      <c r="F905" s="37" t="s">
        <v>46</v>
      </c>
      <c r="G905" s="37" t="s">
        <v>141</v>
      </c>
      <c r="I905" s="101"/>
      <c r="J905" s="101"/>
    </row>
    <row r="906" spans="1:10">
      <c r="A906" t="s">
        <v>17</v>
      </c>
      <c r="B906" s="50">
        <f>SUM('Energy Use Data'!B9:D23)/SUM('Energy Use Data'!$J$9:$J$23)</f>
        <v>0.43534545478360742</v>
      </c>
      <c r="C906" s="50">
        <f>SUM('Energy Use Data'!E9:E23)/SUM('Energy Use Data'!$J$9:$J$23)</f>
        <v>0.16634498617992791</v>
      </c>
      <c r="D906" s="50">
        <f>SUM('Energy Use Data'!F9:F23)/SUM('Energy Use Data'!$J$9:$J$23)</f>
        <v>8.5426677462211761E-2</v>
      </c>
      <c r="E906" s="50">
        <f>SUM('Energy Use Data'!G9:G23)/SUM('Energy Use Data'!$J$9:$J$23)</f>
        <v>0</v>
      </c>
      <c r="F906" s="50">
        <f>SUM('Energy Use Data'!H9:H23)/SUM('Energy Use Data'!$J$9:$J$23)</f>
        <v>8.5278984598547908E-2</v>
      </c>
      <c r="G906" s="50">
        <f>SUM('Energy Use Data'!I9:I23)/SUM('Energy Use Data'!$J$9:$J$23)</f>
        <v>0.22760389697570532</v>
      </c>
      <c r="I906" s="46"/>
      <c r="J906" s="46"/>
    </row>
    <row r="907" spans="1:10">
      <c r="A907" t="s">
        <v>142</v>
      </c>
      <c r="B907" s="50">
        <f>SUM('Energy Use Data'!B27:D41)/SUM('Energy Use Data'!J27:J41)</f>
        <v>0.5677485269352216</v>
      </c>
      <c r="C907" s="50">
        <f>SUM('Energy Use Data'!E27:E41)/SUM('Energy Use Data'!$J$27:$J$41)</f>
        <v>2.8817615940715233E-2</v>
      </c>
      <c r="D907" s="50">
        <f>SUM('Energy Use Data'!F27:F41)/SUM('Energy Use Data'!$J$27:$J$41)</f>
        <v>5.3582774692347651E-2</v>
      </c>
      <c r="E907" s="50">
        <f>SUM('Energy Use Data'!G27:G41)/SUM('Energy Use Data'!$J$27:$J$41)</f>
        <v>8.6733313407480736E-2</v>
      </c>
      <c r="F907" s="50">
        <f>SUM('Energy Use Data'!H27:H41)/SUM('Energy Use Data'!$J$27:$J$41)</f>
        <v>0</v>
      </c>
      <c r="G907" s="50">
        <f>SUM('Energy Use Data'!I27:I41)/SUM('Energy Use Data'!$J$27:$J$41)</f>
        <v>0.2631177690242345</v>
      </c>
      <c r="I907" s="46"/>
      <c r="J907" s="46"/>
    </row>
    <row r="908" spans="1:10">
      <c r="A908" t="s">
        <v>143</v>
      </c>
      <c r="B908" s="50">
        <f>SUM('Energy Use Data'!B45:D59)/SUM('Energy Use Data'!$J$45:$J$59)</f>
        <v>0.59587843699389409</v>
      </c>
      <c r="C908" s="50">
        <f>SUM('Energy Use Data'!E45:E59)/SUM('Energy Use Data'!$J$45:$J$59)</f>
        <v>7.8940860343422126E-2</v>
      </c>
      <c r="D908" s="50">
        <f>SUM('Energy Use Data'!F45:F59)/SUM('Energy Use Data'!$J$45:$J$59)</f>
        <v>1.406707090685505E-2</v>
      </c>
      <c r="E908" s="50">
        <f>SUM('Energy Use Data'!G45:G59)/SUM('Energy Use Data'!$J$45:$J$59)</f>
        <v>0.10721722932628748</v>
      </c>
      <c r="F908" s="50">
        <f>SUM('Energy Use Data'!H45:H59)/SUM('Energy Use Data'!$J$45:$J$59)</f>
        <v>0</v>
      </c>
      <c r="G908" s="50">
        <f>SUM('Energy Use Data'!I45:I59)/SUM('Energy Use Data'!$J$45:$J$59)</f>
        <v>0.20389640242954099</v>
      </c>
      <c r="I908" s="46"/>
      <c r="J908" s="46"/>
    </row>
    <row r="924" spans="1:13">
      <c r="A924" s="502" t="s">
        <v>145</v>
      </c>
      <c r="B924" s="537"/>
      <c r="C924" s="537"/>
      <c r="D924" s="537"/>
    </row>
    <row r="925" spans="1:13" ht="30">
      <c r="B925" s="57" t="s">
        <v>39</v>
      </c>
      <c r="C925" s="37" t="s">
        <v>40</v>
      </c>
      <c r="D925" s="37" t="s">
        <v>41</v>
      </c>
      <c r="E925" s="37" t="s">
        <v>42</v>
      </c>
      <c r="F925" s="37" t="s">
        <v>43</v>
      </c>
      <c r="G925" s="37" t="s">
        <v>44</v>
      </c>
      <c r="H925" s="37" t="s">
        <v>45</v>
      </c>
      <c r="I925" s="37" t="s">
        <v>46</v>
      </c>
      <c r="J925" s="37" t="s">
        <v>141</v>
      </c>
      <c r="K925" s="1133"/>
      <c r="L925" s="101"/>
      <c r="M925" s="101"/>
    </row>
    <row r="926" spans="1:13">
      <c r="A926" t="s">
        <v>17</v>
      </c>
      <c r="B926" s="50">
        <f>SUM('Other Country-Specific Data'!B3:B6)/SUM('Energy Use Data'!$J$9:$J$23,'Other Country-Specific Data'!$B$3:$B$6)</f>
        <v>6.2556736860190407E-2</v>
      </c>
      <c r="C926" s="50">
        <f>SUM('Energy Use Data'!B9:B23)/SUM('Energy Use Data'!$J$9:$J$23,'Other Country-Specific Data'!$B$3:$B$6)</f>
        <v>0.15661452883967678</v>
      </c>
      <c r="D926" s="50">
        <f>SUM('Energy Use Data'!C9:C23)/SUM('Energy Use Data'!$J$9:$J$23,'Other Country-Specific Data'!$B$3:$B$6)</f>
        <v>0.1747300791059975</v>
      </c>
      <c r="E926" s="50">
        <f>SUM('Energy Use Data'!D9:D23)/SUM('Energy Use Data'!$J$9:$J$23,'Other Country-Specific Data'!$B$3:$B$6)</f>
        <v>7.676705577975515E-2</v>
      </c>
      <c r="F926" s="50">
        <f>SUM('Energy Use Data'!E9:E23)/SUM('Energy Use Data'!$J$9:$J$23,'Other Country-Specific Data'!$B$3:$B$6)</f>
        <v>0.15593898665145817</v>
      </c>
      <c r="G926" s="50">
        <f>SUM('Energy Use Data'!F9:F23)/SUM('Energy Use Data'!$J$9:$J$23,'Other Country-Specific Data'!$B$3:$B$6)</f>
        <v>8.0082663279367833E-2</v>
      </c>
      <c r="H926" s="50">
        <f>SUM('Energy Use Data'!G9:G23)/SUM('Energy Use Data'!$J$9:$J$23,'Other Country-Specific Data'!$B$3:$B$6)</f>
        <v>0</v>
      </c>
      <c r="I926" s="50">
        <f>SUM('Energy Use Data'!H9:H23)/SUM('Energy Use Data'!$J$9:$J$23,'Other Country-Specific Data'!$B$3:$B$6)</f>
        <v>7.9944209599312324E-2</v>
      </c>
      <c r="J926" s="50">
        <f>SUM('Energy Use Data'!I9:I23)/SUM('Energy Use Data'!$J$9:$J$23,'Other Country-Specific Data'!$B$3:$B$6)</f>
        <v>0.21336573988424229</v>
      </c>
      <c r="K926" s="49"/>
      <c r="L926" s="46"/>
      <c r="M926" s="46"/>
    </row>
    <row r="927" spans="1:13">
      <c r="A927" t="s">
        <v>142</v>
      </c>
      <c r="B927" s="50">
        <f>SUM('Other Country-Specific Data'!C3:C6)/SUM('Energy Use Data'!$J$27:$J$41,'Other Country-Specific Data'!$C$3:$C$6)</f>
        <v>1.5942391136854785E-2</v>
      </c>
      <c r="C927" s="50">
        <f>SUM('Energy Use Data'!B27:B41)/SUM('Energy Use Data'!$J$27:$J$41,'Other Country-Specific Data'!$C$3:$C$6)</f>
        <v>0.39048559585835324</v>
      </c>
      <c r="D927" s="50">
        <f>SUM('Energy Use Data'!C27:C41)/SUM('Energy Use Data'!$J$27:$J$41,'Other Country-Specific Data'!$C$3:$C$6)</f>
        <v>0.16821166199309392</v>
      </c>
      <c r="E927" s="50">
        <f>SUM('Energy Use Data'!D27:D41)/SUM('Energy Use Data'!$J$27:$J$41,'Other Country-Specific Data'!$C$3:$C$6)</f>
        <v>0</v>
      </c>
      <c r="F927" s="50">
        <f>SUM('Energy Use Data'!E27:E41)/SUM('Energy Use Data'!$J$27:$J$41,'Other Country-Specific Data'!$C$3:$C$6)</f>
        <v>2.8358194235756692E-2</v>
      </c>
      <c r="G927" s="50">
        <f>SUM('Energy Use Data'!F27:F41)/SUM('Energy Use Data'!$J$27:$J$41,'Other Country-Specific Data'!$C$3:$C$6)</f>
        <v>5.2728537140004278E-2</v>
      </c>
      <c r="H927" s="50">
        <f>SUM('Energy Use Data'!G27:G41)/SUM('Energy Use Data'!$J$27:$J$41,'Other Country-Specific Data'!$C$3:$C$6)</f>
        <v>8.5350577000543271E-2</v>
      </c>
      <c r="I927" s="50">
        <f>SUM('Energy Use Data'!H27:H41)/SUM('Energy Use Data'!$J$27:$J$41,'Other Country-Specific Data'!$C$3:$C$6)</f>
        <v>0</v>
      </c>
      <c r="J927" s="50">
        <f>SUM('Energy Use Data'!I27:I41)/SUM('Energy Use Data'!$J$27:$J$41,'Other Country-Specific Data'!$C$3:$C$6)</f>
        <v>0.25892304263539356</v>
      </c>
      <c r="K927" s="49"/>
      <c r="L927" s="46"/>
      <c r="M927" s="46"/>
    </row>
    <row r="928" spans="1:13">
      <c r="A928" t="s">
        <v>143</v>
      </c>
      <c r="B928" s="50">
        <f>SUM('Other Country-Specific Data'!D3:D6)/SUM('Energy Use Data'!$J$45:$J$59,'Other Country-Specific Data'!$D$3:$D$6)</f>
        <v>2.971618850969306E-2</v>
      </c>
      <c r="C928" s="50">
        <f>SUM('Energy Use Data'!B45:B59)/SUM('Energy Use Data'!$J$45:$J$59,'Other Country-Specific Data'!$D$3:$D$6)</f>
        <v>0.57817120103132247</v>
      </c>
      <c r="D928" s="50">
        <f>SUM('Energy Use Data'!C45:C59)/SUM('Energy Use Data'!$J$45:$J$59,'Other Country-Specific Data'!$D$3:$D$6)</f>
        <v>0</v>
      </c>
      <c r="E928" s="50">
        <f>SUM('Energy Use Data'!D45:D59)/SUM('Energy Use Data'!$J$45:$J$59,'Other Country-Specific Data'!$D$3:$D$6)</f>
        <v>0</v>
      </c>
      <c r="F928" s="50">
        <f>SUM('Energy Use Data'!E45:E59)/SUM('Energy Use Data'!$J$45:$J$59,'Other Country-Specific Data'!$D$3:$D$6)</f>
        <v>7.6595038856339656E-2</v>
      </c>
      <c r="G928" s="50">
        <f>SUM('Energy Use Data'!F45:F59)/SUM('Energy Use Data'!$J$45:$J$59,'Other Country-Specific Data'!$D$3:$D$6)</f>
        <v>1.364905117600773E-2</v>
      </c>
      <c r="H928" s="50">
        <f>SUM('Energy Use Data'!G45:G59)/SUM('Energy Use Data'!$J$45:$J$59,'Other Country-Specific Data'!$D$3:$D$6)</f>
        <v>0.10403114192814056</v>
      </c>
      <c r="I928" s="50">
        <f>SUM('Energy Use Data'!H45:H59)/SUM('Energy Use Data'!$J$45:$J$59,'Other Country-Specific Data'!$D$3:$D$6)</f>
        <v>0</v>
      </c>
      <c r="J928" s="50">
        <f>SUM('Energy Use Data'!I45:I59)/SUM('Energy Use Data'!$J$45:$J$59,'Other Country-Specific Data'!$D$3:$D$6)</f>
        <v>0.19783737849849656</v>
      </c>
      <c r="K928" s="49"/>
      <c r="L928" s="46"/>
      <c r="M928" s="46"/>
    </row>
    <row r="946" spans="1:12">
      <c r="A946" s="106" t="s">
        <v>146</v>
      </c>
      <c r="B946" s="107"/>
      <c r="C946" s="107"/>
      <c r="D946" s="107"/>
      <c r="E946" s="107"/>
      <c r="F946" s="107"/>
      <c r="G946" s="107"/>
      <c r="H946" s="107"/>
      <c r="I946" s="107"/>
      <c r="J946" s="107"/>
      <c r="K946" s="107"/>
      <c r="L946" s="107"/>
    </row>
    <row r="947" spans="1:12">
      <c r="A947" s="45" t="s">
        <v>147</v>
      </c>
      <c r="B947" s="45"/>
      <c r="C947" s="45"/>
      <c r="D947" s="45"/>
    </row>
    <row r="948" spans="1:12">
      <c r="A948" s="23"/>
      <c r="B948" s="23"/>
      <c r="C948" s="23"/>
      <c r="D948" s="23"/>
    </row>
    <row r="949" spans="1:12">
      <c r="A949" s="23" t="s">
        <v>148</v>
      </c>
    </row>
    <row r="950" spans="1:12">
      <c r="A950" s="25"/>
      <c r="B950" s="57" t="s">
        <v>17</v>
      </c>
      <c r="C950" s="57" t="s">
        <v>142</v>
      </c>
      <c r="D950" s="57" t="s">
        <v>143</v>
      </c>
    </row>
    <row r="951" spans="1:12">
      <c r="A951" t="s">
        <v>71</v>
      </c>
      <c r="B951" s="50">
        <f>(INDEX('Energy Use Data'!$J$9:$J$23,MATCH($A951,'Energy Use Data'!$A$9:$A$23,0))+IF($A951="Chemicals",SUM('Other Country-Specific Data'!$B$3:$B$6),0))/SUM('Energy Use Data'!$J$9:$J$23,'Other Country-Specific Data'!$B$3:$B$6)</f>
        <v>0.28632453234660893</v>
      </c>
      <c r="C951" s="50">
        <f>(INDEX('Energy Use Data'!$J$27:$J$41,MATCH($A951,'Energy Use Data'!$A$27:$A$41,0))+IF($A951="Chemicals",SUM('Other Country-Specific Data'!$C$3:$C$6),0))/SUM('Energy Use Data'!$J$27:$J$41,'Other Country-Specific Data'!$C$3:$C$6)</f>
        <v>0.24502488133387365</v>
      </c>
      <c r="D951" s="50">
        <f>(INDEX('Energy Use Data'!$J$45:$J$59,MATCH($A951,'Energy Use Data'!$A$45:$A$59,0))+IF($A951="Chemicals",SUM('Other Country-Specific Data'!$D$3:$D$6),0))/SUM('Energy Use Data'!$J$45:$J$59,'Other Country-Specific Data'!$D$3:$D$6)</f>
        <v>0.19406156380116543</v>
      </c>
      <c r="E951" s="49"/>
    </row>
    <row r="952" spans="1:12">
      <c r="A952" t="s">
        <v>68</v>
      </c>
      <c r="B952" s="50">
        <f>(INDEX('Energy Use Data'!$J$9:$J$23,MATCH($A952,'Energy Use Data'!$A$9:$A$23,0))+IF($A952="Chemicals",SUM('Other Country-Specific Data'!$B$3:$B$6),0))/SUM('Energy Use Data'!$J$9:$J$23,'Other Country-Specific Data'!$B$3:$B$6)</f>
        <v>0.2841129682654886</v>
      </c>
      <c r="C952" s="50">
        <f>(INDEX('Energy Use Data'!$J$27:$J$41,MATCH($A952,'Energy Use Data'!$A$27:$A$41,0))+IF($A952="Chemicals",SUM('Other Country-Specific Data'!$C$3:$C$6),0))/SUM('Energy Use Data'!$J$27:$J$41,'Other Country-Specific Data'!$C$3:$C$6)</f>
        <v>7.2405312272988076E-2</v>
      </c>
      <c r="D952" s="50">
        <f>(INDEX('Energy Use Data'!$J$45:$J$59,MATCH($A952,'Energy Use Data'!$A$45:$A$59,0))+IF($A952="Chemicals",SUM('Other Country-Specific Data'!$D$3:$D$6),0))/SUM('Energy Use Data'!$J$45:$J$59,'Other Country-Specific Data'!$D$3:$D$6)</f>
        <v>7.4724910699479938E-2</v>
      </c>
      <c r="E952" s="49"/>
    </row>
    <row r="953" spans="1:12">
      <c r="A953" t="s">
        <v>67</v>
      </c>
      <c r="B953" s="50">
        <f>(INDEX('Energy Use Data'!$J$9:$J$23,MATCH($A953,'Energy Use Data'!$A$9:$A$23,0))+IF($A953="Chemicals",SUM('Other Country-Specific Data'!$B$3:$B$6),0))/SUM('Energy Use Data'!$J$9:$J$23,'Other Country-Specific Data'!$B$3:$B$6)</f>
        <v>0.12171050564969366</v>
      </c>
      <c r="C953" s="50">
        <f>(INDEX('Energy Use Data'!$J$27:$J$41,MATCH($A953,'Energy Use Data'!$A$27:$A$41,0))+IF($A953="Chemicals",SUM('Other Country-Specific Data'!$C$3:$C$6),0))/SUM('Energy Use Data'!$J$27:$J$41,'Other Country-Specific Data'!$C$3:$C$6)</f>
        <v>5.3043280326987817E-3</v>
      </c>
      <c r="D953" s="50">
        <f>(INDEX('Energy Use Data'!$J$45:$J$59,MATCH($A953,'Energy Use Data'!$A$45:$A$59,0))+IF($A953="Chemicals",SUM('Other Country-Specific Data'!$D$3:$D$6),0))/SUM('Energy Use Data'!$J$45:$J$59,'Other Country-Specific Data'!$D$3:$D$6)</f>
        <v>5.2287595476829221E-2</v>
      </c>
      <c r="E953" s="49"/>
    </row>
    <row r="954" spans="1:12">
      <c r="A954" t="s">
        <v>70</v>
      </c>
      <c r="B954" s="50">
        <f>(INDEX('Energy Use Data'!$J$9:$J$23,MATCH($A954,'Energy Use Data'!$A$9:$A$23,0))+IF($A954="Chemicals",SUM('Other Country-Specific Data'!$B$3:$B$6),0))/SUM('Energy Use Data'!$J$9:$J$23,'Other Country-Specific Data'!$B$3:$B$6)</f>
        <v>0.12159196600093662</v>
      </c>
      <c r="C954" s="50">
        <f>(INDEX('Energy Use Data'!$J$27:$J$41,MATCH($A954,'Energy Use Data'!$A$27:$A$41,0))+IF($A954="Chemicals",SUM('Other Country-Specific Data'!$C$3:$C$6),0))/SUM('Energy Use Data'!$J$27:$J$41,'Other Country-Specific Data'!$C$3:$C$6)</f>
        <v>0.15052816059753713</v>
      </c>
      <c r="D954" s="50">
        <f>(INDEX('Energy Use Data'!$J$45:$J$59,MATCH($A954,'Energy Use Data'!$A$45:$A$59,0))+IF($A954="Chemicals",SUM('Other Country-Specific Data'!$D$3:$D$6),0))/SUM('Energy Use Data'!$J$45:$J$59,'Other Country-Specific Data'!$D$3:$D$6)</f>
        <v>0.26850341013437967</v>
      </c>
      <c r="E954" s="49"/>
    </row>
    <row r="955" spans="1:12">
      <c r="A955" t="s">
        <v>72</v>
      </c>
      <c r="B955" s="50">
        <f>(INDEX('Energy Use Data'!$J$9:$J$23,MATCH($A955,'Energy Use Data'!$A$9:$A$23,0))+IF($A955="Chemicals",SUM('Other Country-Specific Data'!$B$3:$B$6),0))/SUM('Energy Use Data'!$J$9:$J$23,'Other Country-Specific Data'!$B$3:$B$6)</f>
        <v>5.5091419827208596E-2</v>
      </c>
      <c r="C955" s="50">
        <f>(INDEX('Energy Use Data'!$J$27:$J$41,MATCH($A955,'Energy Use Data'!$A$27:$A$41,0))+IF($A955="Chemicals",SUM('Other Country-Specific Data'!$C$3:$C$6),0))/SUM('Energy Use Data'!$J$27:$J$41,'Other Country-Specific Data'!$C$3:$C$6)</f>
        <v>0.15017314260488068</v>
      </c>
      <c r="D955" s="50">
        <f>(INDEX('Energy Use Data'!$J$45:$J$59,MATCH($A955,'Energy Use Data'!$A$45:$A$59,0))+IF($A955="Chemicals",SUM('Other Country-Specific Data'!$D$3:$D$6),0))/SUM('Energy Use Data'!$J$45:$J$59,'Other Country-Specific Data'!$D$3:$D$6)</f>
        <v>6.8015712928307576E-2</v>
      </c>
      <c r="E955" s="49"/>
    </row>
    <row r="956" spans="1:12">
      <c r="A956" t="s">
        <v>63</v>
      </c>
      <c r="B956" s="50">
        <f>(INDEX('Energy Use Data'!$J$9:$J$23,MATCH($A956,'Energy Use Data'!$A$9:$A$23,0))+IF($A956="Chemicals",SUM('Other Country-Specific Data'!$B$3:$B$6),0))/SUM('Energy Use Data'!$J$9:$J$23,'Other Country-Specific Data'!$B$3:$B$6)</f>
        <v>2.1027918310035532E-2</v>
      </c>
      <c r="C956" s="50">
        <f>(INDEX('Energy Use Data'!$J$27:$J$41,MATCH($A956,'Energy Use Data'!$A$27:$A$41,0))+IF($A956="Chemicals",SUM('Other Country-Specific Data'!$C$3:$C$6),0))/SUM('Energy Use Data'!$J$27:$J$41,'Other Country-Specific Data'!$C$3:$C$6)</f>
        <v>0.18234756549725181</v>
      </c>
      <c r="D956" s="50">
        <f>(INDEX('Energy Use Data'!$J$45:$J$59,MATCH($A956,'Energy Use Data'!$A$45:$A$59,0))+IF($A956="Chemicals",SUM('Other Country-Specific Data'!$D$3:$D$6),0))/SUM('Energy Use Data'!$J$45:$J$59,'Other Country-Specific Data'!$D$3:$D$6)</f>
        <v>5.1497306284477642E-2</v>
      </c>
      <c r="E956" s="49"/>
    </row>
    <row r="957" spans="1:12">
      <c r="A957" t="s">
        <v>73</v>
      </c>
      <c r="B957" s="50">
        <f>(INDEX('Energy Use Data'!$J$9:$J$23,MATCH($A957,'Energy Use Data'!$A$9:$A$23,0))+IF($A957="Chemicals",SUM('Other Country-Specific Data'!$B$3:$B$6),0))/SUM('Energy Use Data'!$J$9:$J$23,'Other Country-Specific Data'!$B$3:$B$6)</f>
        <v>2.0700123909472019E-2</v>
      </c>
      <c r="C957" s="50">
        <f>(INDEX('Energy Use Data'!$J$27:$J$41,MATCH($A957,'Energy Use Data'!$A$27:$A$41,0))+IF($A957="Chemicals",SUM('Other Country-Specific Data'!$C$3:$C$6),0))/SUM('Energy Use Data'!$J$27:$J$41,'Other Country-Specific Data'!$C$3:$C$6)</f>
        <v>3.2231636026169024E-3</v>
      </c>
      <c r="D957" s="50">
        <f>(INDEX('Energy Use Data'!$J$45:$J$59,MATCH($A957,'Energy Use Data'!$A$45:$A$59,0))+IF($A957="Chemicals",SUM('Other Country-Specific Data'!$D$3:$D$6),0))/SUM('Energy Use Data'!$J$45:$J$59,'Other Country-Specific Data'!$D$3:$D$6)</f>
        <v>7.553820516349845E-3</v>
      </c>
      <c r="E957" s="49"/>
    </row>
    <row r="958" spans="1:12">
      <c r="A958" t="s">
        <v>64</v>
      </c>
      <c r="B958" s="50">
        <f>(INDEX('Energy Use Data'!$J$9:$J$23,MATCH($A958,'Energy Use Data'!$A$9:$A$23,0))+IF($A958="Chemicals",SUM('Other Country-Specific Data'!$B$3:$B$6),0))/SUM('Energy Use Data'!$J$9:$J$23,'Other Country-Specific Data'!$B$3:$B$6)</f>
        <v>1.9046078637904817E-2</v>
      </c>
      <c r="C958" s="50">
        <f>(INDEX('Energy Use Data'!$J$27:$J$41,MATCH($A958,'Energy Use Data'!$A$27:$A$41,0))+IF($A958="Chemicals",SUM('Other Country-Specific Data'!$C$3:$C$6),0))/SUM('Energy Use Data'!$J$27:$J$41,'Other Country-Specific Data'!$C$3:$C$6)</f>
        <v>6.2259732777757426E-2</v>
      </c>
      <c r="D958" s="50">
        <f>(INDEX('Energy Use Data'!$J$45:$J$59,MATCH($A958,'Energy Use Data'!$A$45:$A$59,0))+IF($A958="Chemicals",SUM('Other Country-Specific Data'!$D$3:$D$6),0))/SUM('Energy Use Data'!$J$45:$J$59,'Other Country-Specific Data'!$D$3:$D$6)</f>
        <v>5.6203315889063424E-2</v>
      </c>
      <c r="E958" s="49"/>
    </row>
    <row r="959" spans="1:12">
      <c r="A959" t="s">
        <v>76</v>
      </c>
      <c r="B959" s="50">
        <f>(INDEX('Energy Use Data'!$J$9:$J$23,MATCH($A959,'Energy Use Data'!$A$9:$A$23,0))+IF($A959="Chemicals",SUM('Other Country-Specific Data'!$B$3:$B$6),0))/SUM('Energy Use Data'!$J$9:$J$23,'Other Country-Specific Data'!$B$3:$B$6)</f>
        <v>1.4769835585001832E-2</v>
      </c>
      <c r="C959" s="50">
        <f>(INDEX('Energy Use Data'!$J$27:$J$41,MATCH($A959,'Energy Use Data'!$A$27:$A$41,0))+IF($A959="Chemicals",SUM('Other Country-Specific Data'!$C$3:$C$6),0))/SUM('Energy Use Data'!$J$27:$J$41,'Other Country-Specific Data'!$C$3:$C$6)</f>
        <v>9.4532903359524842E-3</v>
      </c>
      <c r="D959" s="50">
        <f>(INDEX('Energy Use Data'!$J$45:$J$59,MATCH($A959,'Energy Use Data'!$A$45:$A$59,0))+IF($A959="Chemicals",SUM('Other Country-Specific Data'!$D$3:$D$6),0))/SUM('Energy Use Data'!$J$45:$J$59,'Other Country-Specific Data'!$D$3:$D$6)</f>
        <v>3.7957883594508156E-2</v>
      </c>
      <c r="E959" s="49"/>
    </row>
    <row r="960" spans="1:12">
      <c r="A960" t="s">
        <v>75</v>
      </c>
      <c r="B960" s="50">
        <f>(INDEX('Energy Use Data'!$J$9:$J$23,MATCH($A960,'Energy Use Data'!$A$9:$A$23,0))+IF($A960="Chemicals",SUM('Other Country-Specific Data'!$B$3:$B$6),0))/SUM('Energy Use Data'!$J$9:$J$23,'Other Country-Specific Data'!$B$3:$B$6)</f>
        <v>1.3409502597190837E-2</v>
      </c>
      <c r="C960" s="50">
        <f>(INDEX('Energy Use Data'!$J$27:$J$41,MATCH($A960,'Energy Use Data'!$A$27:$A$41,0))+IF($A960="Chemicals",SUM('Other Country-Specific Data'!$C$3:$C$6),0))/SUM('Energy Use Data'!$J$27:$J$41,'Other Country-Specific Data'!$C$3:$C$6)</f>
        <v>1.4623496680671613E-2</v>
      </c>
      <c r="D960" s="50">
        <f>(INDEX('Energy Use Data'!$J$45:$J$59,MATCH($A960,'Energy Use Data'!$A$45:$A$59,0))+IF($A960="Chemicals",SUM('Other Country-Specific Data'!$D$3:$D$6),0))/SUM('Energy Use Data'!$J$45:$J$59,'Other Country-Specific Data'!$D$3:$D$6)</f>
        <v>1.790062278512598E-2</v>
      </c>
      <c r="E960" s="49"/>
    </row>
    <row r="961" spans="1:5">
      <c r="A961" t="s">
        <v>66</v>
      </c>
      <c r="B961" s="50">
        <f>(INDEX('Energy Use Data'!$J$9:$J$23,MATCH($A961,'Energy Use Data'!$A$9:$A$23,0))+IF($A961="Chemicals",SUM('Other Country-Specific Data'!$B$3:$B$6),0))/SUM('Energy Use Data'!$J$9:$J$23,'Other Country-Specific Data'!$B$3:$B$6)</f>
        <v>1.2415926245092577E-2</v>
      </c>
      <c r="C961" s="50">
        <f>(INDEX('Energy Use Data'!$J$27:$J$41,MATCH($A961,'Energy Use Data'!$A$27:$A$41,0))+IF($A961="Chemicals",SUM('Other Country-Specific Data'!$C$3:$C$6),0))/SUM('Energy Use Data'!$J$27:$J$41,'Other Country-Specific Data'!$C$3:$C$6)</f>
        <v>3.6254473837240495E-2</v>
      </c>
      <c r="D961" s="50">
        <f>(INDEX('Energy Use Data'!$J$45:$J$59,MATCH($A961,'Energy Use Data'!$A$45:$A$59,0))+IF($A961="Chemicals",SUM('Other Country-Specific Data'!$D$3:$D$6),0))/SUM('Energy Use Data'!$J$45:$J$59,'Other Country-Specific Data'!$D$3:$D$6)</f>
        <v>5.1394931741863242E-2</v>
      </c>
      <c r="E961" s="49"/>
    </row>
    <row r="962" spans="1:5">
      <c r="A962" t="s">
        <v>74</v>
      </c>
      <c r="B962" s="50">
        <f>(INDEX('Energy Use Data'!$J$9:$J$23,MATCH($A962,'Energy Use Data'!$A$9:$A$23,0))+IF($A962="Chemicals",SUM('Other Country-Specific Data'!$B$3:$B$6),0))/SUM('Energy Use Data'!$J$9:$J$23,'Other Country-Specific Data'!$B$3:$B$6)</f>
        <v>1.1866125815764655E-2</v>
      </c>
      <c r="C962" s="50">
        <f>(INDEX('Energy Use Data'!$J$27:$J$41,MATCH($A962,'Energy Use Data'!$A$27:$A$41,0))+IF($A962="Chemicals",SUM('Other Country-Specific Data'!$C$3:$C$6),0))/SUM('Energy Use Data'!$J$27:$J$41,'Other Country-Specific Data'!$C$3:$C$6)</f>
        <v>2.2883800366919477E-2</v>
      </c>
      <c r="D962" s="50">
        <f>(INDEX('Energy Use Data'!$J$45:$J$59,MATCH($A962,'Energy Use Data'!$A$45:$A$59,0))+IF($A962="Chemicals",SUM('Other Country-Specific Data'!$D$3:$D$6),0))/SUM('Energy Use Data'!$J$45:$J$59,'Other Country-Specific Data'!$D$3:$D$6)</f>
        <v>4.5261516270280518E-3</v>
      </c>
      <c r="E962" s="49"/>
    </row>
    <row r="963" spans="1:5">
      <c r="A963" t="s">
        <v>69</v>
      </c>
      <c r="B963" s="50">
        <f>(INDEX('Energy Use Data'!$J$9:$J$23,MATCH($A963,'Energy Use Data'!$A$9:$A$23,0))+IF($A963="Chemicals",SUM('Other Country-Specific Data'!$B$3:$B$6),0))/SUM('Energy Use Data'!$J$9:$J$23,'Other Country-Specific Data'!$B$3:$B$6)</f>
        <v>1.0180556553940351E-2</v>
      </c>
      <c r="C963" s="50">
        <f>(INDEX('Energy Use Data'!$J$27:$J$41,MATCH($A963,'Energy Use Data'!$A$27:$A$41,0))+IF($A963="Chemicals",SUM('Other Country-Specific Data'!$C$3:$C$6),0))/SUM('Energy Use Data'!$J$27:$J$41,'Other Country-Specific Data'!$C$3:$C$6)</f>
        <v>3.3537114361629899E-2</v>
      </c>
      <c r="D963" s="50">
        <f>(INDEX('Energy Use Data'!$J$45:$J$59,MATCH($A963,'Energy Use Data'!$A$45:$A$59,0))+IF($A963="Chemicals",SUM('Other Country-Specific Data'!$D$3:$D$6),0))/SUM('Energy Use Data'!$J$45:$J$59,'Other Country-Specific Data'!$D$3:$D$6)</f>
        <v>6.1969381419622769E-3</v>
      </c>
      <c r="E963" s="49"/>
    </row>
    <row r="964" spans="1:5">
      <c r="A964" t="s">
        <v>65</v>
      </c>
      <c r="B964" s="50">
        <f>(INDEX('Energy Use Data'!$J$9:$J$23,MATCH($A964,'Energy Use Data'!$A$9:$A$23,0))+IF($A964="Chemicals",SUM('Other Country-Specific Data'!$B$3:$B$6),0))/SUM('Energy Use Data'!$J$9:$J$23,'Other Country-Specific Data'!$B$3:$B$6)</f>
        <v>2.6939433921206539E-3</v>
      </c>
      <c r="C964" s="50">
        <f>(INDEX('Energy Use Data'!$J$27:$J$41,MATCH($A964,'Energy Use Data'!$A$27:$A$41,0))+IF($A964="Chemicals",SUM('Other Country-Specific Data'!$C$3:$C$6),0))/SUM('Energy Use Data'!$J$27:$J$41,'Other Country-Specific Data'!$C$3:$C$6)</f>
        <v>9.9072902315581694E-3</v>
      </c>
      <c r="D964" s="50">
        <f>(INDEX('Energy Use Data'!$J$45:$J$59,MATCH($A964,'Energy Use Data'!$A$45:$A$59,0))+IF($A964="Chemicals",SUM('Other Country-Specific Data'!$D$3:$D$6),0))/SUM('Energy Use Data'!$J$45:$J$59,'Other Country-Specific Data'!$D$3:$D$6)</f>
        <v>5.8981884095364791E-2</v>
      </c>
      <c r="E964" s="49"/>
    </row>
    <row r="965" spans="1:5">
      <c r="A965" t="s">
        <v>77</v>
      </c>
      <c r="B965" s="50">
        <f>(INDEX('Energy Use Data'!$J$9:$J$23,MATCH($A965,'Energy Use Data'!$A$9:$A$23,0))+IF($A965="Chemicals",SUM('Other Country-Specific Data'!$B$3:$B$6),0))/SUM('Energy Use Data'!$J$9:$J$23,'Other Country-Specific Data'!$B$3:$B$6)</f>
        <v>5.0585968635407565E-3</v>
      </c>
      <c r="C965" s="50">
        <f>(INDEX('Energy Use Data'!$J$27:$J$41,MATCH($A965,'Energy Use Data'!$A$27:$A$41,0))+IF($A965="Chemicals",SUM('Other Country-Specific Data'!$C$3:$C$6),0))/SUM('Energy Use Data'!$J$27:$J$41,'Other Country-Specific Data'!$C$3:$C$6)</f>
        <v>2.0742474664231492E-3</v>
      </c>
      <c r="D965" s="50">
        <f>(INDEX('Energy Use Data'!$J$45:$J$59,MATCH($A965,'Energy Use Data'!$A$45:$A$59,0))+IF($A965="Chemicals",SUM('Other Country-Specific Data'!$D$3:$D$6),0))/SUM('Energy Use Data'!$J$45:$J$59,'Other Country-Specific Data'!$D$3:$D$6)</f>
        <v>5.0193952284094748E-2</v>
      </c>
      <c r="E965" s="49"/>
    </row>
  </sheetData>
  <sortState xmlns:xlrd2="http://schemas.microsoft.com/office/spreadsheetml/2017/richdata2" ref="A310:K324">
    <sortCondition ref="K310:K324"/>
  </sortState>
  <mergeCells count="1">
    <mergeCell ref="H8:I8"/>
  </mergeCells>
  <phoneticPr fontId="52" type="noConversion"/>
  <dataValidations count="8">
    <dataValidation type="list" allowBlank="1" showInputMessage="1" showErrorMessage="1" sqref="B1" xr:uid="{1086585D-DFD7-4BA2-BDB0-7DFA7ED1C09A}">
      <formula1>"China,Indonesia,Vietnam,United States"</formula1>
    </dataValidation>
    <dataValidation type="list" allowBlank="1" showInputMessage="1" showErrorMessage="1" sqref="H2:H4" xr:uid="{5AB15B28-8EEC-465A-8106-659AF8E81868}">
      <formula1>"+40%,+20%,+0%,-20%,-40%"</formula1>
    </dataValidation>
    <dataValidation type="list" allowBlank="1" showInputMessage="1" showErrorMessage="1" sqref="H5:H6" xr:uid="{CC93C914-00CA-4F28-B6D0-732FE9884080}">
      <formula1>"11%,9%,7%,5%,3%"</formula1>
    </dataValidation>
    <dataValidation type="list" allowBlank="1" showInputMessage="1" showErrorMessage="1" sqref="B3" xr:uid="{BE961D53-AC08-4248-AC72-00CC0C38175E}">
      <formula1>"2050,2045,2040,2035,2030,2025,2022"</formula1>
    </dataValidation>
    <dataValidation type="list" allowBlank="1" showInputMessage="1" showErrorMessage="1" sqref="B5:B6" xr:uid="{A1958DC0-DE20-407F-B41B-D486CF7989F3}">
      <formula1>"0%,10%,20%,30%,40%,50%,60%,70%,80%,90%,100%"</formula1>
    </dataValidation>
    <dataValidation type="list" allowBlank="1" showInputMessage="1" showErrorMessage="1" sqref="B8" xr:uid="{17297768-ECD9-4D06-A7E0-79D158561A1C}">
      <formula1>"0,25,50,75,100,125,150,175,200,225,250"</formula1>
    </dataValidation>
    <dataValidation type="list" allowBlank="1" showInputMessage="1" showErrorMessage="1" sqref="B11" xr:uid="{036B429D-6921-425F-ABC9-FB99C6881422}">
      <formula1>"TRUE,FALSE"</formula1>
    </dataValidation>
    <dataValidation type="list" allowBlank="1" showInputMessage="1" showErrorMessage="1" sqref="H8:I8" xr:uid="{957503B4-4277-404D-9B92-BDE47D9D60E3}">
      <formula1>"Present Day,Low Improvement,High Improvement"</formula1>
    </dataValidation>
  </dataValidations>
  <pageMargins left="0.7" right="0.7" top="0.75" bottom="0.75" header="0.3" footer="0.3"/>
  <pageSetup orientation="portrait" horizontalDpi="0" verticalDpi="0" r:id="rId1"/>
  <headerFooter>
    <oddFooter>&amp;R_x000D_&amp;1#&amp;"Aptos"&amp;10&amp;K000000 Official Use Only</oddFooter>
  </headerFooter>
  <ignoredErrors>
    <ignoredError sqref="H2:H5" numberStoredAsText="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0BAD-7924-4A65-9FDF-A35F68A4B700}">
  <dimension ref="A1:N149"/>
  <sheetViews>
    <sheetView zoomScale="85" zoomScaleNormal="85" workbookViewId="0">
      <selection activeCell="B28" sqref="B28"/>
    </sheetView>
  </sheetViews>
  <sheetFormatPr defaultRowHeight="15"/>
  <cols>
    <col min="1" max="1" width="39.5703125" customWidth="1"/>
    <col min="2" max="2" width="25.5703125" customWidth="1"/>
    <col min="3" max="3" width="24" customWidth="1"/>
    <col min="4" max="4" width="21" customWidth="1"/>
    <col min="5" max="5" width="29.7109375" customWidth="1"/>
    <col min="6" max="6" width="35.28515625" customWidth="1"/>
    <col min="7" max="7" width="51" customWidth="1"/>
    <col min="8" max="9" width="13" customWidth="1"/>
    <col min="10" max="10" width="19.5703125" customWidth="1"/>
    <col min="11" max="13" width="13" customWidth="1"/>
  </cols>
  <sheetData>
    <row r="1" spans="1:10">
      <c r="A1" s="23" t="s">
        <v>1206</v>
      </c>
    </row>
    <row r="2" spans="1:10">
      <c r="A2" s="23" t="s">
        <v>163</v>
      </c>
      <c r="B2" s="23" t="s">
        <v>142</v>
      </c>
    </row>
    <row r="3" spans="1:10">
      <c r="A3" s="23" t="s">
        <v>1207</v>
      </c>
      <c r="B3" s="23" t="s">
        <v>1279</v>
      </c>
    </row>
    <row r="4" spans="1:10" ht="15.75">
      <c r="A4" s="575"/>
    </row>
    <row r="5" spans="1:10" ht="18">
      <c r="A5" t="s">
        <v>1280</v>
      </c>
      <c r="B5" t="s">
        <v>1426</v>
      </c>
      <c r="C5">
        <v>1.2</v>
      </c>
      <c r="D5" t="s">
        <v>1282</v>
      </c>
    </row>
    <row r="6" spans="1:10">
      <c r="A6" t="s">
        <v>1283</v>
      </c>
      <c r="B6" t="s">
        <v>1427</v>
      </c>
      <c r="C6" s="46">
        <v>0.5</v>
      </c>
      <c r="D6" t="s">
        <v>1428</v>
      </c>
    </row>
    <row r="7" spans="1:10">
      <c r="A7" t="s">
        <v>1286</v>
      </c>
      <c r="B7" t="s">
        <v>1429</v>
      </c>
      <c r="C7" s="46">
        <v>0.6</v>
      </c>
      <c r="D7" t="s">
        <v>614</v>
      </c>
    </row>
    <row r="8" spans="1:10">
      <c r="B8" t="s">
        <v>1430</v>
      </c>
      <c r="C8" s="46">
        <v>0.75</v>
      </c>
      <c r="D8" t="s">
        <v>614</v>
      </c>
    </row>
    <row r="9" spans="1:10" ht="15.75">
      <c r="A9" s="575"/>
      <c r="B9" t="s">
        <v>1287</v>
      </c>
      <c r="C9" s="576">
        <v>25</v>
      </c>
      <c r="D9" t="s">
        <v>1134</v>
      </c>
    </row>
    <row r="11" spans="1:10">
      <c r="A11" s="23" t="s">
        <v>1288</v>
      </c>
      <c r="B11" s="23" t="s">
        <v>595</v>
      </c>
      <c r="C11" s="23" t="s">
        <v>116</v>
      </c>
      <c r="D11" s="23" t="s">
        <v>1289</v>
      </c>
      <c r="E11" s="23" t="s">
        <v>612</v>
      </c>
    </row>
    <row r="12" spans="1:10">
      <c r="A12">
        <v>2022</v>
      </c>
      <c r="B12" s="577">
        <v>14.4</v>
      </c>
      <c r="C12" t="s">
        <v>1290</v>
      </c>
      <c r="D12" t="s">
        <v>1291</v>
      </c>
      <c r="E12" t="s">
        <v>1431</v>
      </c>
      <c r="F12" s="499"/>
      <c r="I12" s="498"/>
    </row>
    <row r="13" spans="1:10">
      <c r="A13">
        <v>2030</v>
      </c>
      <c r="B13" s="577">
        <f>731/H17</f>
        <v>57.754872190208779</v>
      </c>
      <c r="C13" t="s">
        <v>1290</v>
      </c>
      <c r="D13" t="s">
        <v>1432</v>
      </c>
      <c r="G13" s="50"/>
    </row>
    <row r="14" spans="1:10">
      <c r="A14">
        <v>2060</v>
      </c>
      <c r="B14" s="577">
        <f>B13</f>
        <v>57.754872190208779</v>
      </c>
      <c r="C14" t="s">
        <v>1290</v>
      </c>
      <c r="D14" t="s">
        <v>1433</v>
      </c>
      <c r="G14" s="50"/>
    </row>
    <row r="15" spans="1:10">
      <c r="G15" s="50"/>
    </row>
    <row r="16" spans="1:10">
      <c r="B16" s="578" t="s">
        <v>1293</v>
      </c>
      <c r="C16" s="23" t="s">
        <v>1294</v>
      </c>
      <c r="D16" s="23" t="s">
        <v>116</v>
      </c>
      <c r="E16" t="s">
        <v>505</v>
      </c>
      <c r="G16" s="1225"/>
      <c r="H16" s="23">
        <v>2022</v>
      </c>
      <c r="I16" s="23">
        <v>2030</v>
      </c>
      <c r="J16" s="23">
        <v>2060</v>
      </c>
    </row>
    <row r="17" spans="1:11">
      <c r="A17" s="23" t="s">
        <v>1295</v>
      </c>
      <c r="B17" s="731">
        <v>0.5</v>
      </c>
      <c r="C17" s="731">
        <v>0.5</v>
      </c>
      <c r="D17" t="s">
        <v>1296</v>
      </c>
      <c r="E17" t="s">
        <v>1297</v>
      </c>
      <c r="G17" s="1081" t="s">
        <v>1299</v>
      </c>
      <c r="H17" s="577">
        <v>12.656940830767294</v>
      </c>
      <c r="I17" s="577">
        <v>10.346058628765261</v>
      </c>
      <c r="J17" s="577">
        <v>5.6800756385733422</v>
      </c>
      <c r="K17" t="s">
        <v>1300</v>
      </c>
    </row>
    <row r="18" spans="1:11">
      <c r="G18" t="s">
        <v>1301</v>
      </c>
      <c r="H18" s="577">
        <f>B12</f>
        <v>14.4</v>
      </c>
      <c r="I18" s="577">
        <f>B13</f>
        <v>57.754872190208779</v>
      </c>
      <c r="J18" s="577">
        <f>B14</f>
        <v>57.754872190208779</v>
      </c>
      <c r="K18" t="s">
        <v>1290</v>
      </c>
    </row>
    <row r="19" spans="1:11">
      <c r="A19" s="23" t="s">
        <v>1298</v>
      </c>
      <c r="B19" s="23">
        <v>2022</v>
      </c>
      <c r="C19" s="23">
        <v>2030</v>
      </c>
      <c r="D19" s="23">
        <v>2060</v>
      </c>
      <c r="E19" s="23" t="s">
        <v>1289</v>
      </c>
      <c r="G19" t="s">
        <v>1304</v>
      </c>
      <c r="H19" s="577">
        <f>H18*H17</f>
        <v>182.25994796304903</v>
      </c>
      <c r="I19" s="577">
        <f t="shared" ref="I19:J19" si="0">I18*I17</f>
        <v>597.53529377674442</v>
      </c>
      <c r="J19" s="577">
        <f t="shared" si="0"/>
        <v>328.05204253652187</v>
      </c>
      <c r="K19" t="s">
        <v>701</v>
      </c>
    </row>
    <row r="20" spans="1:11">
      <c r="A20" t="s">
        <v>1302</v>
      </c>
      <c r="B20" s="50">
        <v>0.38</v>
      </c>
      <c r="C20" s="50">
        <v>0.25</v>
      </c>
      <c r="D20" s="50">
        <v>0</v>
      </c>
      <c r="E20" t="s">
        <v>1434</v>
      </c>
      <c r="G20" s="50"/>
    </row>
    <row r="21" spans="1:11">
      <c r="A21" t="s">
        <v>1305</v>
      </c>
      <c r="B21" s="50"/>
      <c r="C21" s="50">
        <v>0.04</v>
      </c>
      <c r="D21" s="50">
        <v>0</v>
      </c>
      <c r="E21" t="s">
        <v>1434</v>
      </c>
      <c r="G21" s="50"/>
    </row>
    <row r="22" spans="1:11">
      <c r="A22" t="s">
        <v>1306</v>
      </c>
      <c r="B22" s="50">
        <v>0.45</v>
      </c>
      <c r="C22" s="50">
        <v>0.51</v>
      </c>
      <c r="D22" s="50">
        <v>0.7</v>
      </c>
      <c r="E22" t="s">
        <v>1434</v>
      </c>
      <c r="F22" s="50"/>
      <c r="G22" s="50"/>
    </row>
    <row r="23" spans="1:11">
      <c r="A23" t="s">
        <v>1342</v>
      </c>
      <c r="B23" s="46">
        <v>0.17</v>
      </c>
      <c r="C23" s="50">
        <v>0.15</v>
      </c>
      <c r="D23" s="50">
        <v>0</v>
      </c>
      <c r="E23" t="s">
        <v>1434</v>
      </c>
      <c r="F23" s="50"/>
      <c r="G23" s="50"/>
    </row>
    <row r="24" spans="1:11">
      <c r="A24" t="s">
        <v>1308</v>
      </c>
      <c r="C24" s="50">
        <v>0.05</v>
      </c>
      <c r="D24" s="50">
        <v>0.2</v>
      </c>
      <c r="E24" t="s">
        <v>1434</v>
      </c>
    </row>
    <row r="25" spans="1:11">
      <c r="A25" t="s">
        <v>1435</v>
      </c>
      <c r="C25" s="50"/>
      <c r="D25" s="50">
        <v>0.1</v>
      </c>
      <c r="E25" t="s">
        <v>1434</v>
      </c>
    </row>
    <row r="26" spans="1:11">
      <c r="A26" s="58" t="s">
        <v>1310</v>
      </c>
      <c r="B26" s="579">
        <f>SUM(B20:B25)</f>
        <v>1</v>
      </c>
      <c r="C26" s="579">
        <f>SUM(C20:C25)</f>
        <v>1</v>
      </c>
      <c r="D26" s="579">
        <f>SUM(D20:D25)</f>
        <v>0.99999999999999989</v>
      </c>
    </row>
    <row r="27" spans="1:11">
      <c r="C27" s="50"/>
      <c r="D27" s="50"/>
    </row>
    <row r="29" spans="1:11">
      <c r="A29" s="23" t="s">
        <v>1311</v>
      </c>
      <c r="B29" s="23">
        <v>2022</v>
      </c>
      <c r="C29" s="23">
        <v>2030</v>
      </c>
      <c r="D29" s="23">
        <v>2060</v>
      </c>
      <c r="E29" s="23" t="s">
        <v>116</v>
      </c>
      <c r="F29" s="23" t="s">
        <v>1289</v>
      </c>
    </row>
    <row r="30" spans="1:11">
      <c r="A30" t="s">
        <v>1302</v>
      </c>
      <c r="B30" s="577">
        <f>B12*B20</f>
        <v>5.4720000000000004</v>
      </c>
      <c r="C30" s="577">
        <f>$B$13*C20</f>
        <v>14.438718047552195</v>
      </c>
      <c r="D30" s="577">
        <f t="shared" ref="D30:D35" si="1">$B$14*D20</f>
        <v>0</v>
      </c>
      <c r="E30" t="s">
        <v>1290</v>
      </c>
      <c r="F30" t="s">
        <v>1303</v>
      </c>
    </row>
    <row r="31" spans="1:11">
      <c r="A31" t="s">
        <v>1305</v>
      </c>
      <c r="B31" s="577"/>
      <c r="C31" s="577">
        <f t="shared" ref="C31:C35" si="2">$B$13*C21</f>
        <v>2.3101948876083513</v>
      </c>
      <c r="D31" s="577">
        <f t="shared" si="1"/>
        <v>0</v>
      </c>
      <c r="E31" t="s">
        <v>1290</v>
      </c>
      <c r="F31" t="s">
        <v>1303</v>
      </c>
    </row>
    <row r="32" spans="1:11">
      <c r="A32" t="s">
        <v>1306</v>
      </c>
      <c r="B32" s="577">
        <f>B12*B22</f>
        <v>6.48</v>
      </c>
      <c r="C32" s="577">
        <f t="shared" si="2"/>
        <v>29.454984817006476</v>
      </c>
      <c r="D32" s="577">
        <f t="shared" si="1"/>
        <v>40.428410533146142</v>
      </c>
      <c r="E32" t="s">
        <v>1290</v>
      </c>
      <c r="F32" t="s">
        <v>1303</v>
      </c>
    </row>
    <row r="33" spans="1:7">
      <c r="A33" t="s">
        <v>1342</v>
      </c>
      <c r="B33" s="577">
        <f>B12*B23</f>
        <v>2.4480000000000004</v>
      </c>
      <c r="C33" s="577">
        <f t="shared" si="2"/>
        <v>8.6632308285313169</v>
      </c>
      <c r="D33" s="577">
        <f t="shared" si="1"/>
        <v>0</v>
      </c>
      <c r="E33" t="s">
        <v>1290</v>
      </c>
      <c r="F33" t="s">
        <v>1303</v>
      </c>
    </row>
    <row r="34" spans="1:7">
      <c r="A34" t="s">
        <v>1308</v>
      </c>
      <c r="B34" s="577"/>
      <c r="C34" s="577">
        <f t="shared" si="2"/>
        <v>2.887743609510439</v>
      </c>
      <c r="D34" s="577">
        <f t="shared" si="1"/>
        <v>11.550974438041756</v>
      </c>
      <c r="E34" t="s">
        <v>1290</v>
      </c>
      <c r="F34" t="s">
        <v>1303</v>
      </c>
    </row>
    <row r="35" spans="1:7">
      <c r="A35" t="s">
        <v>1435</v>
      </c>
      <c r="B35" s="577"/>
      <c r="C35" s="577">
        <f t="shared" si="2"/>
        <v>0</v>
      </c>
      <c r="D35" s="577">
        <f t="shared" si="1"/>
        <v>5.7754872190208779</v>
      </c>
      <c r="E35" t="s">
        <v>1290</v>
      </c>
      <c r="F35" t="s">
        <v>1303</v>
      </c>
    </row>
    <row r="36" spans="1:7">
      <c r="A36" s="58" t="s">
        <v>1312</v>
      </c>
      <c r="B36" s="580">
        <f>SUM(B30:B35)</f>
        <v>14.400000000000002</v>
      </c>
      <c r="C36" s="580">
        <f>SUM(C30:C35)</f>
        <v>57.754872190208779</v>
      </c>
      <c r="D36" s="580">
        <f>SUM(D30:D35)</f>
        <v>57.754872190208772</v>
      </c>
      <c r="E36" t="s">
        <v>1290</v>
      </c>
    </row>
    <row r="37" spans="1:7">
      <c r="B37" s="577"/>
      <c r="C37" s="577"/>
      <c r="D37" s="577"/>
    </row>
    <row r="38" spans="1:7">
      <c r="A38" s="700" t="s">
        <v>1313</v>
      </c>
      <c r="B38" s="693">
        <v>2022</v>
      </c>
      <c r="C38" s="693">
        <v>2030</v>
      </c>
      <c r="D38" s="693">
        <v>2060</v>
      </c>
      <c r="E38" s="693" t="s">
        <v>116</v>
      </c>
      <c r="F38" s="693" t="s">
        <v>1289</v>
      </c>
      <c r="G38" s="727" t="s">
        <v>505</v>
      </c>
    </row>
    <row r="39" spans="1:7" ht="45">
      <c r="A39" s="22" t="s">
        <v>1302</v>
      </c>
      <c r="B39" s="600">
        <f>B30/$C$6</f>
        <v>10.944000000000001</v>
      </c>
      <c r="C39" s="600">
        <f>C30/$C$7</f>
        <v>24.064530079253657</v>
      </c>
      <c r="D39" s="591">
        <f t="shared" ref="D39:D45" si="3">D30/$C$8</f>
        <v>0</v>
      </c>
      <c r="E39" t="s">
        <v>1314</v>
      </c>
      <c r="G39" s="730" t="s">
        <v>1436</v>
      </c>
    </row>
    <row r="40" spans="1:7">
      <c r="A40" s="22" t="s">
        <v>1305</v>
      </c>
      <c r="B40" s="600">
        <f t="shared" ref="B40:B45" si="4">B31/$C$6</f>
        <v>0</v>
      </c>
      <c r="C40" s="600">
        <f t="shared" ref="C40:C45" si="5">C31/$C$7</f>
        <v>3.8503248126805856</v>
      </c>
      <c r="D40" s="591">
        <f t="shared" si="3"/>
        <v>0</v>
      </c>
      <c r="E40" t="s">
        <v>1314</v>
      </c>
      <c r="G40" s="595"/>
    </row>
    <row r="41" spans="1:7">
      <c r="A41" s="22" t="s">
        <v>1306</v>
      </c>
      <c r="B41" s="600">
        <f t="shared" si="4"/>
        <v>12.96</v>
      </c>
      <c r="C41" s="600">
        <f>C32/$C$7</f>
        <v>49.091641361677461</v>
      </c>
      <c r="D41" s="591">
        <f t="shared" si="3"/>
        <v>53.904547377528189</v>
      </c>
      <c r="E41" t="s">
        <v>1314</v>
      </c>
      <c r="G41" s="595"/>
    </row>
    <row r="42" spans="1:7">
      <c r="A42" t="s">
        <v>1342</v>
      </c>
      <c r="B42" s="600">
        <f t="shared" si="4"/>
        <v>4.8960000000000008</v>
      </c>
      <c r="C42" s="600">
        <f t="shared" si="5"/>
        <v>14.438718047552195</v>
      </c>
      <c r="D42" s="591">
        <f t="shared" si="3"/>
        <v>0</v>
      </c>
      <c r="E42" t="s">
        <v>1314</v>
      </c>
      <c r="G42" s="595"/>
    </row>
    <row r="43" spans="1:7">
      <c r="A43" s="22" t="s">
        <v>1308</v>
      </c>
      <c r="B43" s="600">
        <f t="shared" si="4"/>
        <v>0</v>
      </c>
      <c r="C43" s="600">
        <f t="shared" si="5"/>
        <v>4.8129060158507322</v>
      </c>
      <c r="D43" s="591">
        <f t="shared" si="3"/>
        <v>15.401299250722341</v>
      </c>
      <c r="E43" t="s">
        <v>1314</v>
      </c>
      <c r="G43" s="595"/>
    </row>
    <row r="44" spans="1:7">
      <c r="A44" s="22" t="s">
        <v>1435</v>
      </c>
      <c r="B44" s="600">
        <f t="shared" si="4"/>
        <v>0</v>
      </c>
      <c r="C44" s="600">
        <f t="shared" si="5"/>
        <v>0</v>
      </c>
      <c r="D44" s="591">
        <f t="shared" si="3"/>
        <v>7.7006496253611703</v>
      </c>
      <c r="E44" t="s">
        <v>1314</v>
      </c>
      <c r="G44" s="595"/>
    </row>
    <row r="45" spans="1:7">
      <c r="A45" s="729" t="s">
        <v>1316</v>
      </c>
      <c r="B45" s="1228">
        <f t="shared" si="4"/>
        <v>28.800000000000004</v>
      </c>
      <c r="C45" s="1228">
        <f t="shared" si="5"/>
        <v>96.25812031701463</v>
      </c>
      <c r="D45" s="1226">
        <f t="shared" si="3"/>
        <v>77.006496253611701</v>
      </c>
      <c r="E45" s="523" t="s">
        <v>1314</v>
      </c>
      <c r="F45" s="523"/>
      <c r="G45" s="605"/>
    </row>
    <row r="46" spans="1:7">
      <c r="B46" s="577"/>
      <c r="C46" s="577"/>
      <c r="D46" s="577"/>
    </row>
    <row r="47" spans="1:7">
      <c r="A47" s="52" t="s">
        <v>1317</v>
      </c>
      <c r="B47" s="52"/>
      <c r="C47" s="52"/>
      <c r="D47" s="52"/>
    </row>
    <row r="48" spans="1:7">
      <c r="A48" s="23" t="s">
        <v>1318</v>
      </c>
      <c r="B48" s="23" t="s">
        <v>1319</v>
      </c>
      <c r="C48" s="23">
        <v>2030</v>
      </c>
      <c r="D48" s="23">
        <v>2060</v>
      </c>
      <c r="E48" s="23" t="s">
        <v>116</v>
      </c>
      <c r="F48" s="23" t="s">
        <v>1320</v>
      </c>
      <c r="G48" s="23" t="s">
        <v>505</v>
      </c>
    </row>
    <row r="49" spans="1:7">
      <c r="A49" t="s">
        <v>1321</v>
      </c>
      <c r="C49" s="724">
        <v>0</v>
      </c>
      <c r="D49" s="724">
        <v>0</v>
      </c>
      <c r="E49" t="s">
        <v>1322</v>
      </c>
      <c r="F49" t="s">
        <v>1323</v>
      </c>
      <c r="G49" t="s">
        <v>1324</v>
      </c>
    </row>
    <row r="50" spans="1:7">
      <c r="A50" t="s">
        <v>1325</v>
      </c>
      <c r="B50" t="s">
        <v>1326</v>
      </c>
      <c r="C50" s="537">
        <v>205</v>
      </c>
      <c r="D50" s="537">
        <v>205</v>
      </c>
      <c r="E50" t="s">
        <v>1322</v>
      </c>
      <c r="F50" t="s">
        <v>1327</v>
      </c>
      <c r="G50" s="1139" t="s">
        <v>1328</v>
      </c>
    </row>
    <row r="51" spans="1:7">
      <c r="A51" t="s">
        <v>1329</v>
      </c>
      <c r="B51" t="s">
        <v>1326</v>
      </c>
      <c r="C51" s="537">
        <v>377</v>
      </c>
      <c r="D51" s="537">
        <v>377</v>
      </c>
      <c r="E51" t="s">
        <v>1322</v>
      </c>
      <c r="F51" t="s">
        <v>1327</v>
      </c>
      <c r="G51" s="1139"/>
    </row>
    <row r="52" spans="1:7">
      <c r="A52" t="s">
        <v>1330</v>
      </c>
      <c r="B52" t="s">
        <v>1326</v>
      </c>
      <c r="C52" s="537">
        <v>172</v>
      </c>
      <c r="D52" s="537">
        <v>172</v>
      </c>
      <c r="E52" t="s">
        <v>1322</v>
      </c>
      <c r="F52" t="s">
        <v>1327</v>
      </c>
      <c r="G52" s="1139"/>
    </row>
    <row r="53" spans="1:7">
      <c r="A53" t="s">
        <v>1306</v>
      </c>
      <c r="B53" t="s">
        <v>1331</v>
      </c>
      <c r="C53" s="537">
        <v>221</v>
      </c>
      <c r="D53" s="537">
        <v>221</v>
      </c>
      <c r="E53" t="s">
        <v>1322</v>
      </c>
      <c r="F53" t="s">
        <v>1327</v>
      </c>
      <c r="G53" s="1139"/>
    </row>
    <row r="54" spans="1:7">
      <c r="A54" t="s">
        <v>1306</v>
      </c>
      <c r="B54" t="s">
        <v>1326</v>
      </c>
      <c r="C54" s="537">
        <v>132</v>
      </c>
      <c r="D54" s="537">
        <v>132</v>
      </c>
      <c r="E54" t="s">
        <v>1322</v>
      </c>
      <c r="F54" t="s">
        <v>1327</v>
      </c>
      <c r="G54" s="1139"/>
    </row>
    <row r="55" spans="1:7">
      <c r="A55" t="s">
        <v>1342</v>
      </c>
      <c r="B55" t="s">
        <v>1331</v>
      </c>
      <c r="C55" s="537">
        <v>734</v>
      </c>
      <c r="D55" s="537">
        <v>734</v>
      </c>
      <c r="E55" t="s">
        <v>1322</v>
      </c>
      <c r="F55" t="s">
        <v>1327</v>
      </c>
      <c r="G55" s="1139"/>
    </row>
    <row r="56" spans="1:7">
      <c r="A56" t="s">
        <v>1435</v>
      </c>
      <c r="B56" t="s">
        <v>1332</v>
      </c>
      <c r="C56" s="537">
        <v>152</v>
      </c>
      <c r="D56" s="537">
        <v>152</v>
      </c>
      <c r="E56" t="s">
        <v>1322</v>
      </c>
      <c r="F56" t="s">
        <v>1327</v>
      </c>
      <c r="G56" s="1139"/>
    </row>
    <row r="57" spans="1:7">
      <c r="A57" t="s">
        <v>1333</v>
      </c>
      <c r="B57" t="s">
        <v>1331</v>
      </c>
      <c r="C57" s="537">
        <f>C55</f>
        <v>734</v>
      </c>
      <c r="D57" s="537">
        <f>D55</f>
        <v>734</v>
      </c>
      <c r="E57" t="s">
        <v>1322</v>
      </c>
      <c r="F57" t="s">
        <v>1327</v>
      </c>
      <c r="G57" s="1139"/>
    </row>
    <row r="58" spans="1:7">
      <c r="C58" s="537"/>
      <c r="D58" s="537"/>
    </row>
    <row r="59" spans="1:7">
      <c r="A59" t="s">
        <v>1321</v>
      </c>
      <c r="C59" s="724">
        <v>0</v>
      </c>
      <c r="D59" s="724">
        <v>0</v>
      </c>
      <c r="E59" t="s">
        <v>1334</v>
      </c>
      <c r="F59" t="s">
        <v>1323</v>
      </c>
      <c r="G59" t="s">
        <v>1324</v>
      </c>
    </row>
    <row r="60" spans="1:7">
      <c r="A60" t="s">
        <v>1325</v>
      </c>
      <c r="B60" t="s">
        <v>1326</v>
      </c>
      <c r="C60" s="725">
        <f>C50/$C$7</f>
        <v>341.66666666666669</v>
      </c>
      <c r="D60" s="725">
        <f>D50/$C$8</f>
        <v>273.33333333333331</v>
      </c>
      <c r="E60" t="s">
        <v>1334</v>
      </c>
      <c r="F60" t="s">
        <v>1335</v>
      </c>
    </row>
    <row r="61" spans="1:7">
      <c r="A61" t="s">
        <v>1329</v>
      </c>
      <c r="B61" t="s">
        <v>1326</v>
      </c>
      <c r="C61" s="725">
        <f>C51/$C$7</f>
        <v>628.33333333333337</v>
      </c>
      <c r="D61" s="725">
        <f t="shared" ref="D61:D67" si="6">D51/$C$8</f>
        <v>502.66666666666669</v>
      </c>
      <c r="E61" t="s">
        <v>1334</v>
      </c>
      <c r="F61" t="s">
        <v>1335</v>
      </c>
    </row>
    <row r="62" spans="1:7">
      <c r="A62" t="s">
        <v>1330</v>
      </c>
      <c r="B62" t="s">
        <v>1326</v>
      </c>
      <c r="C62" s="725">
        <f t="shared" ref="C62:C67" si="7">C52/$C$7</f>
        <v>286.66666666666669</v>
      </c>
      <c r="D62" s="725">
        <f t="shared" si="6"/>
        <v>229.33333333333334</v>
      </c>
      <c r="E62" t="s">
        <v>1334</v>
      </c>
      <c r="F62" t="s">
        <v>1335</v>
      </c>
    </row>
    <row r="63" spans="1:7">
      <c r="A63" t="s">
        <v>1306</v>
      </c>
      <c r="B63" t="s">
        <v>1331</v>
      </c>
      <c r="C63" s="725">
        <f t="shared" si="7"/>
        <v>368.33333333333337</v>
      </c>
      <c r="D63" s="725">
        <f t="shared" si="6"/>
        <v>294.66666666666669</v>
      </c>
      <c r="E63" t="s">
        <v>1334</v>
      </c>
      <c r="F63" t="s">
        <v>1335</v>
      </c>
    </row>
    <row r="64" spans="1:7">
      <c r="A64" t="s">
        <v>1306</v>
      </c>
      <c r="B64" t="s">
        <v>1326</v>
      </c>
      <c r="C64" s="725">
        <f t="shared" si="7"/>
        <v>220</v>
      </c>
      <c r="D64" s="725">
        <f t="shared" si="6"/>
        <v>176</v>
      </c>
      <c r="E64" t="s">
        <v>1334</v>
      </c>
      <c r="F64" t="s">
        <v>1335</v>
      </c>
    </row>
    <row r="65" spans="1:7">
      <c r="A65" t="s">
        <v>1342</v>
      </c>
      <c r="B65" t="s">
        <v>1331</v>
      </c>
      <c r="C65" s="725">
        <f>C55/$C$7</f>
        <v>1223.3333333333335</v>
      </c>
      <c r="D65" s="725">
        <f t="shared" si="6"/>
        <v>978.66666666666663</v>
      </c>
      <c r="E65" t="s">
        <v>1334</v>
      </c>
      <c r="F65" t="s">
        <v>1335</v>
      </c>
    </row>
    <row r="66" spans="1:7">
      <c r="A66" t="s">
        <v>1435</v>
      </c>
      <c r="B66" t="s">
        <v>1332</v>
      </c>
      <c r="C66" s="725">
        <f t="shared" si="7"/>
        <v>253.33333333333334</v>
      </c>
      <c r="D66" s="725">
        <f t="shared" si="6"/>
        <v>202.66666666666666</v>
      </c>
      <c r="E66" t="s">
        <v>1334</v>
      </c>
      <c r="F66" t="s">
        <v>1335</v>
      </c>
    </row>
    <row r="67" spans="1:7">
      <c r="A67" t="s">
        <v>1333</v>
      </c>
      <c r="B67" t="s">
        <v>1331</v>
      </c>
      <c r="C67" s="725">
        <f t="shared" si="7"/>
        <v>1223.3333333333335</v>
      </c>
      <c r="D67" s="725">
        <f t="shared" si="6"/>
        <v>978.66666666666663</v>
      </c>
      <c r="E67" t="s">
        <v>1334</v>
      </c>
      <c r="F67" t="s">
        <v>1335</v>
      </c>
    </row>
    <row r="69" spans="1:7">
      <c r="A69" s="23" t="s">
        <v>1336</v>
      </c>
      <c r="B69" s="23" t="s">
        <v>1319</v>
      </c>
      <c r="C69" s="23"/>
      <c r="D69" s="23" t="s">
        <v>1337</v>
      </c>
      <c r="E69" s="23" t="s">
        <v>116</v>
      </c>
      <c r="F69" s="23" t="s">
        <v>612</v>
      </c>
    </row>
    <row r="70" spans="1:7">
      <c r="A70" t="s">
        <v>1338</v>
      </c>
      <c r="B70" t="s">
        <v>1331</v>
      </c>
      <c r="C70" s="577">
        <f>230/1.6</f>
        <v>143.75</v>
      </c>
      <c r="D70">
        <v>2015</v>
      </c>
      <c r="E70" t="s">
        <v>1339</v>
      </c>
      <c r="F70" t="s">
        <v>1340</v>
      </c>
      <c r="G70" s="28" t="s">
        <v>1341</v>
      </c>
    </row>
    <row r="71" spans="1:7">
      <c r="A71" t="s">
        <v>1342</v>
      </c>
      <c r="B71" t="s">
        <v>1331</v>
      </c>
      <c r="C71" s="577">
        <f>500/2</f>
        <v>250</v>
      </c>
      <c r="D71">
        <v>2015</v>
      </c>
      <c r="E71" t="s">
        <v>1339</v>
      </c>
      <c r="F71" t="s">
        <v>1340</v>
      </c>
    </row>
    <row r="72" spans="1:7">
      <c r="C72" s="577"/>
      <c r="G72" s="28"/>
    </row>
    <row r="74" spans="1:7">
      <c r="A74" s="726" t="s">
        <v>1343</v>
      </c>
      <c r="B74" s="693" t="s">
        <v>1319</v>
      </c>
      <c r="C74" s="693">
        <v>2030</v>
      </c>
      <c r="D74" s="693">
        <v>2060</v>
      </c>
      <c r="E74" s="693" t="s">
        <v>116</v>
      </c>
      <c r="F74" s="727" t="s">
        <v>612</v>
      </c>
    </row>
    <row r="75" spans="1:7">
      <c r="A75" s="22" t="s">
        <v>1321</v>
      </c>
      <c r="B75" t="s">
        <v>1344</v>
      </c>
      <c r="C75" s="499">
        <f>C59</f>
        <v>0</v>
      </c>
      <c r="D75" s="499">
        <f>C75</f>
        <v>0</v>
      </c>
      <c r="E75" t="s">
        <v>1334</v>
      </c>
      <c r="F75" s="595" t="s">
        <v>1323</v>
      </c>
    </row>
    <row r="76" spans="1:7">
      <c r="A76" s="22" t="s">
        <v>1325</v>
      </c>
      <c r="B76" t="s">
        <v>1326</v>
      </c>
      <c r="C76" s="499">
        <f>C60</f>
        <v>341.66666666666669</v>
      </c>
      <c r="D76" s="499">
        <f>C76</f>
        <v>341.66666666666669</v>
      </c>
      <c r="E76" t="s">
        <v>1334</v>
      </c>
      <c r="F76" s="595" t="s">
        <v>1345</v>
      </c>
    </row>
    <row r="77" spans="1:7">
      <c r="A77" s="22" t="s">
        <v>1329</v>
      </c>
      <c r="B77" t="s">
        <v>1326</v>
      </c>
      <c r="C77" s="499">
        <f>C61</f>
        <v>628.33333333333337</v>
      </c>
      <c r="D77" s="499">
        <f t="shared" ref="D77:D83" si="8">C77</f>
        <v>628.33333333333337</v>
      </c>
      <c r="E77" t="s">
        <v>1334</v>
      </c>
      <c r="F77" s="595" t="s">
        <v>1345</v>
      </c>
    </row>
    <row r="78" spans="1:7">
      <c r="A78" s="22" t="s">
        <v>1330</v>
      </c>
      <c r="B78" t="s">
        <v>1326</v>
      </c>
      <c r="C78" s="499">
        <f>C62</f>
        <v>286.66666666666669</v>
      </c>
      <c r="D78" s="499">
        <f t="shared" si="8"/>
        <v>286.66666666666669</v>
      </c>
      <c r="E78" t="s">
        <v>1334</v>
      </c>
      <c r="F78" s="595" t="s">
        <v>1345</v>
      </c>
    </row>
    <row r="79" spans="1:7">
      <c r="A79" s="22" t="s">
        <v>1306</v>
      </c>
      <c r="B79" t="s">
        <v>1331</v>
      </c>
      <c r="C79" s="499">
        <f>AVERAGE(C63)</f>
        <v>368.33333333333337</v>
      </c>
      <c r="D79" s="499">
        <f>C79</f>
        <v>368.33333333333337</v>
      </c>
      <c r="E79" t="s">
        <v>1334</v>
      </c>
      <c r="F79" s="595" t="s">
        <v>1346</v>
      </c>
    </row>
    <row r="80" spans="1:7">
      <c r="A80" s="22" t="s">
        <v>1306</v>
      </c>
      <c r="B80" t="s">
        <v>1326</v>
      </c>
      <c r="C80" s="499">
        <f>C79</f>
        <v>368.33333333333337</v>
      </c>
      <c r="D80" s="499">
        <f t="shared" si="8"/>
        <v>368.33333333333337</v>
      </c>
      <c r="E80" t="s">
        <v>1334</v>
      </c>
      <c r="F80" s="595" t="s">
        <v>1345</v>
      </c>
    </row>
    <row r="81" spans="1:7">
      <c r="A81" t="s">
        <v>1342</v>
      </c>
      <c r="B81" t="s">
        <v>1331</v>
      </c>
      <c r="C81" s="499">
        <f>AVERAGE(C71,C65)</f>
        <v>736.66666666666674</v>
      </c>
      <c r="D81" s="499">
        <f t="shared" si="8"/>
        <v>736.66666666666674</v>
      </c>
      <c r="E81" t="s">
        <v>1334</v>
      </c>
      <c r="F81" s="595" t="s">
        <v>1346</v>
      </c>
    </row>
    <row r="82" spans="1:7">
      <c r="A82" s="22" t="s">
        <v>1435</v>
      </c>
      <c r="B82" t="s">
        <v>1332</v>
      </c>
      <c r="C82" s="499">
        <f>C66</f>
        <v>253.33333333333334</v>
      </c>
      <c r="D82" s="499">
        <f t="shared" si="8"/>
        <v>253.33333333333334</v>
      </c>
      <c r="E82" t="s">
        <v>1334</v>
      </c>
      <c r="F82" s="595" t="s">
        <v>1345</v>
      </c>
    </row>
    <row r="83" spans="1:7">
      <c r="A83" s="31" t="s">
        <v>1333</v>
      </c>
      <c r="B83" s="523" t="s">
        <v>1331</v>
      </c>
      <c r="C83" s="631">
        <f>C81</f>
        <v>736.66666666666674</v>
      </c>
      <c r="D83" s="631">
        <f t="shared" si="8"/>
        <v>736.66666666666674</v>
      </c>
      <c r="E83" s="523" t="s">
        <v>1334</v>
      </c>
      <c r="F83" s="605" t="s">
        <v>1345</v>
      </c>
    </row>
    <row r="85" spans="1:7">
      <c r="A85" s="23" t="s">
        <v>1347</v>
      </c>
      <c r="B85" s="23" t="s">
        <v>1319</v>
      </c>
      <c r="C85" s="23">
        <v>2030</v>
      </c>
      <c r="D85" s="30" t="s">
        <v>1437</v>
      </c>
      <c r="E85" s="23" t="s">
        <v>116</v>
      </c>
      <c r="F85" s="23" t="s">
        <v>612</v>
      </c>
      <c r="G85" s="23" t="s">
        <v>505</v>
      </c>
    </row>
    <row r="86" spans="1:7">
      <c r="A86" t="s">
        <v>1321</v>
      </c>
      <c r="B86" t="s">
        <v>1344</v>
      </c>
      <c r="C86" s="498">
        <f>(B39-C39)*C59</f>
        <v>0</v>
      </c>
      <c r="D86" s="581">
        <f>(D39)*D75</f>
        <v>0</v>
      </c>
      <c r="E86" t="s">
        <v>1348</v>
      </c>
      <c r="F86" t="s">
        <v>1349</v>
      </c>
      <c r="G86" t="s">
        <v>1350</v>
      </c>
    </row>
    <row r="87" spans="1:7">
      <c r="A87" t="s">
        <v>1351</v>
      </c>
      <c r="B87" t="s">
        <v>1326</v>
      </c>
      <c r="C87" s="577">
        <f>B39*B17*C76</f>
        <v>1869.6000000000001</v>
      </c>
      <c r="D87" s="582">
        <f>B39*C17*D76+C87</f>
        <v>3739.2000000000003</v>
      </c>
      <c r="E87" t="s">
        <v>1348</v>
      </c>
      <c r="F87" t="s">
        <v>1349</v>
      </c>
      <c r="G87" t="s">
        <v>1438</v>
      </c>
    </row>
    <row r="88" spans="1:7">
      <c r="A88" t="s">
        <v>1352</v>
      </c>
      <c r="B88" t="s">
        <v>1326</v>
      </c>
      <c r="C88" s="577">
        <f>C40*C77</f>
        <v>2419.2874239676348</v>
      </c>
      <c r="D88" s="577">
        <f>D40*D77+C88</f>
        <v>2419.2874239676348</v>
      </c>
      <c r="E88" t="s">
        <v>1348</v>
      </c>
      <c r="F88" t="s">
        <v>1349</v>
      </c>
    </row>
    <row r="89" spans="1:7">
      <c r="A89" t="s">
        <v>1439</v>
      </c>
      <c r="B89" t="s">
        <v>1332</v>
      </c>
      <c r="C89" s="577"/>
      <c r="D89" s="582">
        <f>D44*D82</f>
        <v>1950.83123842483</v>
      </c>
      <c r="E89" t="s">
        <v>1348</v>
      </c>
      <c r="F89" t="s">
        <v>1349</v>
      </c>
    </row>
    <row r="90" spans="1:7">
      <c r="A90" t="s">
        <v>1354</v>
      </c>
      <c r="B90" t="s">
        <v>1331</v>
      </c>
      <c r="C90" s="577">
        <f>(C41-B41)*C79*50%</f>
        <v>6654.2439507755998</v>
      </c>
      <c r="D90" s="577">
        <f>(D41-C41)*D79*50%+C90</f>
        <v>7540.6208086947754</v>
      </c>
      <c r="E90" t="s">
        <v>1348</v>
      </c>
      <c r="F90" t="s">
        <v>1349</v>
      </c>
      <c r="G90" t="s">
        <v>1355</v>
      </c>
    </row>
    <row r="91" spans="1:7">
      <c r="A91" t="s">
        <v>1354</v>
      </c>
      <c r="B91" t="s">
        <v>1332</v>
      </c>
      <c r="C91" s="577">
        <f>(C41-B41)*C64*50%</f>
        <v>3974.4805497845205</v>
      </c>
      <c r="D91" s="577">
        <f>(D41-C41)*D64*50%+C91</f>
        <v>4398.0162791793846</v>
      </c>
      <c r="E91" t="s">
        <v>1348</v>
      </c>
      <c r="F91" t="s">
        <v>1349</v>
      </c>
      <c r="G91" t="s">
        <v>1356</v>
      </c>
    </row>
    <row r="92" spans="1:7">
      <c r="A92" t="s">
        <v>1440</v>
      </c>
      <c r="B92" t="s">
        <v>1331</v>
      </c>
      <c r="C92" s="576"/>
      <c r="D92" s="577">
        <f>D42*D81+C92</f>
        <v>0</v>
      </c>
      <c r="E92" t="s">
        <v>1348</v>
      </c>
      <c r="F92" t="s">
        <v>1349</v>
      </c>
    </row>
    <row r="93" spans="1:7">
      <c r="A93" t="s">
        <v>1358</v>
      </c>
      <c r="B93" t="s">
        <v>1331</v>
      </c>
      <c r="C93" s="577">
        <f>C43*C83</f>
        <v>3545.5074316767063</v>
      </c>
      <c r="D93" s="577">
        <f>(D43-C43)*D83+C93</f>
        <v>11345.623781365459</v>
      </c>
      <c r="E93" t="s">
        <v>1348</v>
      </c>
      <c r="F93" t="s">
        <v>1349</v>
      </c>
    </row>
    <row r="94" spans="1:7">
      <c r="A94" s="23" t="s">
        <v>125</v>
      </c>
      <c r="B94" s="23"/>
      <c r="C94" s="583">
        <f>SUM(C87:C93)</f>
        <v>18463.119356204465</v>
      </c>
      <c r="D94" s="583">
        <f>SUM(D87:D93)</f>
        <v>31393.579531632084</v>
      </c>
      <c r="E94" s="23" t="s">
        <v>1348</v>
      </c>
      <c r="F94" t="s">
        <v>1349</v>
      </c>
    </row>
    <row r="96" spans="1:7">
      <c r="A96" s="23" t="s">
        <v>1359</v>
      </c>
      <c r="B96" s="23" t="s">
        <v>595</v>
      </c>
      <c r="C96" s="23" t="s">
        <v>116</v>
      </c>
      <c r="D96" s="23" t="s">
        <v>612</v>
      </c>
    </row>
    <row r="97" spans="1:7">
      <c r="A97" t="s">
        <v>1360</v>
      </c>
      <c r="B97">
        <v>51</v>
      </c>
      <c r="C97" t="s">
        <v>1361</v>
      </c>
      <c r="D97" t="s">
        <v>1362</v>
      </c>
    </row>
    <row r="99" spans="1:7">
      <c r="A99" s="23"/>
      <c r="B99" s="23">
        <v>2030</v>
      </c>
      <c r="C99" s="23">
        <v>2060</v>
      </c>
      <c r="D99" s="23" t="s">
        <v>116</v>
      </c>
      <c r="E99" s="23" t="s">
        <v>612</v>
      </c>
    </row>
    <row r="100" spans="1:7">
      <c r="A100" t="s">
        <v>1363</v>
      </c>
      <c r="B100" s="498">
        <f>C34*$B$97/1000</f>
        <v>0.14727492408503237</v>
      </c>
      <c r="C100" s="498">
        <f>D34*$B$97/1000</f>
        <v>0.58909969634012949</v>
      </c>
      <c r="D100" t="s">
        <v>1364</v>
      </c>
      <c r="E100" t="s">
        <v>1365</v>
      </c>
    </row>
    <row r="101" spans="1:7">
      <c r="A101" s="584" t="s">
        <v>1366</v>
      </c>
      <c r="B101" s="585">
        <f>B100/B103</f>
        <v>0.22657680628466517</v>
      </c>
      <c r="C101" s="585">
        <f>C100/C103</f>
        <v>0.73637462042516177</v>
      </c>
      <c r="D101" s="584" t="s">
        <v>1367</v>
      </c>
      <c r="E101" s="584"/>
      <c r="F101" s="584"/>
      <c r="G101" s="584"/>
    </row>
    <row r="102" spans="1:7">
      <c r="A102" t="s">
        <v>1368</v>
      </c>
      <c r="B102" s="498">
        <f>50</f>
        <v>50</v>
      </c>
      <c r="C102" s="498">
        <v>45</v>
      </c>
      <c r="D102" t="s">
        <v>1369</v>
      </c>
      <c r="E102" t="s">
        <v>1030</v>
      </c>
    </row>
    <row r="103" spans="1:7">
      <c r="A103" s="584" t="s">
        <v>1370</v>
      </c>
      <c r="B103" s="586">
        <v>0.65</v>
      </c>
      <c r="C103" s="586">
        <v>0.8</v>
      </c>
      <c r="D103" s="584"/>
      <c r="E103" s="584" t="s">
        <v>1371</v>
      </c>
      <c r="F103" s="584"/>
      <c r="G103" s="584"/>
    </row>
    <row r="104" spans="1:7">
      <c r="A104" s="584" t="s">
        <v>1372</v>
      </c>
      <c r="B104" s="750">
        <f>8760</f>
        <v>8760</v>
      </c>
      <c r="C104" s="751">
        <f>B104</f>
        <v>8760</v>
      </c>
      <c r="D104" s="584" t="s">
        <v>1373</v>
      </c>
      <c r="E104" s="584" t="s">
        <v>1374</v>
      </c>
      <c r="F104" s="584"/>
      <c r="G104" s="584"/>
    </row>
    <row r="105" spans="1:7">
      <c r="A105" s="587" t="s">
        <v>1375</v>
      </c>
      <c r="B105" s="582">
        <f>B104*30%</f>
        <v>2628</v>
      </c>
      <c r="C105" s="582">
        <f>B105</f>
        <v>2628</v>
      </c>
      <c r="D105" s="587" t="s">
        <v>1373</v>
      </c>
      <c r="E105" s="587" t="s">
        <v>1376</v>
      </c>
      <c r="F105" s="584"/>
      <c r="G105" s="584"/>
    </row>
    <row r="106" spans="1:7">
      <c r="A106" s="584" t="s">
        <v>1377</v>
      </c>
      <c r="B106" s="751">
        <f>B100/(B104/B102)*1000</f>
        <v>0.84061029728899761</v>
      </c>
      <c r="C106" s="751">
        <f>C100*C102/C104*1000</f>
        <v>3.0261970702403911</v>
      </c>
      <c r="D106" s="584" t="s">
        <v>1230</v>
      </c>
    </row>
    <row r="107" spans="1:7">
      <c r="A107" t="s">
        <v>1378</v>
      </c>
      <c r="B107" s="499">
        <f>B100/(B105/B102)*1000</f>
        <v>2.8020343242966583</v>
      </c>
      <c r="C107" s="499">
        <f>C100/(C105/C102)*1000</f>
        <v>10.087323567467971</v>
      </c>
      <c r="D107" t="s">
        <v>1230</v>
      </c>
    </row>
    <row r="110" spans="1:7">
      <c r="A110" s="23" t="s">
        <v>1379</v>
      </c>
      <c r="B110" s="23">
        <v>2022</v>
      </c>
      <c r="C110" s="23">
        <v>2030</v>
      </c>
      <c r="D110" s="23">
        <v>2060</v>
      </c>
      <c r="E110" s="23" t="s">
        <v>116</v>
      </c>
      <c r="F110" s="23" t="s">
        <v>612</v>
      </c>
    </row>
    <row r="111" spans="1:7">
      <c r="A111" s="584" t="s">
        <v>1380</v>
      </c>
      <c r="B111" s="584"/>
      <c r="C111" s="751">
        <f>B106*'H2 Production Cost'!$C$31</f>
        <v>420.30514864449879</v>
      </c>
      <c r="D111" s="750">
        <f>C106*'H2 Production Cost'!$D$31</f>
        <v>907.85912107211732</v>
      </c>
      <c r="E111" s="584" t="s">
        <v>1381</v>
      </c>
      <c r="F111" s="584" t="s">
        <v>1349</v>
      </c>
    </row>
    <row r="112" spans="1:7">
      <c r="A112" t="s">
        <v>1382</v>
      </c>
      <c r="C112" s="499">
        <f>B107*'H2 Production Cost'!$C$31</f>
        <v>1401.0171621483291</v>
      </c>
      <c r="D112" s="577">
        <f>C107*'H2 Production Cost'!$D$31</f>
        <v>3026.1970702403914</v>
      </c>
      <c r="E112" t="s">
        <v>1381</v>
      </c>
      <c r="F112" t="s">
        <v>1349</v>
      </c>
    </row>
    <row r="113" spans="1:14">
      <c r="C113" s="499"/>
      <c r="D113" s="577"/>
    </row>
    <row r="114" spans="1:14">
      <c r="A114" s="23" t="s">
        <v>1383</v>
      </c>
      <c r="B114" s="23">
        <v>2022</v>
      </c>
      <c r="C114" s="23">
        <v>2030</v>
      </c>
      <c r="D114" s="23">
        <v>2060</v>
      </c>
      <c r="E114" s="23" t="s">
        <v>116</v>
      </c>
      <c r="F114" s="23" t="s">
        <v>612</v>
      </c>
    </row>
    <row r="115" spans="1:14">
      <c r="A115" s="584" t="s">
        <v>1384</v>
      </c>
      <c r="B115" s="584"/>
      <c r="C115" s="751">
        <f>B106*'Power Sector CapEx Cost-Indones'!B$40</f>
        <v>1528.7133445692814</v>
      </c>
      <c r="D115" s="751">
        <f>C106*'Power Sector CapEx Cost-Indones'!C$40</f>
        <v>4781.4232996819246</v>
      </c>
      <c r="E115" s="584" t="s">
        <v>1381</v>
      </c>
      <c r="F115" s="584" t="s">
        <v>1349</v>
      </c>
    </row>
    <row r="116" spans="1:14">
      <c r="A116" t="s">
        <v>1385</v>
      </c>
      <c r="C116" s="499">
        <f>B107*'Power Sector CapEx Cost-Indones'!B$40</f>
        <v>5095.7111485642708</v>
      </c>
      <c r="D116" s="499">
        <f>C107*'Power Sector CapEx Cost-Indones'!C$40</f>
        <v>15938.077665606417</v>
      </c>
      <c r="E116" t="s">
        <v>1381</v>
      </c>
      <c r="F116" t="s">
        <v>1349</v>
      </c>
    </row>
    <row r="118" spans="1:14">
      <c r="A118" s="23" t="s">
        <v>1386</v>
      </c>
      <c r="C118" s="23">
        <v>2030</v>
      </c>
      <c r="D118" s="23">
        <v>2060</v>
      </c>
      <c r="E118" s="23" t="s">
        <v>116</v>
      </c>
      <c r="F118" s="23" t="s">
        <v>612</v>
      </c>
    </row>
    <row r="119" spans="1:14">
      <c r="A119" t="s">
        <v>1387</v>
      </c>
      <c r="C119">
        <v>0.1</v>
      </c>
      <c r="D119">
        <v>0.05</v>
      </c>
      <c r="E119" t="s">
        <v>1107</v>
      </c>
      <c r="F119" t="s">
        <v>1388</v>
      </c>
    </row>
    <row r="121" spans="1:14">
      <c r="A121" s="23" t="s">
        <v>1389</v>
      </c>
    </row>
    <row r="122" spans="1:14">
      <c r="C122" s="23">
        <v>2030</v>
      </c>
      <c r="D122" s="23">
        <v>2060</v>
      </c>
      <c r="E122" s="23" t="s">
        <v>116</v>
      </c>
      <c r="F122" s="23" t="s">
        <v>1392</v>
      </c>
      <c r="H122" s="1227" t="s">
        <v>1390</v>
      </c>
      <c r="I122" s="1227" t="s">
        <v>1390</v>
      </c>
      <c r="J122" s="23" t="s">
        <v>1300</v>
      </c>
      <c r="K122" s="23" t="s">
        <v>1300</v>
      </c>
      <c r="L122" s="1227" t="s">
        <v>1391</v>
      </c>
      <c r="M122" s="1227" t="s">
        <v>1391</v>
      </c>
    </row>
    <row r="123" spans="1:14">
      <c r="A123" t="s">
        <v>1351</v>
      </c>
      <c r="C123" s="577">
        <f>C87/1000</f>
        <v>1.8696000000000002</v>
      </c>
      <c r="D123" s="577">
        <f>D87/1000</f>
        <v>3.7392000000000003</v>
      </c>
      <c r="E123" t="s">
        <v>1396</v>
      </c>
      <c r="F123" t="s">
        <v>1397</v>
      </c>
      <c r="G123" s="23" t="s">
        <v>1393</v>
      </c>
      <c r="H123" s="23">
        <v>2030</v>
      </c>
      <c r="I123" s="23">
        <v>2060</v>
      </c>
      <c r="J123" s="23" t="s">
        <v>1394</v>
      </c>
      <c r="K123" s="23" t="s">
        <v>1395</v>
      </c>
      <c r="L123" s="23">
        <v>2030</v>
      </c>
      <c r="M123" s="23">
        <v>2060</v>
      </c>
      <c r="N123" s="23" t="s">
        <v>505</v>
      </c>
    </row>
    <row r="124" spans="1:14">
      <c r="A124" t="s">
        <v>1399</v>
      </c>
      <c r="C124" s="577">
        <f t="shared" ref="C124:D129" si="9">C88/1000</f>
        <v>2.419287423967635</v>
      </c>
      <c r="D124" s="577">
        <f t="shared" si="9"/>
        <v>2.419287423967635</v>
      </c>
      <c r="E124" t="s">
        <v>1396</v>
      </c>
      <c r="F124" t="s">
        <v>1397</v>
      </c>
      <c r="G124" t="s">
        <v>1351</v>
      </c>
      <c r="H124" s="499">
        <f>C39</f>
        <v>24.064530079253657</v>
      </c>
      <c r="I124" s="1008">
        <f>D39</f>
        <v>0</v>
      </c>
      <c r="J124" s="576">
        <v>22.4</v>
      </c>
      <c r="K124" s="576">
        <v>15.23</v>
      </c>
      <c r="L124" s="942">
        <f>C123/(H124*J124)*1000</f>
        <v>3.4683530257771946</v>
      </c>
      <c r="M124" s="942"/>
    </row>
    <row r="125" spans="1:14">
      <c r="A125" t="s">
        <v>1441</v>
      </c>
      <c r="C125" s="577">
        <f t="shared" si="9"/>
        <v>0</v>
      </c>
      <c r="D125" s="577">
        <f>D89/1000</f>
        <v>1.9508312384248299</v>
      </c>
      <c r="E125" t="s">
        <v>1396</v>
      </c>
      <c r="F125" t="s">
        <v>1397</v>
      </c>
      <c r="G125" t="s">
        <v>1399</v>
      </c>
      <c r="H125" s="499">
        <f>C40</f>
        <v>3.8503248126805856</v>
      </c>
      <c r="I125" s="1008">
        <f>D40</f>
        <v>0</v>
      </c>
      <c r="J125" s="576">
        <f>J124+4.3</f>
        <v>26.7</v>
      </c>
      <c r="K125" s="576">
        <f>K124+3.2</f>
        <v>18.43</v>
      </c>
      <c r="L125" s="942">
        <f>C124/(H125*J125)*1000</f>
        <v>23.533083645443202</v>
      </c>
      <c r="M125" s="942"/>
    </row>
    <row r="126" spans="1:14">
      <c r="A126" t="s">
        <v>1403</v>
      </c>
      <c r="C126" s="577">
        <f t="shared" si="9"/>
        <v>6.6542439507755997</v>
      </c>
      <c r="D126" s="577">
        <f>D90/1000</f>
        <v>7.5406208086947757</v>
      </c>
      <c r="E126" t="s">
        <v>1396</v>
      </c>
      <c r="F126" t="s">
        <v>1331</v>
      </c>
      <c r="G126" t="s">
        <v>1401</v>
      </c>
      <c r="H126" s="499">
        <f>C44</f>
        <v>0</v>
      </c>
      <c r="I126" s="1008">
        <f>D44</f>
        <v>7.7006496253611703</v>
      </c>
      <c r="J126" s="576">
        <f>12.04+4.3</f>
        <v>16.34</v>
      </c>
      <c r="K126" s="576">
        <f>10.38+3</f>
        <v>13.38</v>
      </c>
      <c r="L126" s="942"/>
      <c r="M126" s="942">
        <f t="shared" ref="L126:M129" si="10">D125/(I126*K126)*1000</f>
        <v>18.933731938216244</v>
      </c>
    </row>
    <row r="127" spans="1:14">
      <c r="A127" t="s">
        <v>1405</v>
      </c>
      <c r="C127" s="577">
        <f t="shared" si="9"/>
        <v>3.9744805497845204</v>
      </c>
      <c r="D127" s="577">
        <f t="shared" si="9"/>
        <v>4.3980162791793846</v>
      </c>
      <c r="E127" t="s">
        <v>1396</v>
      </c>
      <c r="F127" t="s">
        <v>1397</v>
      </c>
      <c r="G127" t="s">
        <v>1403</v>
      </c>
      <c r="H127" s="499">
        <f>(C41-B41)*50%</f>
        <v>18.06582068083873</v>
      </c>
      <c r="I127" s="1008">
        <f>(D41-C41)*50%</f>
        <v>2.4064530079253643</v>
      </c>
      <c r="J127" s="576">
        <v>2.0499999999999998</v>
      </c>
      <c r="K127" s="576">
        <v>1.34</v>
      </c>
      <c r="L127" s="942">
        <f t="shared" si="10"/>
        <v>179.67479674796752</v>
      </c>
      <c r="M127" s="942">
        <f>D126/(I127*K127)*1000</f>
        <v>2338.4329314470656</v>
      </c>
    </row>
    <row r="128" spans="1:14">
      <c r="A128" t="s">
        <v>1357</v>
      </c>
      <c r="C128" s="577">
        <f t="shared" si="9"/>
        <v>0</v>
      </c>
      <c r="D128" s="577">
        <f t="shared" si="9"/>
        <v>0</v>
      </c>
      <c r="E128" t="s">
        <v>1396</v>
      </c>
      <c r="F128" t="s">
        <v>1331</v>
      </c>
      <c r="G128" t="s">
        <v>1405</v>
      </c>
      <c r="H128" s="577">
        <f>(C41-B41)*50%</f>
        <v>18.06582068083873</v>
      </c>
      <c r="I128" s="725">
        <f>(D41-C41)*50%</f>
        <v>2.4064530079253643</v>
      </c>
      <c r="J128" s="576">
        <f>J127</f>
        <v>2.0499999999999998</v>
      </c>
      <c r="K128" s="576">
        <f>K127</f>
        <v>1.34</v>
      </c>
      <c r="L128" s="942">
        <f t="shared" si="10"/>
        <v>107.3170731707317</v>
      </c>
      <c r="M128" s="942">
        <f t="shared" si="10"/>
        <v>1363.8752512810056</v>
      </c>
      <c r="N128" t="s">
        <v>1406</v>
      </c>
    </row>
    <row r="129" spans="1:14">
      <c r="A129" t="s">
        <v>1358</v>
      </c>
      <c r="C129" s="577">
        <f t="shared" si="9"/>
        <v>3.5455074316767066</v>
      </c>
      <c r="D129" s="577">
        <f>D93/1000</f>
        <v>11.345623781365459</v>
      </c>
      <c r="E129" t="s">
        <v>1396</v>
      </c>
      <c r="F129" t="s">
        <v>1331</v>
      </c>
      <c r="G129" t="s">
        <v>1357</v>
      </c>
      <c r="H129" s="499">
        <f>C42</f>
        <v>14.438718047552195</v>
      </c>
      <c r="I129" s="537"/>
      <c r="J129" s="576">
        <v>12.04</v>
      </c>
      <c r="K129" s="576">
        <v>10.38</v>
      </c>
      <c r="L129" s="942">
        <f t="shared" si="10"/>
        <v>0</v>
      </c>
      <c r="M129" s="942"/>
    </row>
    <row r="130" spans="1:14">
      <c r="A130" s="584" t="s">
        <v>1380</v>
      </c>
      <c r="B130" s="584"/>
      <c r="C130" s="750">
        <f>C111/1000</f>
        <v>0.4203051486444988</v>
      </c>
      <c r="D130" s="750">
        <f>D111/1000</f>
        <v>0.9078591210721173</v>
      </c>
      <c r="E130" s="584" t="s">
        <v>1396</v>
      </c>
      <c r="F130" s="584" t="s">
        <v>1331</v>
      </c>
      <c r="G130" t="s">
        <v>1358</v>
      </c>
      <c r="H130" s="499">
        <f>C43</f>
        <v>4.8129060158507322</v>
      </c>
      <c r="I130" s="1008">
        <f>D43</f>
        <v>15.401299250722341</v>
      </c>
      <c r="J130" s="576">
        <v>12.04</v>
      </c>
      <c r="K130" s="576">
        <v>10.38</v>
      </c>
      <c r="L130" s="942">
        <f>C129/(H130*J130)*1000</f>
        <v>61.184939091915844</v>
      </c>
      <c r="M130" s="942">
        <f>D129/(I130*K130)*1000</f>
        <v>70.969813744380218</v>
      </c>
      <c r="N130" t="s">
        <v>1407</v>
      </c>
    </row>
    <row r="131" spans="1:14">
      <c r="A131" t="s">
        <v>1382</v>
      </c>
      <c r="C131" s="577">
        <f>C112/1000</f>
        <v>1.4010171621483292</v>
      </c>
      <c r="D131" s="577">
        <f>D112/1000</f>
        <v>3.0261970702403915</v>
      </c>
      <c r="E131" t="s">
        <v>1396</v>
      </c>
      <c r="F131" t="s">
        <v>1331</v>
      </c>
      <c r="G131" t="s">
        <v>1408</v>
      </c>
      <c r="L131" s="942">
        <f>(C129+C131+C133)/(H130*J130)*1000</f>
        <v>173.2991945680898</v>
      </c>
      <c r="M131" s="942">
        <f>(D129+D131+D133)/(I130*K130)*1000</f>
        <v>189.59626141584744</v>
      </c>
      <c r="N131" t="s">
        <v>1409</v>
      </c>
    </row>
    <row r="132" spans="1:14">
      <c r="A132" s="584" t="s">
        <v>1384</v>
      </c>
      <c r="B132" s="584"/>
      <c r="C132" s="750">
        <f>C115/1000</f>
        <v>1.5287133445692813</v>
      </c>
      <c r="D132" s="750">
        <f>D115/1000</f>
        <v>4.7814232996819248</v>
      </c>
      <c r="E132" s="584" t="s">
        <v>1396</v>
      </c>
      <c r="F132" s="584" t="s">
        <v>1331</v>
      </c>
    </row>
    <row r="133" spans="1:14">
      <c r="A133" t="s">
        <v>1385</v>
      </c>
      <c r="C133" s="577">
        <f>C116/1000</f>
        <v>5.0957111485642708</v>
      </c>
      <c r="D133" s="577">
        <f>D116/1000</f>
        <v>15.938077665606418</v>
      </c>
      <c r="E133" t="s">
        <v>1396</v>
      </c>
      <c r="F133" t="s">
        <v>1331</v>
      </c>
    </row>
    <row r="134" spans="1:14">
      <c r="C134" s="577"/>
      <c r="D134" s="577"/>
      <c r="G134" s="24" t="s">
        <v>1442</v>
      </c>
      <c r="H134" s="25"/>
      <c r="I134" s="25"/>
      <c r="J134" s="25"/>
      <c r="K134" s="25"/>
    </row>
    <row r="135" spans="1:14">
      <c r="A135" s="584" t="s">
        <v>1417</v>
      </c>
      <c r="B135" s="584"/>
      <c r="C135" s="750">
        <f>SUM(C123:C130)+C132</f>
        <v>20.412137849418244</v>
      </c>
      <c r="D135" s="750">
        <f>SUM(D123:D130)+D132</f>
        <v>37.082861952386125</v>
      </c>
      <c r="E135" s="584" t="s">
        <v>1396</v>
      </c>
      <c r="F135" s="498"/>
      <c r="H135" s="23">
        <v>2030</v>
      </c>
      <c r="I135" s="23">
        <v>2060</v>
      </c>
      <c r="J135" s="23" t="s">
        <v>116</v>
      </c>
      <c r="K135" s="98" t="s">
        <v>1443</v>
      </c>
    </row>
    <row r="136" spans="1:14">
      <c r="A136" t="s">
        <v>1421</v>
      </c>
      <c r="C136" s="577">
        <f>SUM(C123:C129)+C131+C133</f>
        <v>24.95984766691706</v>
      </c>
      <c r="D136" s="577">
        <f>SUM(D123:D129)+D131+D133</f>
        <v>50.357854267478899</v>
      </c>
      <c r="E136" t="s">
        <v>1396</v>
      </c>
      <c r="F136" s="498"/>
      <c r="G136" t="s">
        <v>1444</v>
      </c>
      <c r="H136" s="499">
        <f>C31</f>
        <v>2.3101948876083513</v>
      </c>
      <c r="I136">
        <f>D31</f>
        <v>0</v>
      </c>
      <c r="J136" t="s">
        <v>1445</v>
      </c>
      <c r="K136" s="49"/>
    </row>
    <row r="137" spans="1:14">
      <c r="A137" t="s">
        <v>1446</v>
      </c>
      <c r="C137" s="577">
        <f>C136-C133</f>
        <v>19.86413651835279</v>
      </c>
      <c r="D137" s="1015">
        <f>D136-D133</f>
        <v>34.419776601872485</v>
      </c>
      <c r="E137" t="s">
        <v>1396</v>
      </c>
      <c r="F137" s="498"/>
      <c r="H137" s="499"/>
      <c r="K137" s="49"/>
    </row>
    <row r="138" spans="1:14">
      <c r="A138" t="s">
        <v>1423</v>
      </c>
      <c r="C138" s="499">
        <f>I19</f>
        <v>597.53529377674442</v>
      </c>
      <c r="D138" s="499">
        <f>J19</f>
        <v>328.05204253652187</v>
      </c>
      <c r="E138" t="s">
        <v>701</v>
      </c>
      <c r="G138" t="s">
        <v>1447</v>
      </c>
      <c r="H138">
        <v>2.2000000000000002</v>
      </c>
      <c r="I138">
        <v>2.2000000000000002</v>
      </c>
      <c r="J138" t="s">
        <v>1448</v>
      </c>
      <c r="K138" s="49">
        <v>64</v>
      </c>
    </row>
    <row r="139" spans="1:14">
      <c r="A139" s="23" t="s">
        <v>1424</v>
      </c>
      <c r="B139" s="23"/>
      <c r="C139" s="581">
        <f>(C136*1000)/C138</f>
        <v>41.771336232136846</v>
      </c>
      <c r="D139" s="581">
        <f>(D136*1000)/D138</f>
        <v>153.5056873235977</v>
      </c>
      <c r="E139" s="23" t="s">
        <v>1425</v>
      </c>
      <c r="G139" t="s">
        <v>1449</v>
      </c>
      <c r="H139">
        <v>0</v>
      </c>
      <c r="I139" s="499">
        <f>D35</f>
        <v>5.7754872190208779</v>
      </c>
      <c r="J139" t="s">
        <v>1445</v>
      </c>
      <c r="K139" s="49"/>
    </row>
    <row r="140" spans="1:14">
      <c r="G140" t="s">
        <v>1450</v>
      </c>
      <c r="H140">
        <v>1.4</v>
      </c>
      <c r="I140">
        <v>1.4</v>
      </c>
      <c r="J140" t="s">
        <v>1448</v>
      </c>
      <c r="K140" s="49">
        <v>64</v>
      </c>
    </row>
    <row r="141" spans="1:14">
      <c r="G141" t="s">
        <v>1451</v>
      </c>
      <c r="H141" s="27">
        <f>H136*H138</f>
        <v>5.0824287527383731</v>
      </c>
      <c r="I141" s="498">
        <f>I136*I138+I139*I140</f>
        <v>8.0856821066292284</v>
      </c>
      <c r="J141" t="s">
        <v>1452</v>
      </c>
      <c r="K141" s="49"/>
    </row>
    <row r="142" spans="1:14">
      <c r="G142" t="s">
        <v>1453</v>
      </c>
      <c r="H142" s="46">
        <f>'Other Technical Data'!$B$20</f>
        <v>0.9</v>
      </c>
      <c r="I142" s="46">
        <f>'Other Technical Data'!$B$20</f>
        <v>0.9</v>
      </c>
      <c r="J142" t="s">
        <v>282</v>
      </c>
      <c r="K142" s="49"/>
    </row>
    <row r="143" spans="1:14">
      <c r="G143" t="s">
        <v>1454</v>
      </c>
      <c r="H143" s="501">
        <f>H141*H142</f>
        <v>4.5741858774645356</v>
      </c>
      <c r="I143" s="501">
        <f>I141*I142</f>
        <v>7.2771138959663055</v>
      </c>
      <c r="J143" t="s">
        <v>1445</v>
      </c>
      <c r="K143" s="49"/>
    </row>
    <row r="145" spans="7:11">
      <c r="G145" s="24" t="s">
        <v>1455</v>
      </c>
      <c r="H145" s="25"/>
      <c r="I145" s="25"/>
      <c r="J145" s="25"/>
      <c r="K145" s="25"/>
    </row>
    <row r="146" spans="7:11">
      <c r="G146" s="498"/>
      <c r="H146" s="23">
        <v>2030</v>
      </c>
      <c r="I146" s="23">
        <v>2060</v>
      </c>
      <c r="J146" s="23" t="s">
        <v>116</v>
      </c>
      <c r="K146" s="23" t="s">
        <v>505</v>
      </c>
    </row>
    <row r="147" spans="7:11">
      <c r="G147" t="s">
        <v>1412</v>
      </c>
      <c r="H147" s="501">
        <f>H143</f>
        <v>4.5741858774645356</v>
      </c>
      <c r="I147" s="501">
        <f>I143</f>
        <v>7.2771138959663055</v>
      </c>
      <c r="J147" t="s">
        <v>1413</v>
      </c>
    </row>
    <row r="148" spans="7:11">
      <c r="G148" t="s">
        <v>1415</v>
      </c>
      <c r="H148" s="499">
        <f>C124+C125</f>
        <v>2.419287423967635</v>
      </c>
      <c r="I148" s="499">
        <f>D124+D125</f>
        <v>4.370118662392465</v>
      </c>
      <c r="J148" t="s">
        <v>1416</v>
      </c>
    </row>
    <row r="149" spans="7:11">
      <c r="G149" t="s">
        <v>1418</v>
      </c>
      <c r="H149" s="499">
        <f>H148/H147*1000</f>
        <v>528.90011223344572</v>
      </c>
      <c r="I149" s="499">
        <f>I148/I147*1000</f>
        <v>600.52910052910067</v>
      </c>
      <c r="J149" t="s">
        <v>1419</v>
      </c>
      <c r="K149" t="s">
        <v>1420</v>
      </c>
    </row>
  </sheetData>
  <mergeCells count="1">
    <mergeCell ref="G50:G57"/>
  </mergeCells>
  <hyperlinks>
    <hyperlink ref="G70" r:id="rId1" xr:uid="{9E1F270B-4F71-4A7F-838D-B123F578DA1C}"/>
  </hyperlinks>
  <pageMargins left="0.7" right="0.7" top="0.75" bottom="0.75" header="0.3" footer="0.3"/>
  <pageSetup orientation="portrait" r:id="rId2"/>
  <headerFooter>
    <oddFooter>&amp;R_x000D_&amp;1#&amp;"Aptos"&amp;10&amp;K000000 Official Use Only</oddFooter>
  </headerFooter>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23731-1BBD-421E-B99F-F72CA3B61A0B}">
  <dimension ref="A1:N151"/>
  <sheetViews>
    <sheetView topLeftCell="A13" zoomScale="73" zoomScaleNormal="73" workbookViewId="0">
      <selection activeCell="B28" sqref="B28"/>
    </sheetView>
  </sheetViews>
  <sheetFormatPr defaultRowHeight="15"/>
  <cols>
    <col min="1" max="1" width="32.140625" customWidth="1"/>
    <col min="2" max="2" width="26.42578125" customWidth="1"/>
    <col min="4" max="4" width="26.140625" customWidth="1"/>
    <col min="5" max="5" width="14.28515625" customWidth="1"/>
    <col min="6" max="6" width="40.140625" customWidth="1"/>
    <col min="7" max="7" width="29.5703125" customWidth="1"/>
    <col min="8" max="14" width="10.42578125" customWidth="1"/>
  </cols>
  <sheetData>
    <row r="1" spans="1:13">
      <c r="A1" s="860" t="s">
        <v>1206</v>
      </c>
      <c r="B1" s="587"/>
      <c r="C1" s="771"/>
      <c r="D1" s="771"/>
      <c r="E1" s="771"/>
      <c r="F1" s="771"/>
      <c r="G1" s="771"/>
      <c r="H1" s="771"/>
      <c r="I1" s="771"/>
      <c r="J1" s="771"/>
      <c r="K1" s="771"/>
      <c r="L1" s="771"/>
      <c r="M1" s="771"/>
    </row>
    <row r="2" spans="1:13">
      <c r="A2" s="860" t="s">
        <v>163</v>
      </c>
      <c r="B2" s="860" t="s">
        <v>166</v>
      </c>
      <c r="C2" s="771"/>
      <c r="D2" s="771"/>
      <c r="E2" s="771"/>
      <c r="F2" s="771"/>
      <c r="G2" s="771"/>
      <c r="H2" s="771"/>
      <c r="I2" s="771"/>
      <c r="J2" s="771"/>
      <c r="K2" s="771"/>
      <c r="L2" s="771"/>
      <c r="M2" s="771"/>
    </row>
    <row r="3" spans="1:13">
      <c r="A3" s="860" t="s">
        <v>1207</v>
      </c>
      <c r="B3" s="860" t="s">
        <v>1279</v>
      </c>
      <c r="C3" s="771"/>
      <c r="D3" s="771"/>
      <c r="E3" s="771"/>
      <c r="F3" s="771"/>
      <c r="G3" s="771"/>
      <c r="H3" s="771"/>
      <c r="I3" s="771"/>
      <c r="J3" s="771"/>
      <c r="K3" s="771"/>
      <c r="L3" s="771"/>
      <c r="M3" s="771"/>
    </row>
    <row r="4" spans="1:13" ht="15.75">
      <c r="A4" s="833"/>
      <c r="B4" s="771"/>
      <c r="C4" s="771"/>
      <c r="D4" s="771"/>
      <c r="E4" s="771"/>
      <c r="F4" s="771"/>
      <c r="G4" s="771"/>
      <c r="H4" s="771"/>
      <c r="I4" s="771"/>
      <c r="J4" s="771"/>
      <c r="K4" s="771"/>
      <c r="L4" s="771"/>
      <c r="M4" s="771"/>
    </row>
    <row r="5" spans="1:13" ht="18">
      <c r="A5" s="587" t="s">
        <v>1456</v>
      </c>
      <c r="B5" s="587" t="s">
        <v>1426</v>
      </c>
      <c r="C5" s="587">
        <v>1.2</v>
      </c>
      <c r="D5" s="587" t="s">
        <v>1282</v>
      </c>
      <c r="E5" s="587"/>
      <c r="F5" s="587"/>
      <c r="G5" s="587"/>
      <c r="H5" s="771"/>
      <c r="I5" s="771"/>
      <c r="J5" s="771"/>
      <c r="K5" s="771"/>
      <c r="L5" s="771"/>
      <c r="M5" s="771"/>
    </row>
    <row r="6" spans="1:13">
      <c r="A6" s="587" t="s">
        <v>1283</v>
      </c>
      <c r="B6" s="587" t="s">
        <v>1457</v>
      </c>
      <c r="C6" s="852">
        <f>20/27</f>
        <v>0.7407407407407407</v>
      </c>
      <c r="D6" s="587" t="s">
        <v>1458</v>
      </c>
      <c r="E6" s="587" t="s">
        <v>1459</v>
      </c>
      <c r="F6" s="587"/>
      <c r="G6" s="587"/>
      <c r="H6" s="771"/>
      <c r="I6" s="771"/>
      <c r="J6" s="771"/>
      <c r="K6" s="771"/>
      <c r="L6" s="771"/>
      <c r="M6" s="771"/>
    </row>
    <row r="7" spans="1:13">
      <c r="A7" s="587" t="s">
        <v>1286</v>
      </c>
      <c r="B7" s="587" t="s">
        <v>1429</v>
      </c>
      <c r="C7" s="852">
        <f>C6</f>
        <v>0.7407407407407407</v>
      </c>
      <c r="D7" s="587" t="s">
        <v>614</v>
      </c>
      <c r="E7" s="771"/>
      <c r="F7" s="771"/>
      <c r="G7" s="771"/>
      <c r="H7" s="771"/>
      <c r="I7" s="771"/>
      <c r="J7" s="771"/>
      <c r="K7" s="771"/>
      <c r="L7" s="771"/>
      <c r="M7" s="771"/>
    </row>
    <row r="8" spans="1:13">
      <c r="A8" s="587"/>
      <c r="B8" s="587" t="s">
        <v>1460</v>
      </c>
      <c r="C8" s="852">
        <v>0.8</v>
      </c>
      <c r="D8" s="587" t="s">
        <v>614</v>
      </c>
      <c r="E8" s="771"/>
      <c r="F8" s="771"/>
      <c r="G8" s="771"/>
      <c r="H8" s="771"/>
      <c r="I8" s="771"/>
      <c r="J8" s="771"/>
      <c r="K8" s="771"/>
      <c r="L8" s="771"/>
      <c r="M8" s="771"/>
    </row>
    <row r="9" spans="1:13" ht="15.75">
      <c r="A9" s="915"/>
      <c r="B9" s="587" t="s">
        <v>1287</v>
      </c>
      <c r="C9" s="1009">
        <v>25</v>
      </c>
      <c r="D9" s="587" t="s">
        <v>1134</v>
      </c>
      <c r="E9" s="771"/>
      <c r="F9" s="771"/>
      <c r="G9" s="771"/>
      <c r="H9" s="771"/>
      <c r="I9" s="771"/>
      <c r="J9" s="771"/>
      <c r="K9" s="771"/>
      <c r="L9" s="771"/>
      <c r="M9" s="771"/>
    </row>
    <row r="10" spans="1:13">
      <c r="A10" s="771"/>
      <c r="B10" s="771"/>
      <c r="C10" s="771"/>
      <c r="D10" s="771"/>
      <c r="E10" s="771"/>
      <c r="F10" s="771"/>
      <c r="G10" s="771"/>
      <c r="H10" s="771"/>
      <c r="I10" s="771"/>
      <c r="J10" s="771"/>
      <c r="K10" s="771"/>
      <c r="L10" s="771"/>
      <c r="M10" s="771"/>
    </row>
    <row r="11" spans="1:13">
      <c r="A11" s="860" t="s">
        <v>1288</v>
      </c>
      <c r="B11" s="860" t="s">
        <v>595</v>
      </c>
      <c r="C11" s="860" t="s">
        <v>116</v>
      </c>
      <c r="D11" s="860" t="s">
        <v>1289</v>
      </c>
      <c r="E11" s="860" t="s">
        <v>612</v>
      </c>
      <c r="F11" s="771"/>
      <c r="G11" s="771"/>
      <c r="H11" s="771"/>
      <c r="I11" s="771"/>
      <c r="J11" s="771"/>
      <c r="K11" s="771"/>
      <c r="L11" s="771"/>
      <c r="M11" s="771"/>
    </row>
    <row r="12" spans="1:13">
      <c r="A12" s="587">
        <v>2022</v>
      </c>
      <c r="B12" s="582">
        <v>20</v>
      </c>
      <c r="C12" s="587" t="s">
        <v>1290</v>
      </c>
      <c r="D12" s="587" t="s">
        <v>1291</v>
      </c>
      <c r="E12" s="587" t="s">
        <v>1431</v>
      </c>
      <c r="F12" s="771"/>
      <c r="G12" s="771"/>
      <c r="H12" s="771"/>
      <c r="I12" s="771"/>
      <c r="J12" s="771"/>
      <c r="K12" s="771"/>
      <c r="L12" s="771"/>
      <c r="M12" s="771"/>
    </row>
    <row r="13" spans="1:13">
      <c r="A13" s="587">
        <v>2030</v>
      </c>
      <c r="B13" s="582">
        <v>33</v>
      </c>
      <c r="C13" s="587" t="s">
        <v>1290</v>
      </c>
      <c r="D13" s="587"/>
      <c r="E13" s="587" t="s">
        <v>1461</v>
      </c>
      <c r="G13" s="775"/>
      <c r="H13" s="771"/>
      <c r="I13" s="771"/>
      <c r="J13" s="771"/>
      <c r="K13" s="771"/>
      <c r="L13" s="771"/>
      <c r="M13" s="771"/>
    </row>
    <row r="14" spans="1:13">
      <c r="A14" s="587">
        <v>2050</v>
      </c>
      <c r="B14" s="582">
        <f>B13</f>
        <v>33</v>
      </c>
      <c r="C14" s="587" t="s">
        <v>1290</v>
      </c>
      <c r="D14" s="587"/>
      <c r="E14" t="s">
        <v>1433</v>
      </c>
      <c r="F14" s="587" t="s">
        <v>1462</v>
      </c>
      <c r="G14" s="775"/>
      <c r="H14" s="771"/>
      <c r="I14" s="771"/>
      <c r="J14" s="771"/>
      <c r="K14" s="771"/>
      <c r="L14" s="771"/>
      <c r="M14" s="771"/>
    </row>
    <row r="15" spans="1:13">
      <c r="A15" s="771"/>
      <c r="B15" s="771"/>
      <c r="C15" s="771"/>
      <c r="D15" s="771"/>
      <c r="E15" s="587"/>
      <c r="F15" s="587"/>
      <c r="G15" s="921"/>
      <c r="H15" s="860">
        <v>2022</v>
      </c>
      <c r="I15" s="860">
        <v>2030</v>
      </c>
      <c r="J15" s="860">
        <v>2050</v>
      </c>
      <c r="K15" s="587"/>
      <c r="L15" s="587"/>
      <c r="M15" s="587"/>
    </row>
    <row r="16" spans="1:13">
      <c r="A16" s="587"/>
      <c r="B16" s="1229" t="s">
        <v>1293</v>
      </c>
      <c r="C16" s="860" t="s">
        <v>1463</v>
      </c>
      <c r="D16" s="860" t="s">
        <v>116</v>
      </c>
      <c r="E16" s="587" t="s">
        <v>505</v>
      </c>
      <c r="F16" s="587"/>
      <c r="G16" s="853" t="s">
        <v>1299</v>
      </c>
      <c r="H16" s="582">
        <f>G27</f>
        <v>12.123419999999999</v>
      </c>
      <c r="I16" s="582">
        <f t="shared" ref="I16:J16" si="0">H27</f>
        <v>10.33624108815436</v>
      </c>
      <c r="J16" s="582">
        <f t="shared" si="0"/>
        <v>7.6796292919502012</v>
      </c>
      <c r="K16" s="587" t="s">
        <v>1300</v>
      </c>
      <c r="L16" s="587"/>
      <c r="M16" s="587"/>
    </row>
    <row r="17" spans="1:13">
      <c r="A17" s="860" t="s">
        <v>1295</v>
      </c>
      <c r="B17" s="852">
        <v>0.15</v>
      </c>
      <c r="C17" s="852">
        <v>0.6</v>
      </c>
      <c r="D17" s="587" t="s">
        <v>1296</v>
      </c>
      <c r="E17" s="587" t="s">
        <v>1297</v>
      </c>
      <c r="F17" s="587"/>
      <c r="G17" s="587" t="s">
        <v>1301</v>
      </c>
      <c r="H17" s="582">
        <f>B12</f>
        <v>20</v>
      </c>
      <c r="I17" s="582">
        <f>B13</f>
        <v>33</v>
      </c>
      <c r="J17" s="582">
        <f>B14</f>
        <v>33</v>
      </c>
      <c r="K17" s="587" t="s">
        <v>1290</v>
      </c>
      <c r="L17" s="587"/>
      <c r="M17" s="587"/>
    </row>
    <row r="18" spans="1:13">
      <c r="A18" s="771"/>
      <c r="B18" s="771"/>
      <c r="C18" s="771"/>
      <c r="D18" s="771"/>
      <c r="E18" s="587"/>
      <c r="F18" s="587"/>
      <c r="G18" s="587" t="s">
        <v>1304</v>
      </c>
      <c r="H18" s="582">
        <f>H17*H16</f>
        <v>242.46839999999997</v>
      </c>
      <c r="I18" s="582">
        <f t="shared" ref="I18:J18" si="1">I17*I16</f>
        <v>341.09595590909385</v>
      </c>
      <c r="J18" s="582">
        <f t="shared" si="1"/>
        <v>253.42776663435663</v>
      </c>
      <c r="K18" s="587" t="s">
        <v>701</v>
      </c>
      <c r="L18" s="587"/>
      <c r="M18" s="587"/>
    </row>
    <row r="19" spans="1:13">
      <c r="A19" s="860" t="s">
        <v>1298</v>
      </c>
      <c r="B19" s="860">
        <v>2022</v>
      </c>
      <c r="C19" s="860">
        <v>2030</v>
      </c>
      <c r="D19" s="860">
        <v>2050</v>
      </c>
      <c r="E19" s="860" t="s">
        <v>1289</v>
      </c>
      <c r="F19" s="771"/>
      <c r="G19" s="733" t="s">
        <v>1464</v>
      </c>
      <c r="H19" s="733" t="s">
        <v>1465</v>
      </c>
      <c r="I19" s="733" t="s">
        <v>1466</v>
      </c>
      <c r="K19" s="587"/>
      <c r="L19" s="587"/>
      <c r="M19" s="771"/>
    </row>
    <row r="20" spans="1:13">
      <c r="A20" s="587" t="s">
        <v>1302</v>
      </c>
      <c r="B20" s="853">
        <v>0.61</v>
      </c>
      <c r="C20" s="1230">
        <v>0.5</v>
      </c>
      <c r="D20" s="1230">
        <v>0.1</v>
      </c>
      <c r="E20" s="587" t="s">
        <v>1467</v>
      </c>
      <c r="F20" s="771"/>
      <c r="G20" s="979">
        <f>20.38*0.9</f>
        <v>18.341999999999999</v>
      </c>
      <c r="H20" s="979">
        <f>G20*(1-1%)^8</f>
        <v>16.924983185196908</v>
      </c>
      <c r="I20" s="979">
        <f>H20*(1-0.5%)^20</f>
        <v>15.310517167800805</v>
      </c>
      <c r="J20" s="771"/>
      <c r="K20" s="771"/>
      <c r="L20" s="771"/>
      <c r="M20" s="771"/>
    </row>
    <row r="21" spans="1:13">
      <c r="A21" s="587" t="s">
        <v>1305</v>
      </c>
      <c r="B21" s="853"/>
      <c r="C21" s="1230">
        <v>0.03</v>
      </c>
      <c r="D21" s="1230">
        <v>0.15</v>
      </c>
      <c r="E21" s="587" t="s">
        <v>1467</v>
      </c>
      <c r="F21" s="771"/>
      <c r="G21" s="979"/>
      <c r="H21" s="979">
        <f>H20+4</f>
        <v>20.924983185196908</v>
      </c>
      <c r="I21" s="979">
        <f>I20+3.3</f>
        <v>18.610517167800804</v>
      </c>
      <c r="J21" s="771"/>
      <c r="K21" s="771"/>
      <c r="L21" s="771"/>
      <c r="M21" s="771"/>
    </row>
    <row r="22" spans="1:13">
      <c r="A22" s="587" t="s">
        <v>1306</v>
      </c>
      <c r="B22" s="853">
        <v>0.24</v>
      </c>
      <c r="C22" s="1230">
        <v>0.35</v>
      </c>
      <c r="D22" s="1230">
        <v>0.6</v>
      </c>
      <c r="E22" s="587" t="s">
        <v>1467</v>
      </c>
      <c r="F22" s="775"/>
      <c r="G22" s="979">
        <f>2.32</f>
        <v>2.3199999999999998</v>
      </c>
      <c r="H22" s="979">
        <v>2</v>
      </c>
      <c r="I22" s="979">
        <v>1.4</v>
      </c>
      <c r="J22" s="771"/>
      <c r="K22" s="771"/>
      <c r="L22" s="771"/>
      <c r="M22" s="771"/>
    </row>
    <row r="23" spans="1:13">
      <c r="A23" s="587" t="s">
        <v>1307</v>
      </c>
      <c r="B23" s="852"/>
      <c r="C23" s="1230">
        <v>0.02</v>
      </c>
      <c r="D23" s="1230">
        <v>0</v>
      </c>
      <c r="E23" s="587" t="s">
        <v>1467</v>
      </c>
      <c r="F23" s="775"/>
      <c r="G23" s="979">
        <f>10.71+5</f>
        <v>15.71</v>
      </c>
      <c r="H23" s="979">
        <f>10.3+5</f>
        <v>15.3</v>
      </c>
      <c r="I23" s="979">
        <f>9.78+5</f>
        <v>14.78</v>
      </c>
      <c r="J23" s="771"/>
      <c r="K23" s="771"/>
      <c r="L23" s="771"/>
      <c r="M23" s="771"/>
    </row>
    <row r="24" spans="1:13">
      <c r="A24" s="587" t="s">
        <v>1308</v>
      </c>
      <c r="B24" s="587"/>
      <c r="C24" s="1230">
        <v>0</v>
      </c>
      <c r="D24" s="1230">
        <v>0.05</v>
      </c>
      <c r="E24" s="587" t="s">
        <v>1467</v>
      </c>
      <c r="F24" s="771"/>
      <c r="G24" s="979">
        <f>G23</f>
        <v>15.71</v>
      </c>
      <c r="H24" s="979">
        <f t="shared" ref="H24:I24" si="2">H23</f>
        <v>15.3</v>
      </c>
      <c r="I24" s="979">
        <f t="shared" si="2"/>
        <v>14.78</v>
      </c>
      <c r="J24" s="771"/>
      <c r="K24" s="771"/>
      <c r="L24" s="771"/>
      <c r="M24" s="771"/>
    </row>
    <row r="25" spans="1:13">
      <c r="A25" s="587" t="s">
        <v>1309</v>
      </c>
      <c r="B25" s="587"/>
      <c r="C25" s="1230"/>
      <c r="D25" s="1230">
        <v>0.1</v>
      </c>
      <c r="E25" s="587" t="s">
        <v>1467</v>
      </c>
      <c r="F25" s="771"/>
      <c r="G25" s="979"/>
      <c r="H25" s="979"/>
      <c r="I25" s="979">
        <f>I24+3</f>
        <v>17.78</v>
      </c>
      <c r="J25" s="771"/>
      <c r="K25" s="771"/>
      <c r="L25" s="771"/>
      <c r="M25" s="771"/>
    </row>
    <row r="26" spans="1:13">
      <c r="A26" s="587" t="s">
        <v>1468</v>
      </c>
      <c r="B26" s="852">
        <v>0.15</v>
      </c>
      <c r="C26" s="1230">
        <v>0.1</v>
      </c>
      <c r="D26" s="1230">
        <v>0</v>
      </c>
      <c r="E26" s="587" t="s">
        <v>1467</v>
      </c>
      <c r="F26" s="771"/>
      <c r="G26" s="979">
        <f>700*0.0036</f>
        <v>2.52</v>
      </c>
      <c r="H26" s="979">
        <f>2.4</f>
        <v>2.4</v>
      </c>
      <c r="I26" s="979">
        <f>H26</f>
        <v>2.4</v>
      </c>
      <c r="J26" s="771"/>
      <c r="K26" s="771"/>
      <c r="L26" s="771"/>
      <c r="M26" s="771"/>
    </row>
    <row r="27" spans="1:13">
      <c r="A27" s="918" t="s">
        <v>1310</v>
      </c>
      <c r="B27" s="919">
        <f>SUM(B20:B26)</f>
        <v>1</v>
      </c>
      <c r="C27" s="919">
        <f t="shared" ref="C27:D27" si="3">SUM(C20:C26)</f>
        <v>1</v>
      </c>
      <c r="D27" s="919">
        <f t="shared" si="3"/>
        <v>1</v>
      </c>
      <c r="E27" s="587"/>
      <c r="F27" s="771"/>
      <c r="G27" s="979">
        <f>SUMPRODUCT(G20:G26,B20:B26)</f>
        <v>12.123419999999999</v>
      </c>
      <c r="H27" s="979">
        <f t="shared" ref="H27:I27" si="4">SUMPRODUCT(H20:H26,C20:C26)</f>
        <v>10.33624108815436</v>
      </c>
      <c r="I27" s="979">
        <f t="shared" si="4"/>
        <v>7.6796292919502012</v>
      </c>
      <c r="J27" s="771"/>
      <c r="K27" s="771"/>
      <c r="L27" s="771"/>
      <c r="M27" s="771"/>
    </row>
    <row r="28" spans="1:13">
      <c r="A28" s="771"/>
      <c r="B28" s="771"/>
      <c r="C28" s="775"/>
      <c r="D28" s="775"/>
      <c r="E28" s="771"/>
      <c r="F28" s="771"/>
      <c r="G28" s="771"/>
      <c r="H28" s="771"/>
      <c r="I28" s="771"/>
      <c r="J28" s="771"/>
      <c r="K28" s="771"/>
      <c r="L28" s="771"/>
      <c r="M28" s="771"/>
    </row>
    <row r="29" spans="1:13">
      <c r="A29" s="771"/>
      <c r="B29" s="771"/>
      <c r="C29" s="771"/>
      <c r="D29" s="771"/>
      <c r="E29" s="771"/>
      <c r="F29" s="771"/>
      <c r="G29" s="771"/>
      <c r="H29" s="771"/>
      <c r="I29" s="771"/>
      <c r="J29" s="771"/>
      <c r="K29" s="771"/>
      <c r="L29" s="771"/>
      <c r="M29" s="771"/>
    </row>
    <row r="30" spans="1:13">
      <c r="A30" s="860" t="s">
        <v>1311</v>
      </c>
      <c r="B30" s="860">
        <v>2022</v>
      </c>
      <c r="C30" s="860">
        <v>2030</v>
      </c>
      <c r="D30" s="860">
        <v>2060</v>
      </c>
      <c r="E30" s="860" t="s">
        <v>116</v>
      </c>
      <c r="F30" s="860" t="s">
        <v>1289</v>
      </c>
      <c r="G30" s="771"/>
      <c r="H30" s="771"/>
      <c r="I30" s="771"/>
      <c r="J30" s="771"/>
      <c r="K30" s="771"/>
      <c r="L30" s="771"/>
      <c r="M30" s="771"/>
    </row>
    <row r="31" spans="1:13">
      <c r="A31" s="587" t="s">
        <v>1302</v>
      </c>
      <c r="B31" s="1009">
        <f>$B12*B20</f>
        <v>12.2</v>
      </c>
      <c r="C31" s="1009">
        <f>$B$13*C20</f>
        <v>16.5</v>
      </c>
      <c r="D31" s="1009">
        <f>$B$14*D20</f>
        <v>3.3000000000000003</v>
      </c>
      <c r="E31" s="587" t="s">
        <v>1290</v>
      </c>
      <c r="F31" s="587" t="s">
        <v>1467</v>
      </c>
      <c r="G31" s="771"/>
      <c r="H31" s="771"/>
      <c r="I31" s="771"/>
      <c r="J31" s="771"/>
      <c r="K31" s="771"/>
      <c r="L31" s="771"/>
      <c r="M31" s="771"/>
    </row>
    <row r="32" spans="1:13">
      <c r="A32" s="587" t="s">
        <v>1305</v>
      </c>
      <c r="B32" s="1009">
        <f t="shared" ref="B32:B37" si="5">$B$12*B21</f>
        <v>0</v>
      </c>
      <c r="C32" s="1009">
        <f t="shared" ref="C32:C37" si="6">$B$13*C21</f>
        <v>0.99</v>
      </c>
      <c r="D32" s="1009">
        <f t="shared" ref="D32:D37" si="7">$B$14*D21</f>
        <v>4.95</v>
      </c>
      <c r="E32" s="587" t="s">
        <v>1290</v>
      </c>
      <c r="F32" s="587" t="s">
        <v>1467</v>
      </c>
      <c r="G32" s="771"/>
      <c r="H32" s="771"/>
      <c r="I32" s="771"/>
      <c r="J32" s="771"/>
      <c r="K32" s="771"/>
      <c r="L32" s="771"/>
      <c r="M32" s="771"/>
    </row>
    <row r="33" spans="1:13">
      <c r="A33" s="587" t="s">
        <v>1306</v>
      </c>
      <c r="B33" s="1009">
        <f t="shared" si="5"/>
        <v>4.8</v>
      </c>
      <c r="C33" s="1009">
        <f t="shared" si="6"/>
        <v>11.549999999999999</v>
      </c>
      <c r="D33" s="1009">
        <f t="shared" si="7"/>
        <v>19.8</v>
      </c>
      <c r="E33" s="587" t="s">
        <v>1290</v>
      </c>
      <c r="F33" s="587" t="s">
        <v>1467</v>
      </c>
      <c r="G33" s="771"/>
      <c r="H33" s="771"/>
      <c r="I33" s="771"/>
      <c r="J33" s="771"/>
      <c r="K33" s="771"/>
      <c r="L33" s="771"/>
      <c r="M33" s="771"/>
    </row>
    <row r="34" spans="1:13">
      <c r="A34" s="587" t="s">
        <v>1307</v>
      </c>
      <c r="B34" s="1009">
        <f t="shared" si="5"/>
        <v>0</v>
      </c>
      <c r="C34" s="1009">
        <f t="shared" si="6"/>
        <v>0.66</v>
      </c>
      <c r="D34" s="1009">
        <f t="shared" si="7"/>
        <v>0</v>
      </c>
      <c r="E34" s="587" t="s">
        <v>1290</v>
      </c>
      <c r="F34" s="587" t="s">
        <v>1467</v>
      </c>
      <c r="G34" s="771"/>
      <c r="H34" s="771"/>
      <c r="I34" s="771"/>
      <c r="J34" s="771"/>
      <c r="K34" s="771"/>
      <c r="L34" s="771"/>
      <c r="M34" s="771"/>
    </row>
    <row r="35" spans="1:13">
      <c r="A35" s="587" t="s">
        <v>1308</v>
      </c>
      <c r="B35" s="1009">
        <f t="shared" si="5"/>
        <v>0</v>
      </c>
      <c r="C35" s="1009">
        <f t="shared" si="6"/>
        <v>0</v>
      </c>
      <c r="D35" s="1009">
        <f t="shared" si="7"/>
        <v>1.6500000000000001</v>
      </c>
      <c r="E35" s="587" t="s">
        <v>1290</v>
      </c>
      <c r="F35" s="587" t="s">
        <v>1467</v>
      </c>
      <c r="G35" s="771"/>
      <c r="H35" s="771"/>
      <c r="I35" s="771"/>
      <c r="J35" s="771"/>
      <c r="K35" s="771"/>
      <c r="L35" s="771"/>
      <c r="M35" s="771"/>
    </row>
    <row r="36" spans="1:13">
      <c r="A36" s="587" t="s">
        <v>1309</v>
      </c>
      <c r="B36" s="1009">
        <f t="shared" si="5"/>
        <v>0</v>
      </c>
      <c r="C36" s="1009">
        <f t="shared" si="6"/>
        <v>0</v>
      </c>
      <c r="D36" s="1009">
        <f t="shared" si="7"/>
        <v>3.3000000000000003</v>
      </c>
      <c r="E36" s="587" t="s">
        <v>1290</v>
      </c>
      <c r="F36" s="587" t="s">
        <v>1467</v>
      </c>
      <c r="G36" s="771"/>
      <c r="H36" s="771"/>
      <c r="I36" s="771"/>
      <c r="J36" s="771"/>
      <c r="K36" s="771"/>
      <c r="L36" s="771"/>
      <c r="M36" s="771"/>
    </row>
    <row r="37" spans="1:13">
      <c r="A37" s="587" t="s">
        <v>1468</v>
      </c>
      <c r="B37" s="1009">
        <f t="shared" si="5"/>
        <v>3</v>
      </c>
      <c r="C37" s="1009">
        <f t="shared" si="6"/>
        <v>3.3000000000000003</v>
      </c>
      <c r="D37" s="1009">
        <f t="shared" si="7"/>
        <v>0</v>
      </c>
      <c r="E37" s="587" t="s">
        <v>1290</v>
      </c>
      <c r="F37" s="587"/>
      <c r="G37" s="771"/>
      <c r="H37" s="771"/>
      <c r="I37" s="771"/>
      <c r="J37" s="771"/>
      <c r="K37" s="771"/>
      <c r="L37" s="771"/>
      <c r="M37" s="771"/>
    </row>
    <row r="38" spans="1:13">
      <c r="A38" s="918" t="s">
        <v>1312</v>
      </c>
      <c r="B38" s="922">
        <f>SUM(B31:B37)</f>
        <v>20</v>
      </c>
      <c r="C38" s="922">
        <f t="shared" ref="C38:D38" si="8">SUM(C31:C37)</f>
        <v>33</v>
      </c>
      <c r="D38" s="922">
        <f t="shared" si="8"/>
        <v>33</v>
      </c>
      <c r="E38" s="587" t="s">
        <v>1290</v>
      </c>
      <c r="F38" s="587" t="s">
        <v>1467</v>
      </c>
      <c r="G38" s="771"/>
      <c r="H38" s="771"/>
      <c r="I38" s="771"/>
      <c r="J38" s="771"/>
      <c r="K38" s="771"/>
      <c r="L38" s="771"/>
      <c r="M38" s="771"/>
    </row>
    <row r="39" spans="1:13">
      <c r="A39" s="771"/>
      <c r="B39" s="846"/>
      <c r="C39" s="846"/>
      <c r="D39" s="846"/>
      <c r="E39" s="771"/>
      <c r="F39" s="771"/>
      <c r="G39" s="771"/>
      <c r="H39" s="771"/>
      <c r="I39" s="771"/>
      <c r="J39" s="771"/>
      <c r="K39" s="771"/>
      <c r="L39" s="771"/>
      <c r="M39" s="771"/>
    </row>
    <row r="40" spans="1:13">
      <c r="A40" s="858" t="s">
        <v>1313</v>
      </c>
      <c r="B40" s="885">
        <v>2022</v>
      </c>
      <c r="C40" s="885">
        <v>2030</v>
      </c>
      <c r="D40" s="885">
        <v>2060</v>
      </c>
      <c r="E40" s="885" t="s">
        <v>116</v>
      </c>
      <c r="F40" s="885" t="s">
        <v>1289</v>
      </c>
      <c r="G40" s="1231" t="s">
        <v>505</v>
      </c>
      <c r="H40" s="771"/>
      <c r="I40" s="771"/>
      <c r="J40" s="771"/>
      <c r="K40" s="771"/>
      <c r="L40" s="771"/>
      <c r="M40" s="771"/>
    </row>
    <row r="41" spans="1:13" ht="60">
      <c r="A41" s="716" t="s">
        <v>1302</v>
      </c>
      <c r="B41" s="866">
        <f t="shared" ref="B41:B48" si="9">B31/$C$6</f>
        <v>16.47</v>
      </c>
      <c r="C41" s="717">
        <f t="shared" ref="C41:C48" si="10">C31/$C$7</f>
        <v>22.275000000000002</v>
      </c>
      <c r="D41" s="717">
        <f t="shared" ref="D41:D48" si="11">D31/$C$8</f>
        <v>4.125</v>
      </c>
      <c r="E41" s="587" t="s">
        <v>1314</v>
      </c>
      <c r="F41" s="587"/>
      <c r="G41" s="1232" t="s">
        <v>1436</v>
      </c>
      <c r="H41" s="771"/>
      <c r="I41" s="771"/>
      <c r="J41" s="771"/>
      <c r="K41" s="771"/>
      <c r="L41" s="771"/>
      <c r="M41" s="771"/>
    </row>
    <row r="42" spans="1:13">
      <c r="A42" s="716" t="s">
        <v>1305</v>
      </c>
      <c r="B42" s="717">
        <f t="shared" si="9"/>
        <v>0</v>
      </c>
      <c r="C42" s="717">
        <f t="shared" si="10"/>
        <v>1.3365</v>
      </c>
      <c r="D42" s="717">
        <f t="shared" si="11"/>
        <v>6.1875</v>
      </c>
      <c r="E42" s="587" t="s">
        <v>1314</v>
      </c>
      <c r="F42" s="587"/>
      <c r="G42" s="720"/>
      <c r="H42" s="771"/>
      <c r="I42" s="771"/>
      <c r="J42" s="771"/>
      <c r="K42" s="771"/>
      <c r="L42" s="771"/>
      <c r="M42" s="771"/>
    </row>
    <row r="43" spans="1:13">
      <c r="A43" s="716" t="s">
        <v>1306</v>
      </c>
      <c r="B43" s="717">
        <f t="shared" si="9"/>
        <v>6.48</v>
      </c>
      <c r="C43" s="717">
        <f t="shared" si="10"/>
        <v>15.592499999999999</v>
      </c>
      <c r="D43" s="717">
        <f t="shared" si="11"/>
        <v>24.75</v>
      </c>
      <c r="E43" s="587" t="s">
        <v>1314</v>
      </c>
      <c r="F43" s="587"/>
      <c r="G43" s="720"/>
      <c r="H43" s="771"/>
      <c r="I43" s="771"/>
      <c r="J43" s="771"/>
      <c r="K43" s="771"/>
      <c r="L43" s="771"/>
      <c r="M43" s="771"/>
    </row>
    <row r="44" spans="1:13">
      <c r="A44" s="716" t="s">
        <v>1307</v>
      </c>
      <c r="B44" s="717">
        <f t="shared" si="9"/>
        <v>0</v>
      </c>
      <c r="C44" s="717">
        <f t="shared" si="10"/>
        <v>0.89100000000000013</v>
      </c>
      <c r="D44" s="717">
        <f t="shared" si="11"/>
        <v>0</v>
      </c>
      <c r="E44" s="587" t="s">
        <v>1314</v>
      </c>
      <c r="F44" s="587"/>
      <c r="G44" s="720"/>
      <c r="H44" s="771"/>
      <c r="I44" s="771"/>
      <c r="J44" s="771"/>
      <c r="K44" s="771"/>
      <c r="L44" s="771"/>
      <c r="M44" s="771"/>
    </row>
    <row r="45" spans="1:13">
      <c r="A45" s="716" t="s">
        <v>1308</v>
      </c>
      <c r="B45" s="717">
        <f t="shared" si="9"/>
        <v>0</v>
      </c>
      <c r="C45" s="717">
        <f t="shared" si="10"/>
        <v>0</v>
      </c>
      <c r="D45" s="717">
        <f t="shared" si="11"/>
        <v>2.0625</v>
      </c>
      <c r="E45" s="587" t="s">
        <v>1314</v>
      </c>
      <c r="F45" s="587"/>
      <c r="G45" s="720"/>
      <c r="H45" s="771"/>
      <c r="I45" s="771"/>
      <c r="J45" s="771"/>
      <c r="K45" s="771"/>
      <c r="L45" s="771"/>
      <c r="M45" s="771"/>
    </row>
    <row r="46" spans="1:13">
      <c r="A46" s="716" t="s">
        <v>1309</v>
      </c>
      <c r="B46" s="717">
        <f t="shared" si="9"/>
        <v>0</v>
      </c>
      <c r="C46" s="717">
        <f t="shared" si="10"/>
        <v>0</v>
      </c>
      <c r="D46" s="717">
        <f t="shared" si="11"/>
        <v>4.125</v>
      </c>
      <c r="E46" s="587" t="s">
        <v>1314</v>
      </c>
      <c r="F46" s="587"/>
      <c r="G46" s="720"/>
      <c r="H46" s="771"/>
      <c r="I46" s="771"/>
      <c r="J46" s="771"/>
      <c r="K46" s="771"/>
      <c r="L46" s="771"/>
      <c r="M46" s="771"/>
    </row>
    <row r="47" spans="1:13">
      <c r="A47" s="587" t="s">
        <v>1468</v>
      </c>
      <c r="B47" s="717">
        <f t="shared" si="9"/>
        <v>4.05</v>
      </c>
      <c r="C47" s="717">
        <f t="shared" si="10"/>
        <v>4.455000000000001</v>
      </c>
      <c r="D47" s="717">
        <f t="shared" si="11"/>
        <v>0</v>
      </c>
      <c r="E47" s="587" t="s">
        <v>1314</v>
      </c>
      <c r="F47" s="587"/>
      <c r="G47" s="720"/>
      <c r="H47" s="771"/>
      <c r="I47" s="771"/>
      <c r="J47" s="771"/>
      <c r="K47" s="771"/>
      <c r="L47" s="771"/>
      <c r="M47" s="771"/>
    </row>
    <row r="48" spans="1:13">
      <c r="A48" s="923" t="s">
        <v>1316</v>
      </c>
      <c r="B48" s="924">
        <f t="shared" si="9"/>
        <v>27</v>
      </c>
      <c r="C48" s="925">
        <f t="shared" si="10"/>
        <v>44.550000000000004</v>
      </c>
      <c r="D48" s="925">
        <f t="shared" si="11"/>
        <v>41.25</v>
      </c>
      <c r="E48" s="855" t="s">
        <v>1314</v>
      </c>
      <c r="F48" s="855"/>
      <c r="G48" s="857"/>
      <c r="H48" s="771"/>
      <c r="I48" s="771"/>
      <c r="J48" s="771"/>
      <c r="K48" s="771"/>
      <c r="L48" s="771"/>
      <c r="M48" s="771"/>
    </row>
    <row r="49" spans="1:13">
      <c r="A49" s="771"/>
      <c r="B49" s="846"/>
      <c r="C49" s="846"/>
      <c r="D49" s="846"/>
      <c r="E49" s="771"/>
      <c r="F49" s="771"/>
      <c r="G49" s="771"/>
      <c r="H49" s="771"/>
      <c r="I49" s="771"/>
      <c r="J49" s="771"/>
      <c r="K49" s="771"/>
      <c r="L49" s="771"/>
      <c r="M49" s="771"/>
    </row>
    <row r="50" spans="1:13">
      <c r="A50" s="920" t="s">
        <v>1317</v>
      </c>
      <c r="B50" s="920"/>
      <c r="C50" s="920"/>
      <c r="D50" s="920"/>
      <c r="E50" s="587"/>
      <c r="F50" s="587"/>
      <c r="G50" s="587"/>
      <c r="H50" s="587"/>
      <c r="I50" s="771"/>
      <c r="J50" s="771"/>
      <c r="K50" s="771"/>
      <c r="L50" s="771"/>
      <c r="M50" s="771"/>
    </row>
    <row r="51" spans="1:13">
      <c r="A51" s="860" t="s">
        <v>1318</v>
      </c>
      <c r="B51" s="860" t="s">
        <v>1319</v>
      </c>
      <c r="C51" s="860">
        <v>2030</v>
      </c>
      <c r="D51" s="860">
        <v>2060</v>
      </c>
      <c r="E51" s="860" t="s">
        <v>116</v>
      </c>
      <c r="F51" s="860" t="s">
        <v>1320</v>
      </c>
      <c r="G51" s="860" t="s">
        <v>505</v>
      </c>
      <c r="H51" s="587"/>
      <c r="I51" s="771"/>
      <c r="J51" s="771"/>
      <c r="K51" s="771"/>
      <c r="L51" s="771"/>
      <c r="M51" s="771"/>
    </row>
    <row r="52" spans="1:13">
      <c r="A52" s="587" t="s">
        <v>1321</v>
      </c>
      <c r="B52" s="587"/>
      <c r="C52" s="1233">
        <v>0</v>
      </c>
      <c r="D52" s="1233">
        <v>0</v>
      </c>
      <c r="E52" s="587" t="s">
        <v>1322</v>
      </c>
      <c r="F52" s="587" t="s">
        <v>1323</v>
      </c>
      <c r="G52" s="587" t="s">
        <v>1324</v>
      </c>
      <c r="H52" s="587"/>
      <c r="I52" s="771"/>
      <c r="J52" s="771"/>
      <c r="K52" s="771"/>
      <c r="L52" s="771"/>
      <c r="M52" s="771"/>
    </row>
    <row r="53" spans="1:13">
      <c r="A53" s="587" t="s">
        <v>1325</v>
      </c>
      <c r="B53" s="587" t="s">
        <v>1326</v>
      </c>
      <c r="C53" s="1234">
        <v>205</v>
      </c>
      <c r="D53" s="1234">
        <v>205</v>
      </c>
      <c r="E53" s="587" t="s">
        <v>1322</v>
      </c>
      <c r="F53" s="587" t="s">
        <v>1327</v>
      </c>
      <c r="G53" s="1235" t="s">
        <v>1328</v>
      </c>
      <c r="H53" s="587"/>
      <c r="I53" s="771"/>
      <c r="J53" s="771"/>
      <c r="K53" s="771"/>
      <c r="L53" s="771"/>
      <c r="M53" s="771"/>
    </row>
    <row r="54" spans="1:13">
      <c r="A54" s="587" t="s">
        <v>1329</v>
      </c>
      <c r="B54" s="587" t="s">
        <v>1326</v>
      </c>
      <c r="C54" s="1234">
        <v>377</v>
      </c>
      <c r="D54" s="1234">
        <v>377</v>
      </c>
      <c r="E54" s="587" t="s">
        <v>1322</v>
      </c>
      <c r="F54" s="587" t="s">
        <v>1327</v>
      </c>
      <c r="G54" s="1235"/>
      <c r="H54" s="587"/>
      <c r="I54" s="771"/>
      <c r="J54" s="771"/>
      <c r="K54" s="771"/>
      <c r="L54" s="771"/>
      <c r="M54" s="771"/>
    </row>
    <row r="55" spans="1:13">
      <c r="A55" s="587" t="s">
        <v>1330</v>
      </c>
      <c r="B55" s="587" t="s">
        <v>1326</v>
      </c>
      <c r="C55" s="1234">
        <v>172</v>
      </c>
      <c r="D55" s="1234">
        <v>172</v>
      </c>
      <c r="E55" s="587" t="s">
        <v>1322</v>
      </c>
      <c r="F55" s="587" t="s">
        <v>1327</v>
      </c>
      <c r="G55" s="1235"/>
      <c r="H55" s="587"/>
      <c r="I55" s="771"/>
      <c r="J55" s="771"/>
      <c r="K55" s="771"/>
      <c r="L55" s="771"/>
      <c r="M55" s="771"/>
    </row>
    <row r="56" spans="1:13">
      <c r="A56" s="587" t="s">
        <v>1306</v>
      </c>
      <c r="B56" s="587" t="s">
        <v>1331</v>
      </c>
      <c r="C56" s="1234">
        <v>221</v>
      </c>
      <c r="D56" s="1234">
        <v>221</v>
      </c>
      <c r="E56" s="587" t="s">
        <v>1322</v>
      </c>
      <c r="F56" s="587" t="s">
        <v>1327</v>
      </c>
      <c r="G56" s="1235"/>
      <c r="H56" s="587"/>
      <c r="I56" s="771"/>
      <c r="J56" s="771"/>
      <c r="K56" s="771"/>
      <c r="L56" s="771"/>
      <c r="M56" s="771"/>
    </row>
    <row r="57" spans="1:13">
      <c r="A57" s="587" t="s">
        <v>1306</v>
      </c>
      <c r="B57" s="587" t="s">
        <v>1326</v>
      </c>
      <c r="C57" s="1234">
        <v>132</v>
      </c>
      <c r="D57" s="1234">
        <v>132</v>
      </c>
      <c r="E57" s="587" t="s">
        <v>1322</v>
      </c>
      <c r="F57" s="587" t="s">
        <v>1327</v>
      </c>
      <c r="G57" s="1235"/>
      <c r="H57" s="587"/>
      <c r="I57" s="771"/>
      <c r="J57" s="771"/>
      <c r="K57" s="771"/>
      <c r="L57" s="771"/>
      <c r="M57" s="771"/>
    </row>
    <row r="58" spans="1:13">
      <c r="A58" s="587" t="s">
        <v>1307</v>
      </c>
      <c r="B58" s="587" t="s">
        <v>1331</v>
      </c>
      <c r="C58" s="1234">
        <v>734</v>
      </c>
      <c r="D58" s="1234">
        <v>734</v>
      </c>
      <c r="E58" s="587" t="s">
        <v>1322</v>
      </c>
      <c r="F58" s="587" t="s">
        <v>1327</v>
      </c>
      <c r="G58" s="1235"/>
      <c r="H58" s="587"/>
      <c r="I58" s="771"/>
      <c r="J58" s="771"/>
      <c r="K58" s="771"/>
      <c r="L58" s="771"/>
      <c r="M58" s="771"/>
    </row>
    <row r="59" spans="1:13">
      <c r="A59" s="587" t="s">
        <v>1309</v>
      </c>
      <c r="B59" s="587" t="s">
        <v>1332</v>
      </c>
      <c r="C59" s="1234">
        <v>152</v>
      </c>
      <c r="D59" s="1234">
        <v>152</v>
      </c>
      <c r="E59" s="587" t="s">
        <v>1322</v>
      </c>
      <c r="F59" s="587" t="s">
        <v>1327</v>
      </c>
      <c r="G59" s="1235"/>
      <c r="H59" s="587"/>
      <c r="I59" s="771"/>
      <c r="J59" s="771"/>
      <c r="K59" s="771"/>
      <c r="L59" s="771"/>
      <c r="M59" s="771"/>
    </row>
    <row r="60" spans="1:13">
      <c r="A60" s="587" t="s">
        <v>1333</v>
      </c>
      <c r="B60" s="587" t="s">
        <v>1331</v>
      </c>
      <c r="C60" s="1234">
        <f>C58</f>
        <v>734</v>
      </c>
      <c r="D60" s="1234">
        <f>D58</f>
        <v>734</v>
      </c>
      <c r="E60" s="587" t="s">
        <v>1322</v>
      </c>
      <c r="F60" s="587" t="s">
        <v>1327</v>
      </c>
      <c r="G60" s="1235"/>
      <c r="H60" s="587"/>
      <c r="I60" s="771"/>
      <c r="J60" s="771"/>
      <c r="K60" s="771"/>
      <c r="L60" s="771"/>
      <c r="M60" s="771"/>
    </row>
    <row r="61" spans="1:13">
      <c r="A61" s="587"/>
      <c r="B61" s="587"/>
      <c r="C61" s="1234"/>
      <c r="D61" s="1234"/>
      <c r="E61" s="587"/>
      <c r="F61" s="587"/>
      <c r="G61" s="587"/>
      <c r="H61" s="587"/>
      <c r="I61" s="771"/>
      <c r="J61" s="771"/>
      <c r="K61" s="771"/>
      <c r="L61" s="771"/>
      <c r="M61" s="771"/>
    </row>
    <row r="62" spans="1:13">
      <c r="A62" s="587" t="s">
        <v>1321</v>
      </c>
      <c r="B62" s="587"/>
      <c r="C62" s="1233">
        <v>0</v>
      </c>
      <c r="D62" s="1233">
        <v>0</v>
      </c>
      <c r="E62" s="587" t="s">
        <v>1334</v>
      </c>
      <c r="F62" s="587" t="s">
        <v>1323</v>
      </c>
      <c r="G62" s="587" t="s">
        <v>1324</v>
      </c>
      <c r="H62" s="587"/>
      <c r="I62" s="771"/>
      <c r="J62" s="771"/>
      <c r="K62" s="771"/>
      <c r="L62" s="771"/>
      <c r="M62" s="771"/>
    </row>
    <row r="63" spans="1:13">
      <c r="A63" s="587" t="s">
        <v>1325</v>
      </c>
      <c r="B63" s="587" t="s">
        <v>1326</v>
      </c>
      <c r="C63" s="1236">
        <f>C53/$C$7</f>
        <v>276.75</v>
      </c>
      <c r="D63" s="1236">
        <f>D53/$C$8</f>
        <v>256.25</v>
      </c>
      <c r="E63" s="587" t="s">
        <v>1334</v>
      </c>
      <c r="F63" s="587" t="s">
        <v>1335</v>
      </c>
      <c r="G63" s="587"/>
      <c r="H63" s="587"/>
      <c r="I63" s="771"/>
      <c r="J63" s="771"/>
      <c r="K63" s="771"/>
      <c r="L63" s="771"/>
      <c r="M63" s="771"/>
    </row>
    <row r="64" spans="1:13">
      <c r="A64" s="587" t="s">
        <v>1329</v>
      </c>
      <c r="B64" s="587" t="s">
        <v>1326</v>
      </c>
      <c r="C64" s="1236">
        <f>C54/$C$7</f>
        <v>508.95000000000005</v>
      </c>
      <c r="D64" s="1236">
        <f t="shared" ref="D64:D70" si="12">D54/$C$8</f>
        <v>471.25</v>
      </c>
      <c r="E64" s="587" t="s">
        <v>1334</v>
      </c>
      <c r="F64" s="587" t="s">
        <v>1335</v>
      </c>
      <c r="G64" s="587"/>
      <c r="H64" s="587"/>
      <c r="I64" s="771"/>
      <c r="J64" s="771"/>
      <c r="K64" s="771"/>
      <c r="L64" s="771"/>
      <c r="M64" s="771"/>
    </row>
    <row r="65" spans="1:13">
      <c r="A65" s="587" t="s">
        <v>1330</v>
      </c>
      <c r="B65" s="587" t="s">
        <v>1326</v>
      </c>
      <c r="C65" s="1236">
        <f t="shared" ref="C65:C70" si="13">C55/$C$7</f>
        <v>232.20000000000002</v>
      </c>
      <c r="D65" s="1236">
        <f t="shared" si="12"/>
        <v>215</v>
      </c>
      <c r="E65" s="587" t="s">
        <v>1334</v>
      </c>
      <c r="F65" s="587" t="s">
        <v>1335</v>
      </c>
      <c r="G65" s="587"/>
      <c r="H65" s="587"/>
      <c r="I65" s="771"/>
      <c r="J65" s="771"/>
      <c r="K65" s="771"/>
      <c r="L65" s="771"/>
      <c r="M65" s="771"/>
    </row>
    <row r="66" spans="1:13">
      <c r="A66" s="587" t="s">
        <v>1306</v>
      </c>
      <c r="B66" s="587" t="s">
        <v>1331</v>
      </c>
      <c r="C66" s="1236">
        <f t="shared" si="13"/>
        <v>298.35000000000002</v>
      </c>
      <c r="D66" s="1236">
        <f t="shared" si="12"/>
        <v>276.25</v>
      </c>
      <c r="E66" s="587" t="s">
        <v>1334</v>
      </c>
      <c r="F66" s="587" t="s">
        <v>1335</v>
      </c>
      <c r="G66" s="587"/>
      <c r="H66" s="587"/>
      <c r="I66" s="771"/>
      <c r="J66" s="771"/>
      <c r="K66" s="771"/>
      <c r="L66" s="771"/>
      <c r="M66" s="771"/>
    </row>
    <row r="67" spans="1:13">
      <c r="A67" s="587" t="s">
        <v>1306</v>
      </c>
      <c r="B67" s="587" t="s">
        <v>1326</v>
      </c>
      <c r="C67" s="1236">
        <f t="shared" si="13"/>
        <v>178.20000000000002</v>
      </c>
      <c r="D67" s="1236">
        <f t="shared" si="12"/>
        <v>165</v>
      </c>
      <c r="E67" s="587" t="s">
        <v>1334</v>
      </c>
      <c r="F67" s="587" t="s">
        <v>1335</v>
      </c>
      <c r="G67" s="587"/>
      <c r="H67" s="587"/>
      <c r="I67" s="771"/>
      <c r="J67" s="771"/>
      <c r="K67" s="771"/>
      <c r="L67" s="771"/>
      <c r="M67" s="771"/>
    </row>
    <row r="68" spans="1:13">
      <c r="A68" s="587" t="s">
        <v>1307</v>
      </c>
      <c r="B68" s="587" t="s">
        <v>1331</v>
      </c>
      <c r="C68" s="1236">
        <f t="shared" si="13"/>
        <v>990.90000000000009</v>
      </c>
      <c r="D68" s="1236">
        <f t="shared" si="12"/>
        <v>917.5</v>
      </c>
      <c r="E68" s="587" t="s">
        <v>1334</v>
      </c>
      <c r="F68" s="587" t="s">
        <v>1335</v>
      </c>
      <c r="G68" s="587"/>
      <c r="H68" s="587"/>
      <c r="I68" s="771"/>
      <c r="J68" s="771"/>
      <c r="K68" s="771"/>
      <c r="L68" s="771"/>
      <c r="M68" s="771"/>
    </row>
    <row r="69" spans="1:13">
      <c r="A69" s="587" t="s">
        <v>1309</v>
      </c>
      <c r="B69" s="587" t="s">
        <v>1332</v>
      </c>
      <c r="C69" s="1236">
        <f t="shared" si="13"/>
        <v>205.20000000000002</v>
      </c>
      <c r="D69" s="1236">
        <f t="shared" si="12"/>
        <v>190</v>
      </c>
      <c r="E69" s="587" t="s">
        <v>1334</v>
      </c>
      <c r="F69" s="587" t="s">
        <v>1335</v>
      </c>
      <c r="G69" s="587"/>
      <c r="H69" s="587"/>
      <c r="I69" s="771"/>
      <c r="J69" s="771"/>
      <c r="K69" s="771"/>
      <c r="L69" s="771"/>
      <c r="M69" s="771"/>
    </row>
    <row r="70" spans="1:13">
      <c r="A70" s="587" t="s">
        <v>1333</v>
      </c>
      <c r="B70" s="587" t="s">
        <v>1331</v>
      </c>
      <c r="C70" s="1236">
        <f t="shared" si="13"/>
        <v>990.90000000000009</v>
      </c>
      <c r="D70" s="1236">
        <f t="shared" si="12"/>
        <v>917.5</v>
      </c>
      <c r="E70" s="587" t="s">
        <v>1334</v>
      </c>
      <c r="F70" s="587" t="s">
        <v>1335</v>
      </c>
      <c r="G70" s="587"/>
      <c r="H70" s="587"/>
      <c r="I70" s="771"/>
      <c r="J70" s="771"/>
      <c r="K70" s="771"/>
      <c r="L70" s="771"/>
      <c r="M70" s="771"/>
    </row>
    <row r="71" spans="1:13">
      <c r="A71" s="587"/>
      <c r="B71" s="587"/>
      <c r="C71" s="587"/>
      <c r="D71" s="587"/>
      <c r="E71" s="587"/>
      <c r="F71" s="587"/>
      <c r="G71" s="587"/>
      <c r="H71" s="587"/>
      <c r="I71" s="771"/>
      <c r="J71" s="771"/>
      <c r="K71" s="771"/>
      <c r="L71" s="771"/>
      <c r="M71" s="771"/>
    </row>
    <row r="72" spans="1:13">
      <c r="A72" s="860" t="s">
        <v>1336</v>
      </c>
      <c r="B72" s="860" t="s">
        <v>1319</v>
      </c>
      <c r="C72" s="860"/>
      <c r="D72" s="860" t="s">
        <v>1337</v>
      </c>
      <c r="E72" s="860" t="s">
        <v>116</v>
      </c>
      <c r="F72" s="860" t="s">
        <v>612</v>
      </c>
      <c r="G72" s="587"/>
      <c r="H72" s="771"/>
      <c r="I72" s="771"/>
      <c r="J72" s="771"/>
      <c r="K72" s="771"/>
      <c r="L72" s="771"/>
      <c r="M72" s="771"/>
    </row>
    <row r="73" spans="1:13">
      <c r="A73" s="587" t="s">
        <v>1338</v>
      </c>
      <c r="B73" s="587" t="s">
        <v>1331</v>
      </c>
      <c r="C73" s="582">
        <f>230/1.6</f>
        <v>143.75</v>
      </c>
      <c r="D73" s="587">
        <v>2015</v>
      </c>
      <c r="E73" s="587" t="s">
        <v>1339</v>
      </c>
      <c r="F73" s="587" t="s">
        <v>1340</v>
      </c>
      <c r="G73" s="1237" t="s">
        <v>1341</v>
      </c>
      <c r="H73" s="771"/>
      <c r="I73" s="771"/>
      <c r="J73" s="771"/>
      <c r="K73" s="771"/>
      <c r="L73" s="771"/>
      <c r="M73" s="771"/>
    </row>
    <row r="74" spans="1:13">
      <c r="A74" s="587" t="s">
        <v>1342</v>
      </c>
      <c r="B74" s="587" t="s">
        <v>1331</v>
      </c>
      <c r="C74" s="582">
        <f>500/2</f>
        <v>250</v>
      </c>
      <c r="D74" s="587">
        <v>2015</v>
      </c>
      <c r="E74" s="587" t="s">
        <v>1339</v>
      </c>
      <c r="F74" s="587" t="s">
        <v>1340</v>
      </c>
      <c r="G74" s="587"/>
      <c r="H74" s="771"/>
      <c r="I74" s="771"/>
      <c r="J74" s="771"/>
      <c r="K74" s="771"/>
      <c r="L74" s="771"/>
      <c r="M74" s="771"/>
    </row>
    <row r="75" spans="1:13">
      <c r="A75" s="771"/>
      <c r="B75" s="771"/>
      <c r="C75" s="771"/>
      <c r="D75" s="771"/>
      <c r="E75" s="771"/>
      <c r="F75" s="771"/>
      <c r="G75" s="771"/>
      <c r="H75" s="771"/>
      <c r="I75" s="771"/>
      <c r="J75" s="771"/>
      <c r="K75" s="771"/>
      <c r="L75" s="771"/>
      <c r="M75" s="771"/>
    </row>
    <row r="76" spans="1:13">
      <c r="A76" s="926" t="s">
        <v>1343</v>
      </c>
      <c r="B76" s="885" t="s">
        <v>1319</v>
      </c>
      <c r="C76" s="885">
        <v>2030</v>
      </c>
      <c r="D76" s="885">
        <v>2060</v>
      </c>
      <c r="E76" s="885" t="s">
        <v>116</v>
      </c>
      <c r="F76" s="1231" t="s">
        <v>612</v>
      </c>
      <c r="G76" s="587"/>
      <c r="H76" s="771"/>
      <c r="I76" s="771"/>
      <c r="J76" s="771"/>
      <c r="K76" s="771"/>
      <c r="L76" s="771"/>
      <c r="M76" s="771"/>
    </row>
    <row r="77" spans="1:13">
      <c r="A77" s="716" t="s">
        <v>1321</v>
      </c>
      <c r="B77" s="587" t="s">
        <v>1344</v>
      </c>
      <c r="C77" s="772">
        <f>C62</f>
        <v>0</v>
      </c>
      <c r="D77" s="772">
        <f>C77</f>
        <v>0</v>
      </c>
      <c r="E77" s="587" t="s">
        <v>1334</v>
      </c>
      <c r="F77" s="720" t="s">
        <v>1323</v>
      </c>
      <c r="G77" s="587"/>
      <c r="H77" s="771"/>
      <c r="I77" s="771"/>
      <c r="J77" s="771"/>
      <c r="K77" s="771"/>
      <c r="L77" s="771"/>
      <c r="M77" s="771"/>
    </row>
    <row r="78" spans="1:13">
      <c r="A78" s="716" t="s">
        <v>1325</v>
      </c>
      <c r="B78" s="587" t="s">
        <v>1326</v>
      </c>
      <c r="C78" s="772">
        <f>C63</f>
        <v>276.75</v>
      </c>
      <c r="D78" s="772">
        <f>C78</f>
        <v>276.75</v>
      </c>
      <c r="E78" s="587" t="s">
        <v>1334</v>
      </c>
      <c r="F78" s="720" t="s">
        <v>1345</v>
      </c>
      <c r="G78" s="587"/>
      <c r="H78" s="771"/>
      <c r="I78" s="771"/>
      <c r="J78" s="771"/>
      <c r="K78" s="771"/>
      <c r="L78" s="771"/>
      <c r="M78" s="771"/>
    </row>
    <row r="79" spans="1:13">
      <c r="A79" s="716" t="s">
        <v>1329</v>
      </c>
      <c r="B79" s="587" t="s">
        <v>1326</v>
      </c>
      <c r="C79" s="772">
        <f>C64</f>
        <v>508.95000000000005</v>
      </c>
      <c r="D79" s="772">
        <f t="shared" ref="D79:D84" si="14">C79</f>
        <v>508.95000000000005</v>
      </c>
      <c r="E79" s="587" t="s">
        <v>1334</v>
      </c>
      <c r="F79" s="720" t="s">
        <v>1345</v>
      </c>
      <c r="G79" s="587"/>
      <c r="H79" s="771"/>
      <c r="I79" s="771"/>
      <c r="J79" s="771"/>
      <c r="K79" s="771"/>
      <c r="L79" s="771"/>
      <c r="M79" s="771"/>
    </row>
    <row r="80" spans="1:13">
      <c r="A80" s="716" t="s">
        <v>1330</v>
      </c>
      <c r="B80" s="587" t="s">
        <v>1326</v>
      </c>
      <c r="C80" s="772">
        <f>C65</f>
        <v>232.20000000000002</v>
      </c>
      <c r="D80" s="772">
        <f t="shared" si="14"/>
        <v>232.20000000000002</v>
      </c>
      <c r="E80" s="587" t="s">
        <v>1334</v>
      </c>
      <c r="F80" s="720" t="s">
        <v>1345</v>
      </c>
      <c r="G80" s="587"/>
      <c r="H80" s="771"/>
      <c r="I80" s="771"/>
      <c r="J80" s="771"/>
      <c r="K80" s="771"/>
      <c r="L80" s="771"/>
      <c r="M80" s="771"/>
    </row>
    <row r="81" spans="1:13">
      <c r="A81" s="716" t="s">
        <v>1306</v>
      </c>
      <c r="B81" s="587" t="s">
        <v>1331</v>
      </c>
      <c r="C81" s="772">
        <f>AVERAGE(C66)</f>
        <v>298.35000000000002</v>
      </c>
      <c r="D81" s="772">
        <f t="shared" si="14"/>
        <v>298.35000000000002</v>
      </c>
      <c r="E81" s="587" t="s">
        <v>1334</v>
      </c>
      <c r="F81" s="720" t="s">
        <v>1346</v>
      </c>
      <c r="G81" s="587"/>
      <c r="H81" s="771"/>
      <c r="I81" s="771"/>
      <c r="J81" s="771"/>
      <c r="K81" s="771"/>
      <c r="L81" s="771"/>
      <c r="M81" s="771"/>
    </row>
    <row r="82" spans="1:13">
      <c r="A82" s="716" t="s">
        <v>1306</v>
      </c>
      <c r="B82" s="587" t="s">
        <v>1326</v>
      </c>
      <c r="C82" s="772">
        <f>C67</f>
        <v>178.20000000000002</v>
      </c>
      <c r="D82" s="772">
        <f t="shared" si="14"/>
        <v>178.20000000000002</v>
      </c>
      <c r="E82" s="587" t="s">
        <v>1334</v>
      </c>
      <c r="F82" s="720" t="s">
        <v>1345</v>
      </c>
      <c r="G82" s="587"/>
      <c r="H82" s="771"/>
      <c r="I82" s="771"/>
      <c r="J82" s="771"/>
      <c r="K82" s="771"/>
      <c r="L82" s="771"/>
      <c r="M82" s="771"/>
    </row>
    <row r="83" spans="1:13">
      <c r="A83" s="716" t="s">
        <v>1307</v>
      </c>
      <c r="B83" s="587" t="s">
        <v>1331</v>
      </c>
      <c r="C83" s="772">
        <f>AVERAGE(C74,C68)</f>
        <v>620.45000000000005</v>
      </c>
      <c r="D83" s="772">
        <f t="shared" si="14"/>
        <v>620.45000000000005</v>
      </c>
      <c r="E83" s="587" t="s">
        <v>1334</v>
      </c>
      <c r="F83" s="720" t="s">
        <v>1346</v>
      </c>
      <c r="G83" s="587"/>
      <c r="H83" s="771"/>
      <c r="I83" s="771"/>
      <c r="J83" s="771"/>
      <c r="K83" s="771"/>
      <c r="L83" s="771"/>
      <c r="M83" s="771"/>
    </row>
    <row r="84" spans="1:13">
      <c r="A84" s="716" t="s">
        <v>1309</v>
      </c>
      <c r="B84" s="587" t="s">
        <v>1332</v>
      </c>
      <c r="C84" s="772">
        <f>C69</f>
        <v>205.20000000000002</v>
      </c>
      <c r="D84" s="772">
        <f t="shared" si="14"/>
        <v>205.20000000000002</v>
      </c>
      <c r="E84" s="587" t="s">
        <v>1334</v>
      </c>
      <c r="F84" s="720" t="s">
        <v>1345</v>
      </c>
      <c r="G84" s="587"/>
      <c r="H84" s="771"/>
      <c r="I84" s="771"/>
      <c r="J84" s="771"/>
      <c r="K84" s="771"/>
      <c r="L84" s="771"/>
      <c r="M84" s="771"/>
    </row>
    <row r="85" spans="1:13">
      <c r="A85" s="854" t="s">
        <v>1333</v>
      </c>
      <c r="B85" s="855" t="s">
        <v>1331</v>
      </c>
      <c r="C85" s="881">
        <f>C83</f>
        <v>620.45000000000005</v>
      </c>
      <c r="D85" s="881">
        <f>C85</f>
        <v>620.45000000000005</v>
      </c>
      <c r="E85" s="855" t="s">
        <v>1334</v>
      </c>
      <c r="F85" s="857" t="s">
        <v>1345</v>
      </c>
      <c r="G85" s="587"/>
      <c r="H85" s="771"/>
      <c r="I85" s="771"/>
      <c r="J85" s="771"/>
      <c r="K85" s="771"/>
      <c r="L85" s="771"/>
      <c r="M85" s="771"/>
    </row>
    <row r="86" spans="1:13">
      <c r="A86" s="771"/>
      <c r="B86" s="771"/>
      <c r="C86" s="771"/>
      <c r="D86" s="771"/>
      <c r="E86" s="771"/>
      <c r="F86" s="771"/>
      <c r="G86" s="771"/>
      <c r="H86" s="771"/>
      <c r="I86" s="771"/>
      <c r="J86" s="771"/>
      <c r="K86" s="771"/>
      <c r="L86" s="771"/>
      <c r="M86" s="771"/>
    </row>
    <row r="87" spans="1:13">
      <c r="A87" s="860" t="s">
        <v>1347</v>
      </c>
      <c r="B87" s="860" t="s">
        <v>1319</v>
      </c>
      <c r="C87" s="860">
        <v>2030</v>
      </c>
      <c r="D87" s="860">
        <v>2060</v>
      </c>
      <c r="E87" s="860" t="s">
        <v>116</v>
      </c>
      <c r="F87" s="860" t="s">
        <v>612</v>
      </c>
      <c r="G87" s="860" t="s">
        <v>505</v>
      </c>
      <c r="H87" s="771"/>
      <c r="I87" s="771"/>
      <c r="J87" s="771"/>
      <c r="K87" s="771"/>
      <c r="L87" s="771"/>
      <c r="M87" s="771"/>
    </row>
    <row r="88" spans="1:13">
      <c r="A88" s="587" t="s">
        <v>1321</v>
      </c>
      <c r="B88" s="587" t="s">
        <v>1344</v>
      </c>
      <c r="C88" s="861">
        <f>(B41-C41)*C62</f>
        <v>0</v>
      </c>
      <c r="D88" s="1238">
        <f>(C41-D41)*D77</f>
        <v>0</v>
      </c>
      <c r="E88" s="587" t="s">
        <v>1348</v>
      </c>
      <c r="F88" s="587" t="s">
        <v>1349</v>
      </c>
      <c r="G88" s="587" t="s">
        <v>1350</v>
      </c>
      <c r="H88" s="771"/>
      <c r="I88" s="771"/>
      <c r="J88" s="771"/>
      <c r="K88" s="771"/>
      <c r="L88" s="771"/>
      <c r="M88" s="771"/>
    </row>
    <row r="89" spans="1:13">
      <c r="A89" s="587" t="s">
        <v>1351</v>
      </c>
      <c r="B89" s="587" t="s">
        <v>1326</v>
      </c>
      <c r="C89" s="582">
        <f>C41*B17*C78</f>
        <v>924.69093750000002</v>
      </c>
      <c r="D89" s="1239">
        <f>D41*C17*D63</f>
        <v>634.21875</v>
      </c>
      <c r="E89" s="587" t="s">
        <v>1348</v>
      </c>
      <c r="F89" s="587" t="s">
        <v>1349</v>
      </c>
      <c r="G89" s="587"/>
      <c r="H89" s="771"/>
      <c r="I89" s="771"/>
      <c r="J89" s="771"/>
      <c r="K89" s="771"/>
      <c r="L89" s="771"/>
      <c r="M89" s="771"/>
    </row>
    <row r="90" spans="1:13">
      <c r="A90" s="587" t="s">
        <v>1352</v>
      </c>
      <c r="B90" s="587" t="s">
        <v>1326</v>
      </c>
      <c r="C90" s="582">
        <f>C42*C79</f>
        <v>680.21167500000013</v>
      </c>
      <c r="D90" s="1239">
        <f>D42*D79</f>
        <v>3149.1281250000002</v>
      </c>
      <c r="E90" s="587" t="s">
        <v>1348</v>
      </c>
      <c r="F90" s="587" t="s">
        <v>1349</v>
      </c>
      <c r="G90" s="587"/>
      <c r="H90" s="771"/>
      <c r="I90" s="771"/>
      <c r="J90" s="771"/>
      <c r="K90" s="771"/>
      <c r="L90" s="771"/>
      <c r="M90" s="771"/>
    </row>
    <row r="91" spans="1:13">
      <c r="A91" s="587" t="s">
        <v>1353</v>
      </c>
      <c r="B91" s="587" t="s">
        <v>1332</v>
      </c>
      <c r="C91" s="582"/>
      <c r="D91" s="1239">
        <f>D36*D84</f>
        <v>677.16000000000008</v>
      </c>
      <c r="E91" s="587" t="s">
        <v>1348</v>
      </c>
      <c r="F91" s="587" t="s">
        <v>1349</v>
      </c>
      <c r="G91" s="587"/>
      <c r="H91" s="771"/>
      <c r="I91" s="771"/>
      <c r="J91" s="771"/>
      <c r="K91" s="771"/>
      <c r="L91" s="771"/>
      <c r="M91" s="771"/>
    </row>
    <row r="92" spans="1:13">
      <c r="A92" s="587" t="s">
        <v>1354</v>
      </c>
      <c r="B92" s="587" t="s">
        <v>1331</v>
      </c>
      <c r="C92" s="582">
        <f>(C43-B43)*C81*50%</f>
        <v>1359.3571875</v>
      </c>
      <c r="D92" s="1239">
        <f>(D43-C43)*D81*50%</f>
        <v>1366.0700625000002</v>
      </c>
      <c r="E92" s="587" t="s">
        <v>1348</v>
      </c>
      <c r="F92" s="587" t="s">
        <v>1349</v>
      </c>
      <c r="G92" s="587" t="s">
        <v>1355</v>
      </c>
      <c r="H92" s="771"/>
      <c r="I92" s="771"/>
      <c r="J92" s="771"/>
      <c r="K92" s="771"/>
      <c r="L92" s="771"/>
      <c r="M92" s="771"/>
    </row>
    <row r="93" spans="1:13">
      <c r="A93" s="587" t="s">
        <v>1354</v>
      </c>
      <c r="B93" s="587" t="s">
        <v>1332</v>
      </c>
      <c r="C93" s="582">
        <f>(C43-B43)*C67*50%</f>
        <v>811.92374999999993</v>
      </c>
      <c r="D93" s="582">
        <f>(D43-C43)*D67*50%</f>
        <v>755.49375000000009</v>
      </c>
      <c r="E93" s="587" t="s">
        <v>1348</v>
      </c>
      <c r="F93" s="587" t="s">
        <v>1349</v>
      </c>
      <c r="G93" s="587" t="s">
        <v>1356</v>
      </c>
      <c r="H93" s="771"/>
      <c r="I93" s="771"/>
      <c r="J93" s="771"/>
      <c r="K93" s="771"/>
      <c r="L93" s="771"/>
      <c r="M93" s="771"/>
    </row>
    <row r="94" spans="1:13">
      <c r="A94" s="587" t="s">
        <v>1357</v>
      </c>
      <c r="B94" s="587" t="s">
        <v>1331</v>
      </c>
      <c r="C94" s="582">
        <f>C44*C83</f>
        <v>552.82095000000015</v>
      </c>
      <c r="D94" s="582">
        <f>D44*D83</f>
        <v>0</v>
      </c>
      <c r="E94" s="587" t="s">
        <v>1348</v>
      </c>
      <c r="F94" s="587" t="s">
        <v>1349</v>
      </c>
      <c r="G94" s="587"/>
      <c r="H94" s="771"/>
      <c r="I94" s="771"/>
      <c r="J94" s="771"/>
      <c r="K94" s="771"/>
      <c r="L94" s="771"/>
      <c r="M94" s="771"/>
    </row>
    <row r="95" spans="1:13">
      <c r="A95" s="587" t="s">
        <v>1358</v>
      </c>
      <c r="B95" s="587" t="s">
        <v>1331</v>
      </c>
      <c r="C95" s="582">
        <f>C45*C85</f>
        <v>0</v>
      </c>
      <c r="D95" s="582">
        <f>(D45-C45)*D85</f>
        <v>1279.6781250000001</v>
      </c>
      <c r="E95" s="587" t="s">
        <v>1348</v>
      </c>
      <c r="F95" s="587" t="s">
        <v>1349</v>
      </c>
      <c r="G95" s="587"/>
      <c r="H95" s="771"/>
      <c r="I95" s="771"/>
      <c r="J95" s="771"/>
      <c r="K95" s="771"/>
      <c r="L95" s="771"/>
      <c r="M95" s="771"/>
    </row>
    <row r="96" spans="1:13">
      <c r="A96" s="860" t="s">
        <v>125</v>
      </c>
      <c r="B96" s="860"/>
      <c r="C96" s="1240">
        <f>SUM(C89:C95)</f>
        <v>4329.0045</v>
      </c>
      <c r="D96" s="1240">
        <f>SUM(D89:D95)</f>
        <v>7861.7488125</v>
      </c>
      <c r="E96" s="860" t="s">
        <v>1348</v>
      </c>
      <c r="F96" s="587" t="s">
        <v>1349</v>
      </c>
      <c r="G96" s="587"/>
      <c r="H96" s="771"/>
      <c r="I96" s="771"/>
      <c r="J96" s="771"/>
      <c r="K96" s="771"/>
      <c r="L96" s="771"/>
      <c r="M96" s="771"/>
    </row>
    <row r="97" spans="1:13">
      <c r="A97" s="771"/>
      <c r="B97" s="771"/>
      <c r="C97" s="771"/>
      <c r="D97" s="771"/>
      <c r="E97" s="771"/>
      <c r="F97" s="771"/>
      <c r="G97" s="771"/>
      <c r="H97" s="771"/>
      <c r="I97" s="771"/>
      <c r="J97" s="771"/>
      <c r="K97" s="771"/>
      <c r="L97" s="771"/>
      <c r="M97" s="771"/>
    </row>
    <row r="98" spans="1:13">
      <c r="A98" s="860" t="s">
        <v>1359</v>
      </c>
      <c r="B98" s="860" t="s">
        <v>595</v>
      </c>
      <c r="C98" s="860" t="s">
        <v>116</v>
      </c>
      <c r="D98" s="860" t="s">
        <v>612</v>
      </c>
      <c r="E98" s="587"/>
      <c r="F98" s="587"/>
      <c r="G98" s="587"/>
      <c r="H98" s="771"/>
      <c r="I98" s="771"/>
      <c r="J98" s="771"/>
      <c r="K98" s="771"/>
      <c r="L98" s="771"/>
      <c r="M98" s="771"/>
    </row>
    <row r="99" spans="1:13">
      <c r="A99" s="587" t="s">
        <v>1360</v>
      </c>
      <c r="B99" s="587">
        <v>51</v>
      </c>
      <c r="C99" s="587" t="s">
        <v>1361</v>
      </c>
      <c r="D99" s="587" t="s">
        <v>1362</v>
      </c>
      <c r="E99" s="587"/>
      <c r="F99" s="587"/>
      <c r="G99" s="587"/>
      <c r="H99" s="771"/>
      <c r="I99" s="771"/>
      <c r="J99" s="771"/>
      <c r="K99" s="771"/>
      <c r="L99" s="771"/>
      <c r="M99" s="771"/>
    </row>
    <row r="100" spans="1:13">
      <c r="A100" s="587"/>
      <c r="B100" s="587"/>
      <c r="C100" s="587"/>
      <c r="D100" s="587"/>
      <c r="E100" s="587"/>
      <c r="F100" s="587"/>
      <c r="G100" s="587"/>
      <c r="H100" s="771"/>
      <c r="I100" s="771"/>
      <c r="J100" s="771"/>
      <c r="K100" s="771"/>
      <c r="L100" s="771"/>
      <c r="M100" s="771"/>
    </row>
    <row r="101" spans="1:13">
      <c r="A101" s="860"/>
      <c r="B101" s="860">
        <v>2030</v>
      </c>
      <c r="C101" s="860">
        <v>2050</v>
      </c>
      <c r="D101" s="860" t="s">
        <v>116</v>
      </c>
      <c r="E101" s="860" t="s">
        <v>612</v>
      </c>
      <c r="F101" s="587"/>
      <c r="G101" s="587"/>
      <c r="H101" s="771"/>
      <c r="I101" s="771"/>
      <c r="J101" s="771"/>
      <c r="K101" s="771"/>
      <c r="L101" s="771"/>
      <c r="M101" s="771"/>
    </row>
    <row r="102" spans="1:13">
      <c r="A102" s="587" t="s">
        <v>1363</v>
      </c>
      <c r="B102" s="861">
        <f>C35*$B$99/1000</f>
        <v>0</v>
      </c>
      <c r="C102" s="861">
        <f>D35*$B$99/1000</f>
        <v>8.4150000000000003E-2</v>
      </c>
      <c r="D102" s="587" t="s">
        <v>1364</v>
      </c>
      <c r="E102" s="587" t="s">
        <v>1365</v>
      </c>
      <c r="F102" s="587"/>
      <c r="G102" s="587"/>
      <c r="H102" s="771"/>
      <c r="I102" s="771"/>
      <c r="J102" s="771"/>
      <c r="K102" s="771"/>
      <c r="L102" s="771"/>
      <c r="M102" s="771"/>
    </row>
    <row r="103" spans="1:13">
      <c r="A103" s="587" t="s">
        <v>1366</v>
      </c>
      <c r="B103" s="861">
        <f>B102/B105</f>
        <v>0</v>
      </c>
      <c r="C103" s="861">
        <f>C102/C105</f>
        <v>0.1051875</v>
      </c>
      <c r="D103" s="587" t="s">
        <v>1367</v>
      </c>
      <c r="E103" s="587"/>
      <c r="F103" s="587"/>
      <c r="G103" s="587"/>
      <c r="H103" s="771"/>
      <c r="I103" s="771"/>
      <c r="J103" s="771"/>
      <c r="K103" s="771"/>
      <c r="L103" s="771"/>
      <c r="M103" s="771"/>
    </row>
    <row r="104" spans="1:13">
      <c r="A104" s="587" t="s">
        <v>1368</v>
      </c>
      <c r="B104" s="861">
        <f>50</f>
        <v>50</v>
      </c>
      <c r="C104" s="861">
        <v>45</v>
      </c>
      <c r="D104" s="587" t="s">
        <v>1369</v>
      </c>
      <c r="E104" s="587" t="s">
        <v>1030</v>
      </c>
      <c r="F104" s="587"/>
      <c r="G104" s="587"/>
      <c r="H104" s="771"/>
      <c r="I104" s="771"/>
      <c r="J104" s="771"/>
      <c r="K104" s="771"/>
      <c r="L104" s="771"/>
      <c r="M104" s="771"/>
    </row>
    <row r="105" spans="1:13">
      <c r="A105" s="587" t="s">
        <v>1370</v>
      </c>
      <c r="B105" s="852">
        <v>0.65</v>
      </c>
      <c r="C105" s="852">
        <v>0.8</v>
      </c>
      <c r="D105" s="587"/>
      <c r="E105" s="587" t="s">
        <v>1371</v>
      </c>
      <c r="F105" s="587"/>
      <c r="G105" s="587"/>
      <c r="H105" s="771"/>
      <c r="I105" s="771"/>
      <c r="J105" s="771"/>
      <c r="K105" s="771"/>
      <c r="L105" s="771"/>
      <c r="M105" s="771"/>
    </row>
    <row r="106" spans="1:13">
      <c r="A106" s="587" t="s">
        <v>1372</v>
      </c>
      <c r="B106" s="582">
        <f>8760</f>
        <v>8760</v>
      </c>
      <c r="C106" s="772">
        <f>B106</f>
        <v>8760</v>
      </c>
      <c r="D106" s="587" t="s">
        <v>1373</v>
      </c>
      <c r="E106" s="587" t="s">
        <v>1374</v>
      </c>
      <c r="F106" s="587"/>
      <c r="G106" s="587"/>
      <c r="H106" s="771"/>
      <c r="I106" s="771"/>
      <c r="J106" s="771"/>
      <c r="K106" s="771"/>
      <c r="L106" s="771"/>
      <c r="M106" s="771"/>
    </row>
    <row r="107" spans="1:13">
      <c r="A107" s="587" t="s">
        <v>1375</v>
      </c>
      <c r="B107" s="582">
        <f>B106*30%</f>
        <v>2628</v>
      </c>
      <c r="C107" s="582">
        <f>B107</f>
        <v>2628</v>
      </c>
      <c r="D107" s="587" t="s">
        <v>1373</v>
      </c>
      <c r="E107" s="587" t="s">
        <v>1376</v>
      </c>
      <c r="F107" s="587"/>
      <c r="G107" s="587"/>
      <c r="H107" s="771"/>
      <c r="I107" s="771"/>
      <c r="J107" s="771"/>
      <c r="K107" s="771"/>
      <c r="L107" s="771"/>
      <c r="M107" s="771"/>
    </row>
    <row r="108" spans="1:13">
      <c r="A108" s="587" t="s">
        <v>1377</v>
      </c>
      <c r="B108" s="772">
        <f>B102/(B106/B104)*1000</f>
        <v>0</v>
      </c>
      <c r="C108" s="772">
        <f>C102*C104/C106*1000</f>
        <v>0.43227739726027398</v>
      </c>
      <c r="D108" s="587" t="s">
        <v>1230</v>
      </c>
      <c r="E108" s="587"/>
      <c r="F108" s="587"/>
      <c r="G108" s="587"/>
      <c r="H108" s="771"/>
      <c r="I108" s="771"/>
      <c r="J108" s="771"/>
      <c r="K108" s="771"/>
      <c r="L108" s="771"/>
      <c r="M108" s="771"/>
    </row>
    <row r="109" spans="1:13">
      <c r="A109" s="587" t="s">
        <v>1378</v>
      </c>
      <c r="B109" s="772">
        <f>B102/(B107/B104)*1000</f>
        <v>0</v>
      </c>
      <c r="C109" s="772">
        <f>C102/(C107/C104)*1000</f>
        <v>1.4409246575342465</v>
      </c>
      <c r="D109" s="587" t="s">
        <v>1230</v>
      </c>
      <c r="E109" s="587"/>
      <c r="F109" s="587"/>
      <c r="G109" s="587"/>
      <c r="H109" s="771"/>
      <c r="I109" s="771"/>
      <c r="J109" s="771"/>
      <c r="K109" s="771"/>
      <c r="L109" s="771"/>
      <c r="M109" s="771"/>
    </row>
    <row r="110" spans="1:13">
      <c r="A110" s="587"/>
      <c r="B110" s="587"/>
      <c r="C110" s="587"/>
      <c r="D110" s="587"/>
      <c r="E110" s="587"/>
      <c r="F110" s="587"/>
      <c r="G110" s="587"/>
      <c r="H110" s="771"/>
      <c r="I110" s="771"/>
      <c r="J110" s="771"/>
      <c r="K110" s="771"/>
      <c r="L110" s="771"/>
      <c r="M110" s="771"/>
    </row>
    <row r="111" spans="1:13">
      <c r="A111" s="771"/>
      <c r="B111" s="771"/>
      <c r="C111" s="771"/>
      <c r="D111" s="771"/>
      <c r="E111" s="771"/>
      <c r="F111" s="771"/>
      <c r="G111" s="771"/>
      <c r="H111" s="771"/>
      <c r="I111" s="771"/>
      <c r="J111" s="771"/>
      <c r="K111" s="771"/>
      <c r="L111" s="771"/>
      <c r="M111" s="771"/>
    </row>
    <row r="112" spans="1:13">
      <c r="A112" s="860" t="s">
        <v>1379</v>
      </c>
      <c r="B112" s="860">
        <v>2022</v>
      </c>
      <c r="C112" s="860">
        <v>2030</v>
      </c>
      <c r="D112" s="860">
        <v>2050</v>
      </c>
      <c r="E112" s="860" t="s">
        <v>116</v>
      </c>
      <c r="F112" s="860" t="s">
        <v>612</v>
      </c>
      <c r="G112" s="771"/>
      <c r="H112" s="771"/>
      <c r="I112" s="771"/>
      <c r="J112" s="771"/>
      <c r="K112" s="771"/>
      <c r="L112" s="771"/>
      <c r="M112" s="771"/>
    </row>
    <row r="113" spans="1:14">
      <c r="A113" s="587" t="s">
        <v>1380</v>
      </c>
      <c r="B113" s="587"/>
      <c r="C113" s="772">
        <f>B108*'H2 Production Cost'!$C$37</f>
        <v>0</v>
      </c>
      <c r="D113" s="582">
        <f>C108*'H2 Production Cost'!$D$37</f>
        <v>123.32069471624266</v>
      </c>
      <c r="E113" s="587" t="s">
        <v>1381</v>
      </c>
      <c r="F113" s="587" t="s">
        <v>1349</v>
      </c>
      <c r="G113" s="771"/>
      <c r="H113" s="771"/>
      <c r="I113" s="771"/>
      <c r="J113" s="771"/>
      <c r="K113" s="771"/>
      <c r="L113" s="771"/>
      <c r="M113" s="771"/>
    </row>
    <row r="114" spans="1:14">
      <c r="A114" s="587" t="s">
        <v>1382</v>
      </c>
      <c r="B114" s="587"/>
      <c r="C114" s="772">
        <f>B109*'H2 Production Cost'!$C$37</f>
        <v>0</v>
      </c>
      <c r="D114" s="582">
        <f>C109*'H2 Production Cost'!$D$37</f>
        <v>411.0689823874755</v>
      </c>
      <c r="E114" s="587" t="s">
        <v>1381</v>
      </c>
      <c r="F114" s="587" t="s">
        <v>1349</v>
      </c>
      <c r="G114" s="771"/>
      <c r="H114" s="771"/>
      <c r="I114" s="771"/>
      <c r="J114" s="771"/>
      <c r="K114" s="771"/>
      <c r="L114" s="771"/>
      <c r="M114" s="771"/>
    </row>
    <row r="115" spans="1:14">
      <c r="A115" s="587"/>
      <c r="B115" s="587"/>
      <c r="C115" s="772"/>
      <c r="D115" s="582"/>
      <c r="E115" s="587"/>
      <c r="F115" s="587"/>
      <c r="G115" s="771"/>
      <c r="H115" s="771"/>
      <c r="I115" s="771"/>
      <c r="J115" s="771"/>
      <c r="K115" s="771"/>
      <c r="L115" s="771"/>
      <c r="M115" s="771"/>
    </row>
    <row r="116" spans="1:14">
      <c r="A116" s="860" t="s">
        <v>1383</v>
      </c>
      <c r="B116" s="860">
        <v>2022</v>
      </c>
      <c r="C116" s="860">
        <v>2030</v>
      </c>
      <c r="D116" s="860">
        <v>2050</v>
      </c>
      <c r="E116" s="860" t="s">
        <v>116</v>
      </c>
      <c r="F116" s="860" t="s">
        <v>612</v>
      </c>
      <c r="G116" s="771"/>
      <c r="H116" s="771"/>
      <c r="I116" s="771"/>
      <c r="J116" s="771"/>
      <c r="K116" s="771"/>
      <c r="L116" s="771"/>
      <c r="M116" s="771"/>
    </row>
    <row r="117" spans="1:14">
      <c r="A117" s="587" t="s">
        <v>1384</v>
      </c>
      <c r="B117" s="587"/>
      <c r="C117" s="772">
        <f>B108*'Power Sector CapEx Cost-Vietnam'!$B$35</f>
        <v>0</v>
      </c>
      <c r="D117" s="772">
        <f>C108*'Power Sector CapEx Cost-Vietnam'!$C$35</f>
        <v>472.40938171351718</v>
      </c>
      <c r="E117" s="587" t="s">
        <v>1381</v>
      </c>
      <c r="F117" s="587" t="s">
        <v>1349</v>
      </c>
      <c r="G117" s="771"/>
      <c r="H117" s="771"/>
      <c r="I117" s="771"/>
      <c r="J117" s="771"/>
      <c r="K117" s="771"/>
      <c r="L117" s="771"/>
      <c r="M117" s="771"/>
    </row>
    <row r="118" spans="1:14">
      <c r="A118" s="587" t="s">
        <v>1385</v>
      </c>
      <c r="B118" s="587"/>
      <c r="C118" s="772">
        <f>B109*'Power Sector CapEx Cost-Vietnam'!$B$35</f>
        <v>0</v>
      </c>
      <c r="D118" s="772">
        <f>C109*'Power Sector CapEx Cost-Vietnam'!$C$35</f>
        <v>1574.6979390450572</v>
      </c>
      <c r="E118" s="587" t="s">
        <v>1381</v>
      </c>
      <c r="F118" s="587" t="s">
        <v>1349</v>
      </c>
      <c r="G118" s="771"/>
      <c r="H118" s="771"/>
      <c r="I118" s="771"/>
      <c r="J118" s="771"/>
      <c r="K118" s="771"/>
      <c r="L118" s="771"/>
      <c r="M118" s="771"/>
    </row>
    <row r="119" spans="1:14">
      <c r="A119" s="771"/>
      <c r="B119" s="771"/>
      <c r="C119" s="771"/>
      <c r="D119" s="771"/>
      <c r="E119" s="771"/>
      <c r="F119" s="771"/>
      <c r="G119" s="771"/>
      <c r="H119" s="771"/>
      <c r="I119" s="771"/>
      <c r="J119" s="771"/>
      <c r="K119" s="771"/>
      <c r="L119" s="771"/>
      <c r="M119" s="771"/>
    </row>
    <row r="120" spans="1:14">
      <c r="A120" s="860" t="s">
        <v>1386</v>
      </c>
      <c r="B120" s="587"/>
      <c r="C120" s="860">
        <v>2030</v>
      </c>
      <c r="D120" s="860">
        <v>2050</v>
      </c>
      <c r="E120" s="860" t="s">
        <v>116</v>
      </c>
      <c r="F120" s="860" t="s">
        <v>612</v>
      </c>
      <c r="G120" s="587"/>
      <c r="H120" s="771"/>
      <c r="I120" s="771"/>
      <c r="J120" s="771"/>
      <c r="K120" s="771"/>
      <c r="L120" s="771"/>
      <c r="M120" s="771"/>
    </row>
    <row r="121" spans="1:14">
      <c r="A121" s="587" t="s">
        <v>1387</v>
      </c>
      <c r="B121" s="587"/>
      <c r="C121" s="587">
        <v>0.1</v>
      </c>
      <c r="D121" s="587">
        <v>0.05</v>
      </c>
      <c r="E121" s="587" t="s">
        <v>1107</v>
      </c>
      <c r="F121" s="587" t="s">
        <v>1388</v>
      </c>
      <c r="G121" s="587"/>
      <c r="H121" s="771"/>
      <c r="I121" s="771"/>
      <c r="J121" s="771"/>
      <c r="K121" s="771"/>
      <c r="L121" s="771"/>
      <c r="M121" s="771"/>
    </row>
    <row r="122" spans="1:14">
      <c r="A122" s="771"/>
      <c r="B122" s="771"/>
      <c r="C122" s="771"/>
      <c r="D122" s="771"/>
      <c r="E122" s="771"/>
      <c r="F122" s="771"/>
      <c r="G122" s="771"/>
      <c r="H122" s="771"/>
      <c r="I122" s="771"/>
      <c r="J122" s="771"/>
      <c r="K122" s="771"/>
      <c r="L122" s="771"/>
      <c r="M122" s="771"/>
    </row>
    <row r="123" spans="1:14">
      <c r="A123" s="860" t="s">
        <v>1389</v>
      </c>
      <c r="B123" s="587"/>
      <c r="C123" s="587"/>
      <c r="D123" s="587"/>
      <c r="E123" s="587"/>
      <c r="F123" s="587"/>
      <c r="G123" s="771"/>
      <c r="H123" s="771"/>
      <c r="I123" s="771"/>
      <c r="J123" s="771"/>
      <c r="K123" s="771"/>
      <c r="L123" s="771"/>
      <c r="M123" s="771"/>
    </row>
    <row r="124" spans="1:14">
      <c r="A124" s="587"/>
      <c r="B124" s="587"/>
      <c r="C124" s="860">
        <v>2030</v>
      </c>
      <c r="D124" s="860">
        <v>2050</v>
      </c>
      <c r="E124" s="860" t="s">
        <v>116</v>
      </c>
      <c r="F124" s="860" t="s">
        <v>1392</v>
      </c>
      <c r="H124" s="1227" t="s">
        <v>1390</v>
      </c>
      <c r="I124" s="1227" t="s">
        <v>1390</v>
      </c>
      <c r="J124" s="23" t="s">
        <v>1300</v>
      </c>
      <c r="K124" s="23" t="s">
        <v>1300</v>
      </c>
      <c r="L124" s="1227" t="s">
        <v>1391</v>
      </c>
      <c r="M124" s="1227" t="s">
        <v>1391</v>
      </c>
    </row>
    <row r="125" spans="1:14">
      <c r="A125" s="587" t="s">
        <v>1351</v>
      </c>
      <c r="B125" s="587"/>
      <c r="C125" s="1241">
        <f>C89/1000</f>
        <v>0.92469093749999998</v>
      </c>
      <c r="D125" s="1241">
        <f>D89/1000</f>
        <v>0.63421875000000005</v>
      </c>
      <c r="E125" s="587" t="s">
        <v>1396</v>
      </c>
      <c r="F125" s="587" t="s">
        <v>1397</v>
      </c>
      <c r="G125" s="23" t="s">
        <v>1393</v>
      </c>
      <c r="H125" s="23">
        <v>2030</v>
      </c>
      <c r="I125" s="23">
        <v>2060</v>
      </c>
      <c r="J125" s="23" t="s">
        <v>1394</v>
      </c>
      <c r="K125" s="23" t="s">
        <v>1395</v>
      </c>
      <c r="L125" s="23">
        <v>2030</v>
      </c>
      <c r="M125" s="23">
        <v>2060</v>
      </c>
      <c r="N125" s="23" t="s">
        <v>505</v>
      </c>
    </row>
    <row r="126" spans="1:14">
      <c r="A126" s="587" t="s">
        <v>1399</v>
      </c>
      <c r="B126" s="587"/>
      <c r="C126" s="1241">
        <f t="shared" ref="C126:D131" si="15">C90/1000</f>
        <v>0.68021167500000013</v>
      </c>
      <c r="D126" s="582">
        <f t="shared" si="15"/>
        <v>3.1491281250000003</v>
      </c>
      <c r="E126" s="587" t="s">
        <v>1396</v>
      </c>
      <c r="F126" s="587" t="s">
        <v>1397</v>
      </c>
      <c r="G126" t="s">
        <v>1351</v>
      </c>
      <c r="H126" s="499">
        <f>C41</f>
        <v>22.275000000000002</v>
      </c>
      <c r="I126" s="499">
        <f>D41</f>
        <v>4.125</v>
      </c>
      <c r="J126" s="576">
        <f>H20</f>
        <v>16.924983185196908</v>
      </c>
      <c r="K126" s="576">
        <f>I20</f>
        <v>15.310517167800805</v>
      </c>
      <c r="L126" s="942">
        <f>C125/(H126*J126)*1000</f>
        <v>2.4527350807833037</v>
      </c>
      <c r="M126" s="942">
        <f>D125/(I126*K126)*1000</f>
        <v>10.042116691090492</v>
      </c>
    </row>
    <row r="127" spans="1:14">
      <c r="A127" s="587" t="s">
        <v>1401</v>
      </c>
      <c r="B127" s="587"/>
      <c r="C127" s="1241">
        <f t="shared" si="15"/>
        <v>0</v>
      </c>
      <c r="D127" s="1241">
        <f t="shared" si="15"/>
        <v>0.6771600000000001</v>
      </c>
      <c r="E127" s="587" t="s">
        <v>1396</v>
      </c>
      <c r="F127" s="587" t="s">
        <v>1397</v>
      </c>
      <c r="G127" t="s">
        <v>1399</v>
      </c>
      <c r="H127" s="499">
        <f>C42</f>
        <v>1.3365</v>
      </c>
      <c r="I127" s="499">
        <f>D42</f>
        <v>6.1875</v>
      </c>
      <c r="J127" s="576">
        <f>J126+4.3</f>
        <v>21.224983185196908</v>
      </c>
      <c r="K127" s="576">
        <f>K126+3</f>
        <v>18.310517167800803</v>
      </c>
      <c r="L127" s="942">
        <f>C126/(H127*J127)*1000</f>
        <v>23.978817582996285</v>
      </c>
      <c r="M127" s="942">
        <f>D126/(I127*K127)*1000</f>
        <v>27.795501095675924</v>
      </c>
    </row>
    <row r="128" spans="1:14">
      <c r="A128" s="587" t="s">
        <v>1403</v>
      </c>
      <c r="B128" s="587"/>
      <c r="C128" s="1241">
        <f t="shared" si="15"/>
        <v>1.3593571875000001</v>
      </c>
      <c r="D128" s="1241">
        <f t="shared" si="15"/>
        <v>1.3660700625000002</v>
      </c>
      <c r="E128" s="587" t="s">
        <v>1396</v>
      </c>
      <c r="F128" s="587" t="s">
        <v>1331</v>
      </c>
      <c r="G128" t="s">
        <v>1401</v>
      </c>
      <c r="H128" s="499">
        <f>C46</f>
        <v>0</v>
      </c>
      <c r="I128" s="499">
        <f>D46</f>
        <v>4.125</v>
      </c>
      <c r="J128" s="576">
        <f>H23</f>
        <v>15.3</v>
      </c>
      <c r="K128" s="576">
        <f>I23</f>
        <v>14.78</v>
      </c>
      <c r="L128" s="942"/>
      <c r="M128" s="942">
        <f>D127/(I128*K128)*1000</f>
        <v>11.10690121786198</v>
      </c>
    </row>
    <row r="129" spans="1:14">
      <c r="A129" s="587" t="s">
        <v>1405</v>
      </c>
      <c r="B129" s="587"/>
      <c r="C129" s="1241">
        <f t="shared" si="15"/>
        <v>0.81192374999999994</v>
      </c>
      <c r="D129" s="1241">
        <f t="shared" si="15"/>
        <v>0.75549375000000007</v>
      </c>
      <c r="E129" s="587" t="s">
        <v>1396</v>
      </c>
      <c r="F129" s="587" t="s">
        <v>1397</v>
      </c>
      <c r="G129" t="s">
        <v>1403</v>
      </c>
      <c r="H129" s="499">
        <f>(C43-B43)*50%</f>
        <v>4.5562499999999995</v>
      </c>
      <c r="I129" s="499">
        <f>(D43-C43)*50%</f>
        <v>4.5787500000000003</v>
      </c>
      <c r="J129" s="576">
        <f>H22</f>
        <v>2</v>
      </c>
      <c r="K129" s="576">
        <f>I22</f>
        <v>1.4</v>
      </c>
      <c r="L129" s="942">
        <f>C128/(H129*J129)*1000</f>
        <v>149.17500000000004</v>
      </c>
      <c r="M129" s="942">
        <f>D128/(I129*K129)*1000</f>
        <v>213.10714285714289</v>
      </c>
    </row>
    <row r="130" spans="1:14">
      <c r="A130" s="587" t="s">
        <v>1357</v>
      </c>
      <c r="B130" s="587"/>
      <c r="C130" s="1241">
        <f t="shared" si="15"/>
        <v>0.5528209500000002</v>
      </c>
      <c r="D130" s="1241">
        <f t="shared" si="15"/>
        <v>0</v>
      </c>
      <c r="E130" s="587" t="s">
        <v>1396</v>
      </c>
      <c r="F130" s="587" t="s">
        <v>1331</v>
      </c>
      <c r="G130" t="s">
        <v>1405</v>
      </c>
      <c r="H130" s="577">
        <f>(C43-B43)*50%</f>
        <v>4.5562499999999995</v>
      </c>
      <c r="I130" s="577">
        <f>(D43-C43)*50%</f>
        <v>4.5787500000000003</v>
      </c>
      <c r="J130" s="576">
        <f>J129</f>
        <v>2</v>
      </c>
      <c r="K130" s="576">
        <f>K129</f>
        <v>1.4</v>
      </c>
      <c r="L130" s="942">
        <f>C129/(H130*J130)*1000</f>
        <v>89.1</v>
      </c>
      <c r="M130" s="942">
        <f>D129/(I130*K130)*1000</f>
        <v>117.85714285714286</v>
      </c>
      <c r="N130" t="s">
        <v>1406</v>
      </c>
    </row>
    <row r="131" spans="1:14">
      <c r="A131" s="587" t="s">
        <v>1358</v>
      </c>
      <c r="B131" s="587"/>
      <c r="C131" s="582">
        <f t="shared" si="15"/>
        <v>0</v>
      </c>
      <c r="D131" s="1241">
        <f>D95/1000</f>
        <v>1.2796781250000002</v>
      </c>
      <c r="E131" s="587" t="s">
        <v>1396</v>
      </c>
      <c r="F131" s="587" t="s">
        <v>1331</v>
      </c>
      <c r="G131" t="s">
        <v>1357</v>
      </c>
      <c r="H131" s="499">
        <f>C44</f>
        <v>0.89100000000000013</v>
      </c>
      <c r="I131" s="499">
        <f>D44</f>
        <v>0</v>
      </c>
      <c r="J131" s="576">
        <f>J128</f>
        <v>15.3</v>
      </c>
      <c r="K131" s="576">
        <f>K128</f>
        <v>14.78</v>
      </c>
      <c r="L131" s="942">
        <f>C130/(H131*J131)*1000</f>
        <v>40.552287581699353</v>
      </c>
      <c r="M131" s="942"/>
    </row>
    <row r="132" spans="1:14">
      <c r="A132" s="1242" t="s">
        <v>1380</v>
      </c>
      <c r="B132" s="1242"/>
      <c r="C132" s="1243">
        <f>C113/1000</f>
        <v>0</v>
      </c>
      <c r="D132" s="1243">
        <f>D113/1000</f>
        <v>0.12332069471624266</v>
      </c>
      <c r="E132" s="1242" t="s">
        <v>1396</v>
      </c>
      <c r="F132" s="1242" t="s">
        <v>1331</v>
      </c>
      <c r="G132" t="s">
        <v>1358</v>
      </c>
      <c r="H132" s="499">
        <f>C45</f>
        <v>0</v>
      </c>
      <c r="I132" s="499">
        <f>D45</f>
        <v>2.0625</v>
      </c>
      <c r="J132" s="576">
        <f>J131</f>
        <v>15.3</v>
      </c>
      <c r="K132" s="576">
        <f>K131</f>
        <v>14.78</v>
      </c>
      <c r="L132" s="942"/>
      <c r="M132" s="942">
        <f>D131/(I132*K132)*1000</f>
        <v>41.979025710419499</v>
      </c>
      <c r="N132" t="s">
        <v>1407</v>
      </c>
    </row>
    <row r="133" spans="1:14">
      <c r="A133" s="587" t="s">
        <v>1382</v>
      </c>
      <c r="B133" s="587"/>
      <c r="C133" s="582">
        <f>C114/1000</f>
        <v>0</v>
      </c>
      <c r="D133" s="1241">
        <f>D114/1000</f>
        <v>0.41106898238747552</v>
      </c>
      <c r="E133" s="587" t="s">
        <v>1396</v>
      </c>
      <c r="F133" s="587" t="s">
        <v>1331</v>
      </c>
      <c r="G133" t="s">
        <v>1408</v>
      </c>
      <c r="L133" s="942"/>
      <c r="M133" s="942">
        <f>(D131+D133+D135)/(I132*K132)*1000</f>
        <v>107.12084459531827</v>
      </c>
      <c r="N133" t="s">
        <v>1409</v>
      </c>
    </row>
    <row r="134" spans="1:14">
      <c r="A134" s="1242" t="s">
        <v>1384</v>
      </c>
      <c r="B134" s="1242"/>
      <c r="C134" s="1243">
        <f>C117/1000</f>
        <v>0</v>
      </c>
      <c r="D134" s="1243">
        <f>D117/1000</f>
        <v>0.47240938171351715</v>
      </c>
      <c r="E134" s="1242" t="s">
        <v>1396</v>
      </c>
      <c r="F134" s="1242" t="s">
        <v>1331</v>
      </c>
    </row>
    <row r="135" spans="1:14">
      <c r="A135" s="587" t="s">
        <v>1385</v>
      </c>
      <c r="B135" s="587"/>
      <c r="C135" s="582">
        <f>C118/1000</f>
        <v>0</v>
      </c>
      <c r="D135" s="582">
        <f>D118/1000</f>
        <v>1.5746979390450573</v>
      </c>
      <c r="E135" s="587" t="s">
        <v>1396</v>
      </c>
      <c r="F135" s="587" t="s">
        <v>1331</v>
      </c>
      <c r="G135" s="771"/>
      <c r="H135" s="771"/>
      <c r="I135" s="771"/>
      <c r="J135" s="771"/>
      <c r="K135" s="771"/>
      <c r="L135" s="771"/>
      <c r="M135" s="771"/>
    </row>
    <row r="136" spans="1:14">
      <c r="A136" s="587"/>
      <c r="B136" s="587"/>
      <c r="C136" s="582"/>
      <c r="D136" s="582"/>
      <c r="E136" s="587"/>
      <c r="F136" s="587"/>
      <c r="G136" s="498"/>
      <c r="H136" s="23">
        <v>2030</v>
      </c>
      <c r="I136" s="23">
        <v>2050</v>
      </c>
      <c r="J136" s="23" t="s">
        <v>116</v>
      </c>
      <c r="K136" s="23" t="s">
        <v>505</v>
      </c>
      <c r="L136" s="771"/>
      <c r="M136" s="771"/>
    </row>
    <row r="137" spans="1:14">
      <c r="A137" s="1242" t="s">
        <v>1417</v>
      </c>
      <c r="B137" s="1242"/>
      <c r="C137" s="1243">
        <f>SUM(C125:C132)+C134</f>
        <v>4.3290045000000008</v>
      </c>
      <c r="D137" s="1243">
        <f>SUM(D125:D132)+D134</f>
        <v>8.4574788889297601</v>
      </c>
      <c r="E137" s="1242" t="s">
        <v>1396</v>
      </c>
      <c r="F137" s="861"/>
      <c r="G137" t="s">
        <v>1412</v>
      </c>
      <c r="H137" s="576">
        <f>(3%*B13)*1.5</f>
        <v>1.4849999999999999</v>
      </c>
      <c r="I137">
        <f>B14*(D21+D25)*1.2</f>
        <v>9.9</v>
      </c>
      <c r="J137" t="s">
        <v>1413</v>
      </c>
      <c r="K137" t="s">
        <v>1469</v>
      </c>
      <c r="L137" s="771"/>
      <c r="M137" s="771"/>
    </row>
    <row r="138" spans="1:14">
      <c r="A138" s="587" t="s">
        <v>1421</v>
      </c>
      <c r="B138" s="587"/>
      <c r="C138" s="582">
        <f>SUM(C125:C131)+C133+C135</f>
        <v>4.3290045000000008</v>
      </c>
      <c r="D138" s="582">
        <f>SUM(D125:D131)+D133+D135</f>
        <v>9.8475157339325339</v>
      </c>
      <c r="E138" s="587" t="s">
        <v>1396</v>
      </c>
      <c r="F138" s="861"/>
      <c r="G138" t="s">
        <v>1415</v>
      </c>
      <c r="H138" s="499">
        <f>C126+C127</f>
        <v>0.68021167500000013</v>
      </c>
      <c r="I138" s="499">
        <f>D126+D127</f>
        <v>3.8262881250000005</v>
      </c>
      <c r="J138" t="s">
        <v>1416</v>
      </c>
      <c r="L138" s="771"/>
      <c r="M138" s="771"/>
    </row>
    <row r="139" spans="1:14">
      <c r="A139" s="587" t="s">
        <v>1446</v>
      </c>
      <c r="B139" s="587"/>
      <c r="C139" s="582">
        <f>C138-C135</f>
        <v>4.3290045000000008</v>
      </c>
      <c r="D139" s="1241">
        <f>D138-D135</f>
        <v>8.2728177948874766</v>
      </c>
      <c r="E139" s="587" t="s">
        <v>1396</v>
      </c>
      <c r="F139" s="861"/>
      <c r="H139" s="499"/>
      <c r="I139" s="499"/>
      <c r="L139" s="771"/>
      <c r="M139" s="771"/>
    </row>
    <row r="140" spans="1:14">
      <c r="A140" s="587" t="s">
        <v>1423</v>
      </c>
      <c r="B140" s="587"/>
      <c r="C140" s="582">
        <f>I18</f>
        <v>341.09595590909385</v>
      </c>
      <c r="D140" s="582">
        <f>J18</f>
        <v>253.42776663435663</v>
      </c>
      <c r="E140" s="587" t="s">
        <v>701</v>
      </c>
      <c r="F140" s="587"/>
      <c r="G140" t="s">
        <v>1418</v>
      </c>
      <c r="H140" s="499">
        <f>H138/H137*1000</f>
        <v>458.05500000000012</v>
      </c>
      <c r="I140" s="499">
        <f>I138/I137*1000</f>
        <v>386.49375000000003</v>
      </c>
      <c r="J140" t="s">
        <v>1419</v>
      </c>
      <c r="K140" t="s">
        <v>1420</v>
      </c>
      <c r="L140" s="771"/>
      <c r="M140" s="771"/>
    </row>
    <row r="141" spans="1:14">
      <c r="A141" s="860" t="s">
        <v>1424</v>
      </c>
      <c r="B141" s="860"/>
      <c r="C141" s="1244">
        <f>(C138*1000)/C140</f>
        <v>12.691456538856569</v>
      </c>
      <c r="D141" s="1244">
        <f>(D138*1000)/D140</f>
        <v>38.857288073490558</v>
      </c>
      <c r="E141" s="860" t="s">
        <v>1425</v>
      </c>
      <c r="F141" s="587"/>
      <c r="G141" s="587"/>
      <c r="H141" s="771"/>
      <c r="I141" s="771"/>
      <c r="J141" s="771"/>
      <c r="K141" s="771"/>
      <c r="L141" s="771"/>
      <c r="M141" s="771"/>
    </row>
    <row r="142" spans="1:14">
      <c r="G142" s="587"/>
    </row>
    <row r="143" spans="1:14">
      <c r="G143" s="587"/>
    </row>
    <row r="144" spans="1:14">
      <c r="G144" s="587"/>
    </row>
    <row r="145" spans="7:7">
      <c r="G145" s="587"/>
    </row>
    <row r="146" spans="7:7">
      <c r="G146" s="587"/>
    </row>
    <row r="147" spans="7:7">
      <c r="G147" s="587"/>
    </row>
    <row r="148" spans="7:7">
      <c r="G148" s="587"/>
    </row>
    <row r="149" spans="7:7">
      <c r="G149" s="587"/>
    </row>
    <row r="150" spans="7:7">
      <c r="G150" s="587"/>
    </row>
    <row r="151" spans="7:7">
      <c r="G151" s="587"/>
    </row>
  </sheetData>
  <mergeCells count="1">
    <mergeCell ref="G53:G60"/>
  </mergeCells>
  <hyperlinks>
    <hyperlink ref="G73" r:id="rId1" xr:uid="{C0FFA635-1D2B-4A32-8CA1-882A2A0C18EF}"/>
  </hyperlinks>
  <pageMargins left="0.7" right="0.7" top="0.75" bottom="0.75" header="0.3" footer="0.3"/>
  <pageSetup orientation="portrait" r:id="rId2"/>
  <headerFooter>
    <oddFooter>&amp;R_x000D_&amp;1#&amp;"Aptos"&amp;10&amp;K000000 Official Use Only</oddFooter>
  </headerFooter>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A860-99C6-487D-8A0E-E423165C092B}">
  <dimension ref="A1:T747"/>
  <sheetViews>
    <sheetView topLeftCell="C457" zoomScale="115" zoomScaleNormal="115" workbookViewId="0">
      <selection activeCell="B28" sqref="B28"/>
    </sheetView>
  </sheetViews>
  <sheetFormatPr defaultRowHeight="15"/>
  <cols>
    <col min="1" max="1" width="36.140625" customWidth="1"/>
    <col min="2" max="2" width="28.42578125" customWidth="1"/>
    <col min="3" max="8" width="18.140625" customWidth="1"/>
    <col min="9" max="9" width="24.7109375" customWidth="1"/>
    <col min="10" max="11" width="18.140625" customWidth="1"/>
    <col min="12" max="12" width="22.42578125" customWidth="1"/>
    <col min="13" max="13" width="9.5703125" customWidth="1"/>
    <col min="14" max="16" width="18.140625" customWidth="1"/>
    <col min="17" max="17" width="33.42578125" customWidth="1"/>
    <col min="18" max="19" width="18.140625" customWidth="1"/>
    <col min="20" max="20" width="28.140625" customWidth="1"/>
    <col min="21" max="21" width="36.42578125" customWidth="1"/>
  </cols>
  <sheetData>
    <row r="1" spans="1:16" ht="15.75">
      <c r="A1" s="575" t="s">
        <v>1206</v>
      </c>
      <c r="B1" s="575"/>
      <c r="C1" s="575"/>
    </row>
    <row r="2" spans="1:16" ht="15.75">
      <c r="A2" s="575" t="s">
        <v>163</v>
      </c>
      <c r="B2" s="23" t="s">
        <v>17</v>
      </c>
      <c r="C2" s="23"/>
    </row>
    <row r="3" spans="1:16" ht="15.75">
      <c r="A3" s="575" t="s">
        <v>1207</v>
      </c>
      <c r="B3" s="23" t="s">
        <v>465</v>
      </c>
      <c r="C3" s="23"/>
    </row>
    <row r="4" spans="1:16" ht="15.75">
      <c r="A4" s="575"/>
    </row>
    <row r="5" spans="1:16" ht="18">
      <c r="A5" s="601" t="s">
        <v>1280</v>
      </c>
      <c r="B5" s="521" t="s">
        <v>1470</v>
      </c>
      <c r="C5" s="521">
        <v>6000</v>
      </c>
      <c r="D5" s="639" t="s">
        <v>1471</v>
      </c>
      <c r="F5" s="498"/>
    </row>
    <row r="6" spans="1:16">
      <c r="A6" s="22" t="s">
        <v>1283</v>
      </c>
      <c r="B6" t="s">
        <v>1472</v>
      </c>
      <c r="C6" s="46">
        <v>0.6</v>
      </c>
      <c r="D6" s="595" t="s">
        <v>1473</v>
      </c>
    </row>
    <row r="7" spans="1:16">
      <c r="A7" s="22"/>
      <c r="B7" t="s">
        <v>1474</v>
      </c>
      <c r="C7" s="46">
        <v>0.65</v>
      </c>
      <c r="D7" s="595"/>
    </row>
    <row r="8" spans="1:16">
      <c r="A8" s="22"/>
      <c r="B8" t="s">
        <v>1475</v>
      </c>
      <c r="C8" s="46">
        <v>0.8</v>
      </c>
      <c r="D8" s="595"/>
      <c r="E8" s="498"/>
    </row>
    <row r="9" spans="1:16">
      <c r="A9" s="31" t="s">
        <v>1286</v>
      </c>
      <c r="B9" s="523" t="s">
        <v>1287</v>
      </c>
      <c r="C9" s="643">
        <v>30</v>
      </c>
      <c r="D9" s="605" t="s">
        <v>1134</v>
      </c>
    </row>
    <row r="10" spans="1:16" ht="15.75">
      <c r="A10" s="575"/>
    </row>
    <row r="11" spans="1:16">
      <c r="A11" s="644" t="s">
        <v>1476</v>
      </c>
      <c r="B11" s="521"/>
      <c r="C11" s="521"/>
      <c r="D11" s="521"/>
      <c r="E11" s="521"/>
      <c r="F11" s="521"/>
      <c r="G11" s="521"/>
      <c r="H11" s="521"/>
      <c r="I11" s="521"/>
      <c r="J11" s="521"/>
      <c r="K11" s="521"/>
      <c r="L11" s="521"/>
      <c r="M11" s="521"/>
      <c r="N11" s="521"/>
      <c r="O11" s="639"/>
    </row>
    <row r="12" spans="1:16">
      <c r="A12" s="645" t="s">
        <v>164</v>
      </c>
      <c r="B12" s="23" t="s">
        <v>1477</v>
      </c>
      <c r="C12" s="23" t="s">
        <v>116</v>
      </c>
      <c r="D12" s="23" t="s">
        <v>1289</v>
      </c>
      <c r="E12" s="23" t="s">
        <v>612</v>
      </c>
      <c r="F12" s="646" t="s">
        <v>1478</v>
      </c>
      <c r="G12" s="646" t="s">
        <v>116</v>
      </c>
      <c r="H12" s="23" t="s">
        <v>1479</v>
      </c>
      <c r="I12" s="23" t="s">
        <v>1480</v>
      </c>
      <c r="J12" s="23" t="s">
        <v>116</v>
      </c>
      <c r="L12" s="765" t="s">
        <v>1477</v>
      </c>
      <c r="M12" s="765" t="s">
        <v>116</v>
      </c>
      <c r="N12" s="765" t="s">
        <v>1289</v>
      </c>
      <c r="O12" s="765" t="s">
        <v>612</v>
      </c>
    </row>
    <row r="13" spans="1:16">
      <c r="A13" s="22">
        <v>2022</v>
      </c>
      <c r="B13" s="591">
        <v>2129.27</v>
      </c>
      <c r="C13" t="s">
        <v>1290</v>
      </c>
      <c r="D13" t="s">
        <v>1291</v>
      </c>
      <c r="E13" t="s">
        <v>1292</v>
      </c>
      <c r="F13" s="647">
        <f>B13/$C$6</f>
        <v>3548.7833333333333</v>
      </c>
      <c r="G13" s="608" t="s">
        <v>1290</v>
      </c>
      <c r="H13">
        <v>0.66</v>
      </c>
      <c r="I13" s="499">
        <f>B13*H13/0.76</f>
        <v>1849.1028947368422</v>
      </c>
      <c r="J13" t="s">
        <v>1290</v>
      </c>
      <c r="K13" s="498"/>
      <c r="L13" s="591">
        <v>2129.27</v>
      </c>
      <c r="M13" t="s">
        <v>1290</v>
      </c>
      <c r="N13" t="s">
        <v>1291</v>
      </c>
      <c r="O13" t="s">
        <v>1292</v>
      </c>
    </row>
    <row r="14" spans="1:16">
      <c r="A14" s="22">
        <v>2030</v>
      </c>
      <c r="B14" s="591">
        <f>B13-(B13-B15)/38*8</f>
        <v>1975.7394736842105</v>
      </c>
      <c r="C14" t="s">
        <v>1290</v>
      </c>
      <c r="F14" s="647">
        <f>B14/$C$7</f>
        <v>3039.5991902834007</v>
      </c>
      <c r="G14" s="608" t="s">
        <v>1290</v>
      </c>
      <c r="H14">
        <f>H13</f>
        <v>0.66</v>
      </c>
      <c r="I14" s="499">
        <f>B14*H14/0.76</f>
        <v>1715.773753462604</v>
      </c>
      <c r="J14" t="s">
        <v>1290</v>
      </c>
      <c r="K14" s="498"/>
      <c r="L14" s="754">
        <v>1544</v>
      </c>
      <c r="M14" s="584" t="s">
        <v>1290</v>
      </c>
      <c r="N14" s="584" t="s">
        <v>1481</v>
      </c>
      <c r="O14" s="584" t="s">
        <v>1482</v>
      </c>
      <c r="P14" s="50"/>
    </row>
    <row r="15" spans="1:16">
      <c r="A15" s="22">
        <v>2060</v>
      </c>
      <c r="B15" s="591">
        <v>1400</v>
      </c>
      <c r="C15" t="s">
        <v>1290</v>
      </c>
      <c r="F15" s="684">
        <f>B15/$C$8</f>
        <v>1750</v>
      </c>
      <c r="G15" s="608" t="s">
        <v>1290</v>
      </c>
      <c r="H15">
        <f>H14</f>
        <v>0.66</v>
      </c>
      <c r="I15" s="499">
        <f>H15*B15/0.76</f>
        <v>1215.7894736842104</v>
      </c>
      <c r="J15" t="s">
        <v>1290</v>
      </c>
      <c r="K15" s="499"/>
      <c r="L15" s="754">
        <v>683</v>
      </c>
      <c r="M15" s="584" t="s">
        <v>1290</v>
      </c>
      <c r="N15" s="584" t="s">
        <v>1481</v>
      </c>
      <c r="O15" s="584" t="s">
        <v>1482</v>
      </c>
      <c r="P15" s="50"/>
    </row>
    <row r="16" spans="1:16">
      <c r="A16" s="22"/>
      <c r="B16" s="498"/>
      <c r="D16" s="591"/>
      <c r="I16" s="499"/>
      <c r="N16" s="648"/>
      <c r="O16" s="595"/>
      <c r="P16" s="50"/>
    </row>
    <row r="17" spans="1:20">
      <c r="A17" s="22"/>
      <c r="D17" s="591"/>
      <c r="I17" s="499"/>
      <c r="N17" s="648"/>
      <c r="O17" s="595"/>
      <c r="P17" s="50"/>
    </row>
    <row r="18" spans="1:20">
      <c r="A18" s="22"/>
      <c r="B18" s="650">
        <v>2022</v>
      </c>
      <c r="C18" s="650"/>
      <c r="D18" s="23">
        <v>2030</v>
      </c>
      <c r="H18" s="23">
        <v>2060</v>
      </c>
      <c r="O18" s="595"/>
      <c r="P18" s="50"/>
    </row>
    <row r="19" spans="1:20" ht="60">
      <c r="A19" s="22"/>
      <c r="B19" s="23" t="s">
        <v>1483</v>
      </c>
      <c r="C19" s="100" t="s">
        <v>1484</v>
      </c>
      <c r="D19" s="651" t="s">
        <v>1483</v>
      </c>
      <c r="E19" s="100" t="s">
        <v>1484</v>
      </c>
      <c r="F19" s="100" t="s">
        <v>1485</v>
      </c>
      <c r="G19" s="100" t="s">
        <v>1486</v>
      </c>
      <c r="H19" s="651" t="s">
        <v>1483</v>
      </c>
      <c r="I19" s="100" t="s">
        <v>1484</v>
      </c>
      <c r="J19" s="100" t="s">
        <v>1485</v>
      </c>
      <c r="K19" s="100" t="s">
        <v>1487</v>
      </c>
      <c r="L19" s="100" t="s">
        <v>1488</v>
      </c>
      <c r="M19" s="100"/>
      <c r="N19" s="652" t="s">
        <v>1489</v>
      </c>
      <c r="O19" s="653" t="s">
        <v>1490</v>
      </c>
      <c r="P19" s="50"/>
      <c r="Q19" s="654" t="s">
        <v>1491</v>
      </c>
      <c r="R19" s="655" t="s">
        <v>1492</v>
      </c>
      <c r="S19" s="655" t="s">
        <v>1485</v>
      </c>
      <c r="T19" s="656" t="s">
        <v>1493</v>
      </c>
    </row>
    <row r="20" spans="1:20">
      <c r="A20" s="645" t="s">
        <v>1494</v>
      </c>
      <c r="B20" s="23"/>
      <c r="C20" s="100"/>
      <c r="D20" s="651"/>
      <c r="E20" s="657">
        <f>'Cement Capacity-China'!B44</f>
        <v>250.4388453947368</v>
      </c>
      <c r="F20" s="658">
        <f>S24*N20</f>
        <v>11.56037083333333</v>
      </c>
      <c r="G20" s="657">
        <f>F20*E20</f>
        <v>2895.1659238349907</v>
      </c>
      <c r="H20" s="651"/>
      <c r="I20" s="659">
        <f>'Cement Capacity-China'!B46</f>
        <v>751.31653618421046</v>
      </c>
      <c r="J20" s="660">
        <f>S24*O20</f>
        <v>11.56037083333333</v>
      </c>
      <c r="K20" s="657">
        <f>J20*I20</f>
        <v>8685.4977715049718</v>
      </c>
      <c r="L20" s="591">
        <f>G20+K20</f>
        <v>11580.663695339963</v>
      </c>
      <c r="M20" s="100"/>
      <c r="N20" s="661">
        <v>1</v>
      </c>
      <c r="O20" s="662">
        <v>1</v>
      </c>
      <c r="P20" s="50"/>
      <c r="Q20" s="22" t="s">
        <v>1495</v>
      </c>
      <c r="R20">
        <f>AVERAGE(4,5)</f>
        <v>4.5</v>
      </c>
      <c r="S20" s="663">
        <f>G82</f>
        <v>2.3299972222222221</v>
      </c>
      <c r="T20" s="602">
        <v>1</v>
      </c>
    </row>
    <row r="21" spans="1:20">
      <c r="A21" s="664" t="s">
        <v>1496</v>
      </c>
      <c r="B21" s="23"/>
      <c r="C21" s="100"/>
      <c r="D21" s="651"/>
      <c r="E21" s="100"/>
      <c r="F21" s="100"/>
      <c r="G21" s="100"/>
      <c r="H21" s="651"/>
      <c r="I21" s="100"/>
      <c r="J21" s="100"/>
      <c r="K21" s="100"/>
      <c r="L21" s="100"/>
      <c r="M21" s="100"/>
      <c r="N21" s="661"/>
      <c r="O21" s="662"/>
      <c r="P21" s="50"/>
      <c r="Q21" s="22" t="s">
        <v>1497</v>
      </c>
      <c r="R21">
        <f>AVERAGE(0.2, 0.5)</f>
        <v>0.35</v>
      </c>
      <c r="S21" s="663">
        <f>G83</f>
        <v>1.433844444444444</v>
      </c>
      <c r="T21" s="602">
        <v>1</v>
      </c>
    </row>
    <row r="22" spans="1:20">
      <c r="A22" s="665" t="s">
        <v>1498</v>
      </c>
      <c r="B22" s="46">
        <v>0</v>
      </c>
      <c r="C22" s="600">
        <v>0</v>
      </c>
      <c r="D22" s="46">
        <v>0.08</v>
      </c>
      <c r="E22" s="633">
        <f>'Cement Capacity-China'!B65</f>
        <v>121.57894736842104</v>
      </c>
      <c r="F22" s="660">
        <f>SUM(E66:E68)*N22</f>
        <v>10.399999999999999</v>
      </c>
      <c r="G22" s="633">
        <f>(E22-C22)*F22</f>
        <v>1264.4210526315787</v>
      </c>
      <c r="H22" s="46">
        <v>0.4</v>
      </c>
      <c r="I22" s="633">
        <f>'Cement Capacity-China'!B66</f>
        <v>364.73684210526312</v>
      </c>
      <c r="J22" s="666">
        <f>SUM(E66:E68)*O22</f>
        <v>10.399999999999999</v>
      </c>
      <c r="K22" s="667">
        <f>J22*I22</f>
        <v>3793.2631578947357</v>
      </c>
      <c r="L22" s="633">
        <f>G22+K22</f>
        <v>5057.6842105263149</v>
      </c>
      <c r="M22" s="100"/>
      <c r="N22" s="658">
        <v>1</v>
      </c>
      <c r="O22" s="668">
        <f>N22</f>
        <v>1</v>
      </c>
      <c r="P22" s="50"/>
      <c r="Q22" s="22" t="s">
        <v>1499</v>
      </c>
      <c r="R22">
        <f>AVERAGE(2,4)</f>
        <v>3</v>
      </c>
      <c r="S22" s="663">
        <f>G85</f>
        <v>5.9146083333333319</v>
      </c>
      <c r="T22" s="602">
        <v>1</v>
      </c>
    </row>
    <row r="23" spans="1:20">
      <c r="A23" s="665" t="s">
        <v>1500</v>
      </c>
      <c r="B23" s="46">
        <f>B22</f>
        <v>0</v>
      </c>
      <c r="C23" s="600">
        <f>C22</f>
        <v>0</v>
      </c>
      <c r="D23" s="46">
        <f>D22</f>
        <v>0.08</v>
      </c>
      <c r="E23" s="633">
        <f>E22</f>
        <v>121.57894736842104</v>
      </c>
      <c r="F23" s="669">
        <f>F22</f>
        <v>10.399999999999999</v>
      </c>
      <c r="G23" s="633">
        <f>(E23-C23)*F23</f>
        <v>1264.4210526315787</v>
      </c>
      <c r="H23" s="46">
        <f>H22</f>
        <v>0.4</v>
      </c>
      <c r="I23" s="633">
        <f>I22</f>
        <v>364.73684210526312</v>
      </c>
      <c r="J23" s="669">
        <f>J22</f>
        <v>10.399999999999999</v>
      </c>
      <c r="K23" s="667">
        <f>J23*I23</f>
        <v>3793.2631578947357</v>
      </c>
      <c r="L23" s="633">
        <f>G23+K23</f>
        <v>5057.6842105263149</v>
      </c>
      <c r="M23" s="100"/>
      <c r="N23" s="658">
        <v>1</v>
      </c>
      <c r="O23" s="668">
        <f>N23</f>
        <v>1</v>
      </c>
      <c r="P23" s="50"/>
      <c r="Q23" s="22" t="s">
        <v>1501</v>
      </c>
      <c r="R23">
        <f>AVERAGE(1,3)</f>
        <v>2</v>
      </c>
      <c r="S23" s="663">
        <f>G86</f>
        <v>1.881920833333333</v>
      </c>
      <c r="T23" s="602">
        <v>1</v>
      </c>
    </row>
    <row r="24" spans="1:20">
      <c r="A24" s="645" t="s">
        <v>1502</v>
      </c>
      <c r="E24" s="499"/>
      <c r="I24" s="499"/>
      <c r="J24" s="663"/>
      <c r="K24" s="499"/>
      <c r="N24" s="663"/>
      <c r="O24" s="670"/>
      <c r="P24" s="50"/>
      <c r="Q24" s="645" t="s">
        <v>1503</v>
      </c>
      <c r="R24" s="671">
        <f>SUM(R20:R23)</f>
        <v>9.85</v>
      </c>
      <c r="S24" s="671">
        <f>SUM(S20:S23)</f>
        <v>11.56037083333333</v>
      </c>
      <c r="T24" s="595"/>
    </row>
    <row r="25" spans="1:20">
      <c r="A25" s="665" t="s">
        <v>1504</v>
      </c>
      <c r="B25" s="46">
        <v>0.02</v>
      </c>
      <c r="C25" s="600">
        <f>B25*$I$13</f>
        <v>36.982057894736847</v>
      </c>
      <c r="D25" s="46">
        <v>0.115</v>
      </c>
      <c r="E25" s="591">
        <f>D25*$I$14</f>
        <v>197.31398164819947</v>
      </c>
      <c r="F25" s="663">
        <f>SUM(E71+E74)*N25</f>
        <v>7.7333333333333334</v>
      </c>
      <c r="G25" s="591">
        <f>(E25-C25)*F25</f>
        <v>1239.900210360111</v>
      </c>
      <c r="H25" s="648">
        <v>0.4</v>
      </c>
      <c r="I25" s="591">
        <f>H25*$I$15</f>
        <v>486.31578947368416</v>
      </c>
      <c r="J25" s="663">
        <f>SUM(E71+E74)*O25</f>
        <v>7.7333333333333334</v>
      </c>
      <c r="K25" s="591">
        <f>J25*(I25-E25)</f>
        <v>2234.947313850415</v>
      </c>
      <c r="L25" s="591">
        <f>G25+K25</f>
        <v>3474.847524210526</v>
      </c>
      <c r="M25" s="600"/>
      <c r="N25" s="663">
        <v>1</v>
      </c>
      <c r="O25" s="670">
        <f>N25</f>
        <v>1</v>
      </c>
      <c r="P25" s="50"/>
      <c r="Q25" s="672" t="s">
        <v>1505</v>
      </c>
      <c r="R25" s="673"/>
      <c r="S25" s="673"/>
      <c r="T25" s="1000">
        <f>AVERAGE(T20:T23)</f>
        <v>1</v>
      </c>
    </row>
    <row r="26" spans="1:20">
      <c r="A26" s="665" t="s">
        <v>1506</v>
      </c>
      <c r="B26" s="46">
        <v>0</v>
      </c>
      <c r="C26" s="600">
        <v>0</v>
      </c>
      <c r="D26" s="46">
        <v>1.2500000000000001E-2</v>
      </c>
      <c r="E26" s="591">
        <f>D26*$I$14</f>
        <v>21.44717191828255</v>
      </c>
      <c r="F26" s="663">
        <f>AVERAGE(E70)*N26</f>
        <v>6.666666666666667</v>
      </c>
      <c r="G26" s="591">
        <f>(E26-C26)*F26</f>
        <v>142.98114612188368</v>
      </c>
      <c r="H26" s="648">
        <v>0.05</v>
      </c>
      <c r="I26" s="591">
        <f>H26*$I$15</f>
        <v>60.78947368421052</v>
      </c>
      <c r="J26" s="663">
        <f>AVERAGE(E70)*O26</f>
        <v>6.666666666666667</v>
      </c>
      <c r="K26" s="591">
        <f>J26*(I26-E26)</f>
        <v>262.28201177285314</v>
      </c>
      <c r="L26" s="591">
        <f>G26+K26</f>
        <v>405.26315789473682</v>
      </c>
      <c r="M26" s="600"/>
      <c r="N26" s="663">
        <f>N25</f>
        <v>1</v>
      </c>
      <c r="O26" s="670">
        <f>N26</f>
        <v>1</v>
      </c>
      <c r="P26" s="50"/>
      <c r="R26" s="498"/>
    </row>
    <row r="27" spans="1:20">
      <c r="A27" s="665" t="s">
        <v>1507</v>
      </c>
      <c r="B27" s="46">
        <v>0</v>
      </c>
      <c r="C27" s="600">
        <v>0</v>
      </c>
      <c r="D27" s="46">
        <v>0.02</v>
      </c>
      <c r="E27" s="591">
        <f>D27*$I$14</f>
        <v>34.315475069252081</v>
      </c>
      <c r="F27" s="674">
        <f>G81*N27</f>
        <v>2.4375355555555553</v>
      </c>
      <c r="G27" s="591">
        <f>(E27-C27)*F27</f>
        <v>83.645190587082183</v>
      </c>
      <c r="H27" s="648">
        <v>0.35</v>
      </c>
      <c r="I27" s="591">
        <f>H27*$I$15</f>
        <v>425.52631578947364</v>
      </c>
      <c r="J27" s="663">
        <f>G81*O27</f>
        <v>9.7501422222222214</v>
      </c>
      <c r="K27" s="591">
        <f>J27*(I27-E27)</f>
        <v>3814.3613358972843</v>
      </c>
      <c r="L27" s="591">
        <f>G27+K27</f>
        <v>3898.0065264843665</v>
      </c>
      <c r="N27" s="663">
        <v>1</v>
      </c>
      <c r="O27" s="946">
        <v>4</v>
      </c>
      <c r="P27" s="50"/>
    </row>
    <row r="28" spans="1:20">
      <c r="A28" s="665" t="s">
        <v>1508</v>
      </c>
      <c r="B28" s="46">
        <v>0</v>
      </c>
      <c r="C28" s="600">
        <v>0</v>
      </c>
      <c r="D28" s="46">
        <v>0.01</v>
      </c>
      <c r="E28" s="591">
        <f>D28*$I$14</f>
        <v>17.15773753462604</v>
      </c>
      <c r="F28" s="675"/>
      <c r="G28" s="675"/>
      <c r="H28" s="648">
        <v>0.2</v>
      </c>
      <c r="I28" s="591">
        <f>H28*$I$15</f>
        <v>243.15789473684208</v>
      </c>
      <c r="J28" s="676"/>
      <c r="K28" s="677"/>
      <c r="L28" s="675"/>
      <c r="N28" s="663">
        <v>1</v>
      </c>
      <c r="O28" s="670">
        <f>N28</f>
        <v>1</v>
      </c>
      <c r="P28" s="50"/>
    </row>
    <row r="29" spans="1:20" s="584" customFormat="1">
      <c r="A29" s="752" t="s">
        <v>1509</v>
      </c>
      <c r="B29" s="586"/>
      <c r="C29" s="753"/>
      <c r="D29" s="586"/>
      <c r="E29" s="754"/>
      <c r="G29" s="751">
        <f>C103</f>
        <v>2029.8693222782986</v>
      </c>
      <c r="H29" s="755"/>
      <c r="I29" s="756">
        <f>D103</f>
        <v>12585.616438356165</v>
      </c>
      <c r="J29" s="757"/>
      <c r="K29" s="751">
        <f>I29-G29</f>
        <v>10555.747116077866</v>
      </c>
      <c r="L29" s="754">
        <f>G29+K29</f>
        <v>12585.616438356165</v>
      </c>
      <c r="N29" s="758"/>
      <c r="O29" s="759"/>
      <c r="P29" s="760"/>
    </row>
    <row r="30" spans="1:20">
      <c r="A30" s="665" t="s">
        <v>1510</v>
      </c>
      <c r="B30" s="46"/>
      <c r="C30" s="600"/>
      <c r="D30" s="46"/>
      <c r="E30" s="591"/>
      <c r="G30" s="499">
        <f>C104</f>
        <v>6766.2310742609952</v>
      </c>
      <c r="H30" s="678"/>
      <c r="I30" s="633">
        <f>D104</f>
        <v>41952.054794520547</v>
      </c>
      <c r="J30" s="669"/>
      <c r="K30" s="499">
        <f>I30-G30</f>
        <v>35185.823720259548</v>
      </c>
      <c r="L30" s="591">
        <f>G30+K30</f>
        <v>41952.054794520547</v>
      </c>
      <c r="N30" s="663"/>
      <c r="O30" s="670"/>
      <c r="P30" s="50"/>
    </row>
    <row r="31" spans="1:20">
      <c r="A31" s="664" t="s">
        <v>1511</v>
      </c>
      <c r="B31" s="46">
        <v>0</v>
      </c>
      <c r="C31" s="679">
        <v>0</v>
      </c>
      <c r="D31" s="46">
        <v>0.02</v>
      </c>
      <c r="E31" s="591">
        <f>D31*I14</f>
        <v>34.315475069252081</v>
      </c>
      <c r="F31" s="499">
        <f>E75*N31</f>
        <v>366.66666666666669</v>
      </c>
      <c r="G31" s="591">
        <f>(E31-C31)*F31</f>
        <v>12582.340858725764</v>
      </c>
      <c r="H31" s="46">
        <v>0.5</v>
      </c>
      <c r="I31" s="591">
        <f>H31*F15</f>
        <v>875</v>
      </c>
      <c r="J31" s="591">
        <f>E75*O31</f>
        <v>330</v>
      </c>
      <c r="K31" s="591">
        <f>J31*(I31-E31)</f>
        <v>277425.89322714682</v>
      </c>
      <c r="L31" s="591">
        <f>G31+K31</f>
        <v>290008.23408587259</v>
      </c>
      <c r="N31" s="663">
        <v>1</v>
      </c>
      <c r="O31" s="670">
        <v>0.9</v>
      </c>
      <c r="P31" s="50"/>
    </row>
    <row r="32" spans="1:20">
      <c r="A32" s="664"/>
      <c r="B32" s="46"/>
      <c r="C32" s="99"/>
      <c r="D32" s="46"/>
      <c r="E32" s="591"/>
      <c r="F32" s="499"/>
      <c r="G32" s="591"/>
      <c r="H32" s="46"/>
      <c r="I32" s="591"/>
      <c r="J32" s="498"/>
      <c r="K32" s="591"/>
      <c r="L32" s="591"/>
      <c r="N32" s="600"/>
      <c r="O32" s="680"/>
      <c r="P32" s="50"/>
    </row>
    <row r="33" spans="1:16">
      <c r="A33" s="665"/>
      <c r="B33" s="46"/>
      <c r="C33" s="99"/>
      <c r="D33" s="46"/>
      <c r="E33" s="591"/>
      <c r="F33" s="499"/>
      <c r="G33" s="591"/>
      <c r="H33" s="46"/>
      <c r="I33" s="591"/>
      <c r="J33" s="498"/>
      <c r="K33" s="600"/>
      <c r="L33" s="591"/>
      <c r="N33" s="600"/>
      <c r="O33" s="680"/>
      <c r="P33" s="50"/>
    </row>
    <row r="34" spans="1:16">
      <c r="A34" s="644" t="s">
        <v>1512</v>
      </c>
      <c r="B34" s="681"/>
      <c r="C34" s="681"/>
      <c r="D34" s="521"/>
      <c r="E34" s="521"/>
      <c r="F34" s="521"/>
      <c r="G34" s="521"/>
      <c r="H34" s="521"/>
      <c r="I34" s="521"/>
      <c r="J34" s="521"/>
      <c r="K34" s="521"/>
      <c r="L34" s="521"/>
      <c r="M34" s="521"/>
      <c r="N34" s="682"/>
      <c r="O34" s="683"/>
      <c r="P34" s="50"/>
    </row>
    <row r="35" spans="1:16">
      <c r="A35" s="645" t="s">
        <v>164</v>
      </c>
      <c r="B35" s="23" t="s">
        <v>1477</v>
      </c>
      <c r="C35" s="23" t="s">
        <v>116</v>
      </c>
      <c r="D35" s="23" t="s">
        <v>1289</v>
      </c>
      <c r="E35" s="23" t="s">
        <v>612</v>
      </c>
      <c r="F35" s="646" t="s">
        <v>1478</v>
      </c>
      <c r="G35" s="646" t="s">
        <v>116</v>
      </c>
      <c r="H35" s="23" t="s">
        <v>1479</v>
      </c>
      <c r="I35" s="23" t="s">
        <v>1480</v>
      </c>
      <c r="J35" s="23" t="s">
        <v>116</v>
      </c>
      <c r="L35" s="765" t="s">
        <v>1477</v>
      </c>
      <c r="M35" s="765" t="s">
        <v>116</v>
      </c>
      <c r="N35" s="765" t="s">
        <v>1289</v>
      </c>
      <c r="O35" s="765" t="s">
        <v>612</v>
      </c>
      <c r="P35" s="50"/>
    </row>
    <row r="36" spans="1:16">
      <c r="A36" s="22">
        <v>2022</v>
      </c>
      <c r="B36" s="591">
        <v>2129.27</v>
      </c>
      <c r="C36" t="s">
        <v>1290</v>
      </c>
      <c r="D36" t="s">
        <v>1291</v>
      </c>
      <c r="E36" t="s">
        <v>1292</v>
      </c>
      <c r="F36" s="684">
        <f>B36/$C$6</f>
        <v>3548.7833333333333</v>
      </c>
      <c r="G36" s="608" t="s">
        <v>1290</v>
      </c>
      <c r="H36">
        <v>0.66</v>
      </c>
      <c r="I36" s="498">
        <f>B36*H36/0.76</f>
        <v>1849.1028947368422</v>
      </c>
      <c r="J36" t="s">
        <v>1290</v>
      </c>
      <c r="L36" s="754">
        <v>2129.27</v>
      </c>
      <c r="M36" s="584" t="s">
        <v>1290</v>
      </c>
      <c r="N36" s="584" t="s">
        <v>1291</v>
      </c>
      <c r="O36" s="584" t="s">
        <v>1292</v>
      </c>
      <c r="P36" s="50"/>
    </row>
    <row r="37" spans="1:16">
      <c r="A37" s="22">
        <v>2030</v>
      </c>
      <c r="B37" s="591">
        <f>B14</f>
        <v>1975.7394736842105</v>
      </c>
      <c r="C37" t="s">
        <v>1290</v>
      </c>
      <c r="F37" s="647">
        <f>B37/$C$7</f>
        <v>3039.5991902834007</v>
      </c>
      <c r="G37" s="608" t="s">
        <v>1290</v>
      </c>
      <c r="H37">
        <f>H36</f>
        <v>0.66</v>
      </c>
      <c r="I37" s="499">
        <f>B37*H37/0.76</f>
        <v>1715.773753462604</v>
      </c>
      <c r="J37" t="s">
        <v>1290</v>
      </c>
      <c r="L37" s="754">
        <v>1478</v>
      </c>
      <c r="M37" s="584" t="s">
        <v>1290</v>
      </c>
      <c r="N37" s="584" t="s">
        <v>1513</v>
      </c>
      <c r="O37" s="584" t="s">
        <v>1482</v>
      </c>
      <c r="P37" s="50"/>
    </row>
    <row r="38" spans="1:16">
      <c r="A38" s="22">
        <v>2060</v>
      </c>
      <c r="B38" s="591">
        <f>B15</f>
        <v>1400</v>
      </c>
      <c r="C38" t="s">
        <v>1290</v>
      </c>
      <c r="F38" s="647">
        <f>B38/$C$8</f>
        <v>1750</v>
      </c>
      <c r="G38" s="608" t="s">
        <v>1290</v>
      </c>
      <c r="H38">
        <v>0.55000000000000004</v>
      </c>
      <c r="I38" s="499">
        <f>H38*B38/0.76</f>
        <v>1013.1578947368422</v>
      </c>
      <c r="J38" t="s">
        <v>1290</v>
      </c>
      <c r="L38" s="754">
        <v>569</v>
      </c>
      <c r="M38" s="584" t="s">
        <v>1290</v>
      </c>
      <c r="N38" s="584" t="s">
        <v>1513</v>
      </c>
      <c r="O38" s="584" t="s">
        <v>1482</v>
      </c>
      <c r="P38" s="50"/>
    </row>
    <row r="39" spans="1:16">
      <c r="A39" s="22"/>
      <c r="N39" s="648"/>
      <c r="O39" s="649"/>
      <c r="P39" s="50"/>
    </row>
    <row r="40" spans="1:16">
      <c r="A40" s="22"/>
      <c r="N40" s="648"/>
      <c r="O40" s="649"/>
      <c r="P40" s="50"/>
    </row>
    <row r="41" spans="1:16">
      <c r="A41" s="22"/>
      <c r="B41" s="650">
        <v>2022</v>
      </c>
      <c r="C41" s="650"/>
      <c r="D41" s="23">
        <v>2030</v>
      </c>
      <c r="H41" s="23">
        <v>2060</v>
      </c>
      <c r="N41" s="648"/>
      <c r="O41" s="649"/>
      <c r="P41" s="50"/>
    </row>
    <row r="42" spans="1:16" ht="60">
      <c r="A42" s="22"/>
      <c r="B42" s="23" t="s">
        <v>1483</v>
      </c>
      <c r="C42" s="100" t="s">
        <v>1484</v>
      </c>
      <c r="D42" s="651" t="s">
        <v>1483</v>
      </c>
      <c r="E42" s="100" t="s">
        <v>1484</v>
      </c>
      <c r="F42" s="100" t="s">
        <v>1485</v>
      </c>
      <c r="G42" s="100" t="s">
        <v>1486</v>
      </c>
      <c r="H42" s="651" t="s">
        <v>1483</v>
      </c>
      <c r="I42" s="100" t="s">
        <v>1484</v>
      </c>
      <c r="J42" s="100" t="s">
        <v>1485</v>
      </c>
      <c r="K42" s="100" t="s">
        <v>1487</v>
      </c>
      <c r="L42" s="100" t="s">
        <v>1488</v>
      </c>
      <c r="M42" s="23"/>
      <c r="N42" s="652" t="s">
        <v>1489</v>
      </c>
      <c r="O42" s="653" t="s">
        <v>1490</v>
      </c>
      <c r="P42" s="50"/>
    </row>
    <row r="43" spans="1:16">
      <c r="A43" s="645" t="s">
        <v>1494</v>
      </c>
      <c r="B43" s="23"/>
      <c r="C43" s="100"/>
      <c r="D43" s="651"/>
      <c r="E43" s="657">
        <f>'Cement Capacity-China'!B53</f>
        <v>204.846740131579</v>
      </c>
      <c r="F43" s="658">
        <f>S24*N43</f>
        <v>11.56037083333333</v>
      </c>
      <c r="G43" s="657">
        <f>F43*E43</f>
        <v>2368.1042799205179</v>
      </c>
      <c r="H43" s="651"/>
      <c r="I43" s="657">
        <f>'Cement Capacity-China'!B55</f>
        <v>614.54022039473693</v>
      </c>
      <c r="J43" s="660">
        <f>S24*T25*O43</f>
        <v>10.404333749999997</v>
      </c>
      <c r="K43" s="657">
        <f>J43*I43</f>
        <v>6393.8815557853986</v>
      </c>
      <c r="L43" s="591">
        <f>G43+K43</f>
        <v>8761.9858357059165</v>
      </c>
      <c r="M43" s="100"/>
      <c r="N43" s="661">
        <v>1</v>
      </c>
      <c r="O43" s="662">
        <v>0.9</v>
      </c>
      <c r="P43" s="50"/>
    </row>
    <row r="44" spans="1:16">
      <c r="A44" s="664" t="s">
        <v>1496</v>
      </c>
      <c r="B44" s="23"/>
      <c r="C44" s="100"/>
      <c r="D44" s="651"/>
      <c r="E44" s="100"/>
      <c r="F44" s="100"/>
      <c r="G44" s="100"/>
      <c r="H44" s="651"/>
      <c r="I44" s="1003"/>
      <c r="J44" s="100"/>
      <c r="K44" s="100"/>
      <c r="L44" s="100"/>
      <c r="M44" s="100"/>
      <c r="N44" s="661"/>
      <c r="O44" s="662"/>
      <c r="P44" s="50"/>
    </row>
    <row r="45" spans="1:16">
      <c r="A45" s="665" t="s">
        <v>1498</v>
      </c>
      <c r="B45" s="46">
        <v>0</v>
      </c>
      <c r="C45" s="600">
        <v>0</v>
      </c>
      <c r="D45" s="46">
        <v>0.2</v>
      </c>
      <c r="E45" s="633">
        <f>'Cement Capacity-China'!B74</f>
        <v>151.97368421052633</v>
      </c>
      <c r="F45" s="660">
        <f>SUM(E66:E68)*N45</f>
        <v>10.399999999999999</v>
      </c>
      <c r="G45" s="633">
        <f>(E45-C45)*F45</f>
        <v>1580.5263157894735</v>
      </c>
      <c r="H45" s="46">
        <v>0.6</v>
      </c>
      <c r="I45" s="633">
        <f>'Cement Capacity-China'!B75</f>
        <v>455.92105263157896</v>
      </c>
      <c r="J45" s="666">
        <f>F45</f>
        <v>10.399999999999999</v>
      </c>
      <c r="K45" s="667">
        <f>J45*I45</f>
        <v>4741.5789473684208</v>
      </c>
      <c r="L45" s="633">
        <f>G45+K45</f>
        <v>6322.1052631578941</v>
      </c>
      <c r="M45" s="100"/>
      <c r="N45" s="658">
        <v>1</v>
      </c>
      <c r="O45" s="668">
        <f>N45</f>
        <v>1</v>
      </c>
      <c r="P45" s="50"/>
    </row>
    <row r="46" spans="1:16">
      <c r="A46" s="665" t="s">
        <v>1500</v>
      </c>
      <c r="B46" s="46">
        <f>B45</f>
        <v>0</v>
      </c>
      <c r="C46" s="600">
        <f>C45</f>
        <v>0</v>
      </c>
      <c r="D46" s="46">
        <f>D45</f>
        <v>0.2</v>
      </c>
      <c r="E46" s="633">
        <f>E45</f>
        <v>151.97368421052633</v>
      </c>
      <c r="F46" s="669">
        <f>F45</f>
        <v>10.399999999999999</v>
      </c>
      <c r="G46" s="633">
        <f>(E46-C46)*F46</f>
        <v>1580.5263157894735</v>
      </c>
      <c r="H46" s="46">
        <f>H45</f>
        <v>0.6</v>
      </c>
      <c r="I46" s="633">
        <f>I45</f>
        <v>455.92105263157896</v>
      </c>
      <c r="J46" s="669">
        <f>J45</f>
        <v>10.399999999999999</v>
      </c>
      <c r="K46" s="667">
        <f>J46*I46</f>
        <v>4741.5789473684208</v>
      </c>
      <c r="L46" s="633">
        <f>G46+K46</f>
        <v>6322.1052631578941</v>
      </c>
      <c r="M46" s="100"/>
      <c r="N46" s="658">
        <v>1</v>
      </c>
      <c r="O46" s="668">
        <f>O45</f>
        <v>1</v>
      </c>
      <c r="P46" s="50"/>
    </row>
    <row r="47" spans="1:16">
      <c r="A47" s="645" t="s">
        <v>1502</v>
      </c>
      <c r="E47" s="499"/>
      <c r="I47" s="499"/>
      <c r="J47" s="663"/>
      <c r="O47" s="595"/>
      <c r="P47" s="50"/>
    </row>
    <row r="48" spans="1:16">
      <c r="A48" s="665" t="s">
        <v>1504</v>
      </c>
      <c r="B48" s="46">
        <v>0.02</v>
      </c>
      <c r="C48" s="591">
        <f>B48*$I$36</f>
        <v>36.982057894736847</v>
      </c>
      <c r="D48" s="46">
        <v>0.16499999999999998</v>
      </c>
      <c r="E48" s="591">
        <f>D48*$I$37</f>
        <v>283.10266932132964</v>
      </c>
      <c r="F48" s="663">
        <f>AVERAGE(E71+E74)*N48</f>
        <v>7.7333333333333334</v>
      </c>
      <c r="G48" s="591">
        <f>(E48-C48)*F48</f>
        <v>1903.3327283656511</v>
      </c>
      <c r="H48" s="648">
        <v>0.6</v>
      </c>
      <c r="I48" s="591">
        <f>H48*$I$38</f>
        <v>607.89473684210532</v>
      </c>
      <c r="J48" s="663">
        <f>SUM(E71+E74)*O48</f>
        <v>7.7333333333333334</v>
      </c>
      <c r="K48" s="591">
        <f>J48*(I48-E48)</f>
        <v>2511.7253221606652</v>
      </c>
      <c r="L48" s="591">
        <f>G48+K48</f>
        <v>4415.058050526316</v>
      </c>
      <c r="M48" s="600"/>
      <c r="N48" s="600">
        <v>1</v>
      </c>
      <c r="O48" s="680">
        <f>N48</f>
        <v>1</v>
      </c>
      <c r="P48" s="50"/>
    </row>
    <row r="49" spans="1:16">
      <c r="A49" s="665" t="s">
        <v>1506</v>
      </c>
      <c r="B49" s="46">
        <v>0</v>
      </c>
      <c r="C49" s="600">
        <v>0</v>
      </c>
      <c r="D49" s="46">
        <v>2.5000000000000001E-2</v>
      </c>
      <c r="E49" s="591">
        <f>D49*$I$37</f>
        <v>42.894343836565099</v>
      </c>
      <c r="F49" s="663">
        <f>AVERAGE(E70)*N49</f>
        <v>6.666666666666667</v>
      </c>
      <c r="G49" s="591">
        <f>(E49-C49)*F49</f>
        <v>285.96229224376737</v>
      </c>
      <c r="H49" s="648">
        <v>0.1</v>
      </c>
      <c r="I49" s="591">
        <f>H49*$I$38</f>
        <v>101.31578947368422</v>
      </c>
      <c r="J49" s="663">
        <f>AVERAGE(E70)*O49</f>
        <v>6.666666666666667</v>
      </c>
      <c r="K49" s="591">
        <f>J49*(I49-E49)</f>
        <v>389.4763042474608</v>
      </c>
      <c r="L49" s="591">
        <f>G49+K49</f>
        <v>675.43859649122817</v>
      </c>
      <c r="M49" s="600"/>
      <c r="N49" s="600">
        <f>N48</f>
        <v>1</v>
      </c>
      <c r="O49" s="680">
        <f>O48</f>
        <v>1</v>
      </c>
      <c r="P49" s="50"/>
    </row>
    <row r="50" spans="1:16">
      <c r="A50" s="665" t="s">
        <v>1507</v>
      </c>
      <c r="B50" s="46">
        <v>0</v>
      </c>
      <c r="C50" s="600">
        <v>0</v>
      </c>
      <c r="D50" s="46">
        <v>0.02</v>
      </c>
      <c r="E50" s="591">
        <f>D50*$I$37</f>
        <v>34.315475069252081</v>
      </c>
      <c r="F50" s="674">
        <f>G81*N50</f>
        <v>2.4375355555555553</v>
      </c>
      <c r="G50" s="591">
        <f>(E50-C50)*F50</f>
        <v>83.645190587082183</v>
      </c>
      <c r="H50" s="648">
        <v>0.2</v>
      </c>
      <c r="I50" s="591">
        <f>H50*$I$38</f>
        <v>202.63157894736844</v>
      </c>
      <c r="J50" s="663">
        <f>G81*O50</f>
        <v>9.7501422222222214</v>
      </c>
      <c r="K50" s="591">
        <f>J50*(I50-E50)</f>
        <v>1641.1059511019637</v>
      </c>
      <c r="L50" s="591">
        <f>G50+K50</f>
        <v>1724.7511416890459</v>
      </c>
      <c r="N50" s="600">
        <v>1</v>
      </c>
      <c r="O50" s="946">
        <v>4</v>
      </c>
      <c r="P50" s="50"/>
    </row>
    <row r="51" spans="1:16">
      <c r="A51" s="665" t="s">
        <v>1508</v>
      </c>
      <c r="B51" s="46">
        <v>0</v>
      </c>
      <c r="C51" s="600">
        <v>0</v>
      </c>
      <c r="D51" s="46">
        <v>0.01</v>
      </c>
      <c r="E51" s="591">
        <f>D51*$I$37</f>
        <v>17.15773753462604</v>
      </c>
      <c r="F51" s="675"/>
      <c r="G51" s="675"/>
      <c r="H51" s="648">
        <v>0.1</v>
      </c>
      <c r="I51" s="591">
        <f>H51*$I$38</f>
        <v>101.31578947368422</v>
      </c>
      <c r="J51" s="685"/>
      <c r="K51" s="675"/>
      <c r="L51" s="675"/>
      <c r="N51" s="600">
        <v>1</v>
      </c>
      <c r="O51" s="680">
        <f>N51</f>
        <v>1</v>
      </c>
      <c r="P51" s="50"/>
    </row>
    <row r="52" spans="1:16" s="584" customFormat="1">
      <c r="A52" s="752" t="s">
        <v>1509</v>
      </c>
      <c r="B52" s="586"/>
      <c r="C52" s="753"/>
      <c r="D52" s="586"/>
      <c r="E52" s="754"/>
      <c r="G52" s="751">
        <f>C120</f>
        <v>2029.8693222782986</v>
      </c>
      <c r="H52" s="761"/>
      <c r="I52" s="756">
        <f>D120</f>
        <v>5993.1506849315074</v>
      </c>
      <c r="J52" s="762"/>
      <c r="K52" s="751">
        <f>I52-G52</f>
        <v>3963.2813626532088</v>
      </c>
      <c r="L52" s="754">
        <f>G52+K52</f>
        <v>5993.1506849315074</v>
      </c>
      <c r="N52" s="753"/>
      <c r="O52" s="763"/>
      <c r="P52" s="760"/>
    </row>
    <row r="53" spans="1:16">
      <c r="A53" s="665" t="s">
        <v>1510</v>
      </c>
      <c r="B53" s="46"/>
      <c r="C53" s="600"/>
      <c r="D53" s="46"/>
      <c r="E53" s="591"/>
      <c r="G53" s="499">
        <f>C121</f>
        <v>6766.2310742609952</v>
      </c>
      <c r="H53" s="648"/>
      <c r="I53" s="633">
        <f>D121</f>
        <v>19977.168949771694</v>
      </c>
      <c r="J53" s="686"/>
      <c r="K53" s="499">
        <f>I53-G53</f>
        <v>13210.937875510699</v>
      </c>
      <c r="L53" s="591">
        <f>G53+K53</f>
        <v>19977.168949771694</v>
      </c>
      <c r="N53" s="600"/>
      <c r="O53" s="680"/>
      <c r="P53" s="50"/>
    </row>
    <row r="54" spans="1:16">
      <c r="A54" s="645" t="s">
        <v>1514</v>
      </c>
      <c r="B54" s="46">
        <v>0</v>
      </c>
      <c r="C54" s="679">
        <v>0</v>
      </c>
      <c r="D54" s="46">
        <v>0.02</v>
      </c>
      <c r="E54" s="591">
        <f>D54*$I$37</f>
        <v>34.315475069252081</v>
      </c>
      <c r="F54" s="499">
        <f>E75*N54</f>
        <v>366.66666666666669</v>
      </c>
      <c r="G54" s="591">
        <f>(E54-C54)*F54</f>
        <v>12582.340858725764</v>
      </c>
      <c r="H54" s="46">
        <v>0.3</v>
      </c>
      <c r="I54" s="591">
        <f>H54*$I$38</f>
        <v>303.94736842105266</v>
      </c>
      <c r="J54" s="663">
        <f>E75*O54</f>
        <v>366.66666666666669</v>
      </c>
      <c r="K54" s="591">
        <f>J54*(I54-E54)</f>
        <v>98865.027562326883</v>
      </c>
      <c r="L54" s="591">
        <f>G54+K54</f>
        <v>111447.36842105264</v>
      </c>
      <c r="N54" s="600">
        <v>1</v>
      </c>
      <c r="O54" s="680">
        <f>N54</f>
        <v>1</v>
      </c>
      <c r="P54" s="50"/>
    </row>
    <row r="55" spans="1:16">
      <c r="A55" s="687"/>
      <c r="B55" s="523"/>
      <c r="C55" s="523"/>
      <c r="D55" s="523"/>
      <c r="E55" s="523"/>
      <c r="F55" s="523"/>
      <c r="G55" s="593"/>
      <c r="H55" s="688"/>
      <c r="I55" s="593"/>
      <c r="J55" s="689"/>
      <c r="K55" s="593"/>
      <c r="L55" s="593"/>
      <c r="M55" s="523"/>
      <c r="N55" s="690"/>
      <c r="O55" s="691"/>
      <c r="P55" s="50"/>
    </row>
    <row r="56" spans="1:16">
      <c r="A56" s="99"/>
      <c r="G56" s="577"/>
      <c r="H56" s="46"/>
      <c r="I56" s="577"/>
      <c r="J56" s="498"/>
      <c r="K56" s="577"/>
      <c r="L56" s="577"/>
      <c r="N56" s="50"/>
      <c r="O56" s="50"/>
      <c r="P56" s="50"/>
    </row>
    <row r="57" spans="1:16" ht="60">
      <c r="A57" s="692" t="s">
        <v>1515</v>
      </c>
      <c r="B57" s="693" t="s">
        <v>1516</v>
      </c>
      <c r="C57" s="693" t="s">
        <v>1517</v>
      </c>
      <c r="D57" s="693" t="s">
        <v>1518</v>
      </c>
      <c r="E57" s="655" t="s">
        <v>1519</v>
      </c>
      <c r="F57" s="655" t="s">
        <v>1520</v>
      </c>
      <c r="G57" s="694" t="s">
        <v>1521</v>
      </c>
      <c r="H57" s="694" t="s">
        <v>1522</v>
      </c>
      <c r="I57" s="694" t="s">
        <v>1523</v>
      </c>
      <c r="J57" s="695" t="s">
        <v>1524</v>
      </c>
      <c r="K57" s="577"/>
      <c r="L57" s="577"/>
      <c r="N57" s="50"/>
      <c r="O57" s="50"/>
      <c r="P57" s="50"/>
    </row>
    <row r="58" spans="1:16">
      <c r="A58" s="696" t="s">
        <v>1525</v>
      </c>
      <c r="B58" s="46">
        <v>0.1</v>
      </c>
      <c r="C58" s="46">
        <f>D27</f>
        <v>0.02</v>
      </c>
      <c r="D58" s="46">
        <f>H27</f>
        <v>0.35</v>
      </c>
      <c r="E58" s="591">
        <f>C58*I14</f>
        <v>34.315475069252081</v>
      </c>
      <c r="F58" s="591">
        <f>D58*I15</f>
        <v>425.52631578947364</v>
      </c>
      <c r="G58" s="600">
        <v>2.8000000000000001E-2</v>
      </c>
      <c r="H58" s="600">
        <f>G58*E58*0.76</f>
        <v>0.73023330947368426</v>
      </c>
      <c r="I58" s="600">
        <f>G58*F58*0.76</f>
        <v>9.0551999999999992</v>
      </c>
      <c r="J58" s="697">
        <f>I58-H58</f>
        <v>8.3249666905263151</v>
      </c>
      <c r="K58" s="577"/>
      <c r="L58" s="577"/>
      <c r="N58" s="50"/>
      <c r="O58" s="50"/>
      <c r="P58" s="50"/>
    </row>
    <row r="59" spans="1:16">
      <c r="A59" s="698" t="s">
        <v>1526</v>
      </c>
      <c r="B59" s="688">
        <v>0.1</v>
      </c>
      <c r="C59" s="688">
        <f>D50</f>
        <v>0.02</v>
      </c>
      <c r="D59" s="688">
        <f>H50</f>
        <v>0.2</v>
      </c>
      <c r="E59" s="593">
        <f>C59*I37</f>
        <v>34.315475069252081</v>
      </c>
      <c r="F59" s="593">
        <f>D59*I38</f>
        <v>202.63157894736844</v>
      </c>
      <c r="G59" s="643">
        <f>G58</f>
        <v>2.8000000000000001E-2</v>
      </c>
      <c r="H59" s="643">
        <f>G59*E59*0.76</f>
        <v>0.73023330947368426</v>
      </c>
      <c r="I59" s="643">
        <f>G59*F59*0.76</f>
        <v>4.3120000000000003</v>
      </c>
      <c r="J59" s="699">
        <f>I59-H59</f>
        <v>3.5817666905263161</v>
      </c>
      <c r="N59" s="50"/>
      <c r="O59" s="50"/>
      <c r="P59" s="50"/>
    </row>
    <row r="60" spans="1:16">
      <c r="N60" s="50"/>
      <c r="O60" s="50"/>
      <c r="P60" s="50"/>
    </row>
    <row r="61" spans="1:16">
      <c r="A61" s="700" t="s">
        <v>1527</v>
      </c>
      <c r="B61" s="693"/>
      <c r="C61" s="693"/>
      <c r="D61" s="521"/>
      <c r="E61" s="521"/>
      <c r="F61" s="521"/>
      <c r="G61" s="521"/>
      <c r="H61" s="521"/>
      <c r="I61" s="521"/>
      <c r="J61" s="682"/>
      <c r="K61" s="683"/>
      <c r="L61" s="50"/>
      <c r="M61" s="50"/>
      <c r="N61" s="50"/>
      <c r="O61" s="50"/>
      <c r="P61" s="50"/>
    </row>
    <row r="62" spans="1:16">
      <c r="A62" s="22"/>
      <c r="B62" s="701" t="s">
        <v>595</v>
      </c>
      <c r="C62" s="701" t="s">
        <v>116</v>
      </c>
      <c r="E62" s="701" t="s">
        <v>595</v>
      </c>
      <c r="F62" s="701" t="s">
        <v>116</v>
      </c>
      <c r="G62" s="23" t="s">
        <v>612</v>
      </c>
      <c r="J62" s="648"/>
      <c r="K62" s="649"/>
      <c r="L62" s="50"/>
      <c r="M62" s="50"/>
      <c r="N62" s="50"/>
      <c r="O62" s="50"/>
      <c r="P62" s="50"/>
    </row>
    <row r="63" spans="1:16">
      <c r="A63" s="22" t="s">
        <v>1528</v>
      </c>
      <c r="B63" s="702">
        <v>1.5</v>
      </c>
      <c r="C63" s="703" t="s">
        <v>1529</v>
      </c>
      <c r="D63" s="703" t="s">
        <v>1477</v>
      </c>
      <c r="E63" s="498">
        <f>B63*B64</f>
        <v>1.5</v>
      </c>
      <c r="F63" t="s">
        <v>1530</v>
      </c>
      <c r="G63" s="591"/>
      <c r="J63" s="648"/>
      <c r="K63" s="649"/>
      <c r="L63" s="50"/>
      <c r="M63" s="50"/>
      <c r="N63" s="50"/>
      <c r="O63" s="50"/>
      <c r="P63" s="50"/>
    </row>
    <row r="64" spans="1:16">
      <c r="A64" s="22" t="s">
        <v>1531</v>
      </c>
      <c r="B64" s="704">
        <v>1</v>
      </c>
      <c r="C64" s="705"/>
      <c r="D64" s="23"/>
      <c r="E64" s="23"/>
      <c r="F64" s="23"/>
      <c r="G64" s="23"/>
      <c r="J64" s="648"/>
      <c r="K64" s="649"/>
      <c r="L64" s="50"/>
      <c r="M64" s="50"/>
      <c r="N64" s="50"/>
      <c r="O64" s="50"/>
      <c r="P64" s="50"/>
    </row>
    <row r="65" spans="1:17">
      <c r="A65" s="645" t="s">
        <v>1496</v>
      </c>
      <c r="B65" s="704"/>
      <c r="C65" s="705"/>
      <c r="D65" s="23"/>
      <c r="E65" s="23"/>
      <c r="F65" s="23"/>
      <c r="G65" s="23"/>
      <c r="J65" s="648"/>
      <c r="K65" s="649"/>
      <c r="L65" s="50"/>
      <c r="M65" s="50"/>
      <c r="N65" s="50"/>
      <c r="O65" s="50"/>
      <c r="P65" s="50"/>
    </row>
    <row r="66" spans="1:17">
      <c r="A66" s="665" t="s">
        <v>1532</v>
      </c>
      <c r="B66" s="591">
        <v>6.6</v>
      </c>
      <c r="C66" s="703" t="s">
        <v>1533</v>
      </c>
      <c r="D66" s="23"/>
      <c r="E66" s="600">
        <f>B66/$B$63</f>
        <v>4.3999999999999995</v>
      </c>
      <c r="F66" t="s">
        <v>1334</v>
      </c>
      <c r="G66" s="705" t="s">
        <v>1534</v>
      </c>
      <c r="J66" s="648"/>
      <c r="K66" s="649"/>
      <c r="L66" s="50"/>
      <c r="M66" s="50"/>
      <c r="N66" s="50"/>
      <c r="O66" s="50"/>
      <c r="P66" s="50"/>
    </row>
    <row r="67" spans="1:17">
      <c r="A67" s="665" t="s">
        <v>1535</v>
      </c>
      <c r="B67" s="591">
        <v>8</v>
      </c>
      <c r="C67" s="703" t="s">
        <v>1533</v>
      </c>
      <c r="D67" s="23"/>
      <c r="E67" s="600">
        <f>B67/$B$63</f>
        <v>5.333333333333333</v>
      </c>
      <c r="F67" t="s">
        <v>1334</v>
      </c>
      <c r="G67" s="705" t="s">
        <v>1534</v>
      </c>
      <c r="J67" s="648"/>
      <c r="K67" s="649"/>
      <c r="L67" s="50"/>
      <c r="M67" s="50"/>
      <c r="N67" s="50"/>
      <c r="O67" s="50"/>
      <c r="P67" s="50"/>
    </row>
    <row r="68" spans="1:17">
      <c r="A68" s="665" t="s">
        <v>1536</v>
      </c>
      <c r="B68" s="591">
        <v>1</v>
      </c>
      <c r="C68" s="703" t="s">
        <v>1533</v>
      </c>
      <c r="D68" s="23"/>
      <c r="E68" s="600">
        <f>B68/$B$63</f>
        <v>0.66666666666666663</v>
      </c>
      <c r="F68" t="s">
        <v>1334</v>
      </c>
      <c r="G68" s="705" t="s">
        <v>1534</v>
      </c>
      <c r="J68" s="648"/>
      <c r="K68" s="649"/>
      <c r="L68" s="50"/>
      <c r="M68" s="50"/>
      <c r="N68" s="50"/>
      <c r="O68" s="50"/>
      <c r="P68" s="50"/>
    </row>
    <row r="69" spans="1:17">
      <c r="A69" s="645" t="s">
        <v>1537</v>
      </c>
      <c r="B69" s="23"/>
      <c r="C69" s="23"/>
      <c r="D69" s="23" t="s">
        <v>1537</v>
      </c>
      <c r="J69" s="648"/>
      <c r="K69" s="649"/>
      <c r="L69" s="50"/>
      <c r="M69" s="50"/>
      <c r="N69" s="50"/>
      <c r="O69" s="50"/>
      <c r="P69" s="50"/>
    </row>
    <row r="70" spans="1:17">
      <c r="A70" s="665" t="s">
        <v>1538</v>
      </c>
      <c r="B70" s="591">
        <v>10</v>
      </c>
      <c r="C70" s="703" t="s">
        <v>1533</v>
      </c>
      <c r="D70" s="706" t="s">
        <v>1538</v>
      </c>
      <c r="E70" s="600">
        <f>B70/$B$63</f>
        <v>6.666666666666667</v>
      </c>
      <c r="F70" t="s">
        <v>1334</v>
      </c>
      <c r="G70" s="705" t="s">
        <v>1534</v>
      </c>
      <c r="J70" s="648"/>
      <c r="K70" s="649"/>
      <c r="L70" s="50"/>
      <c r="M70" s="50"/>
      <c r="N70" s="50"/>
      <c r="P70" s="50"/>
    </row>
    <row r="71" spans="1:17">
      <c r="A71" s="665" t="s">
        <v>1539</v>
      </c>
      <c r="B71" s="591">
        <v>10</v>
      </c>
      <c r="C71" s="703" t="s">
        <v>1533</v>
      </c>
      <c r="D71" s="706" t="s">
        <v>1539</v>
      </c>
      <c r="E71" s="600">
        <f t="shared" ref="E71:E75" si="0">B71/$B$63</f>
        <v>6.666666666666667</v>
      </c>
      <c r="F71" t="s">
        <v>1334</v>
      </c>
      <c r="G71" s="705" t="s">
        <v>1534</v>
      </c>
      <c r="J71" s="648"/>
      <c r="K71" s="649"/>
      <c r="L71" s="50"/>
      <c r="M71" s="50"/>
      <c r="N71" s="50"/>
      <c r="O71" s="50"/>
      <c r="P71" s="50"/>
      <c r="Q71" s="50"/>
    </row>
    <row r="72" spans="1:17">
      <c r="A72" s="665" t="s">
        <v>1540</v>
      </c>
      <c r="B72" s="591">
        <v>1</v>
      </c>
      <c r="C72" s="703" t="s">
        <v>1533</v>
      </c>
      <c r="D72" s="706" t="s">
        <v>1541</v>
      </c>
      <c r="E72" s="600">
        <f t="shared" si="0"/>
        <v>0.66666666666666663</v>
      </c>
      <c r="F72" t="s">
        <v>1334</v>
      </c>
      <c r="G72" s="705" t="s">
        <v>1534</v>
      </c>
      <c r="J72" s="648"/>
      <c r="K72" s="649"/>
      <c r="L72" s="50"/>
      <c r="M72" s="50"/>
      <c r="N72" s="50"/>
      <c r="O72" s="50"/>
      <c r="P72" s="50"/>
      <c r="Q72" s="50"/>
    </row>
    <row r="73" spans="1:17">
      <c r="A73" s="665" t="s">
        <v>1542</v>
      </c>
      <c r="B73" s="591">
        <v>1.3</v>
      </c>
      <c r="C73" s="703" t="s">
        <v>1533</v>
      </c>
      <c r="D73" s="706" t="s">
        <v>1542</v>
      </c>
      <c r="E73" s="600">
        <f t="shared" si="0"/>
        <v>0.8666666666666667</v>
      </c>
      <c r="F73" t="s">
        <v>1334</v>
      </c>
      <c r="G73" s="705" t="s">
        <v>1534</v>
      </c>
      <c r="K73" s="595"/>
    </row>
    <row r="74" spans="1:17">
      <c r="A74" s="665" t="s">
        <v>1543</v>
      </c>
      <c r="B74" s="600">
        <v>1.6</v>
      </c>
      <c r="C74" s="703" t="s">
        <v>1533</v>
      </c>
      <c r="D74" s="706" t="s">
        <v>1543</v>
      </c>
      <c r="E74" s="600">
        <f t="shared" si="0"/>
        <v>1.0666666666666667</v>
      </c>
      <c r="F74" t="s">
        <v>1334</v>
      </c>
      <c r="G74" s="705" t="s">
        <v>1534</v>
      </c>
      <c r="K74" s="595"/>
    </row>
    <row r="75" spans="1:17">
      <c r="A75" s="664" t="s">
        <v>1514</v>
      </c>
      <c r="B75" s="591">
        <v>550</v>
      </c>
      <c r="C75" s="703" t="s">
        <v>1533</v>
      </c>
      <c r="D75" s="99" t="s">
        <v>1514</v>
      </c>
      <c r="E75" s="591">
        <f t="shared" si="0"/>
        <v>366.66666666666669</v>
      </c>
      <c r="F75" t="s">
        <v>1334</v>
      </c>
      <c r="G75" s="705" t="s">
        <v>1534</v>
      </c>
      <c r="K75" s="595"/>
    </row>
    <row r="76" spans="1:17">
      <c r="A76" s="22"/>
      <c r="E76" s="648"/>
      <c r="F76" s="648"/>
      <c r="G76" s="648"/>
      <c r="K76" s="595"/>
    </row>
    <row r="77" spans="1:17">
      <c r="A77" s="664" t="s">
        <v>1544</v>
      </c>
      <c r="K77" s="595"/>
    </row>
    <row r="78" spans="1:17">
      <c r="A78" s="22"/>
      <c r="B78" s="23" t="s">
        <v>595</v>
      </c>
      <c r="C78" s="23" t="s">
        <v>116</v>
      </c>
      <c r="D78" s="23"/>
      <c r="E78" s="23"/>
      <c r="F78" s="23"/>
      <c r="G78" s="23"/>
      <c r="H78" s="23"/>
      <c r="I78" s="23"/>
      <c r="K78" s="595"/>
    </row>
    <row r="79" spans="1:17">
      <c r="A79" s="22" t="s">
        <v>1470</v>
      </c>
      <c r="B79">
        <v>6000</v>
      </c>
      <c r="C79" t="s">
        <v>1471</v>
      </c>
      <c r="D79" t="s">
        <v>1470</v>
      </c>
      <c r="E79" s="591">
        <f>B79*300</f>
        <v>1800000</v>
      </c>
      <c r="F79" t="s">
        <v>1545</v>
      </c>
      <c r="G79" s="591" t="s">
        <v>1301</v>
      </c>
      <c r="K79" s="595"/>
    </row>
    <row r="80" spans="1:17">
      <c r="A80" s="645" t="s">
        <v>1546</v>
      </c>
      <c r="B80" s="23" t="s">
        <v>1547</v>
      </c>
      <c r="C80" s="23" t="s">
        <v>1548</v>
      </c>
      <c r="D80" s="701" t="s">
        <v>116</v>
      </c>
      <c r="E80" s="701" t="s">
        <v>612</v>
      </c>
      <c r="F80" s="701" t="s">
        <v>505</v>
      </c>
      <c r="G80" s="671" t="s">
        <v>595</v>
      </c>
      <c r="H80" s="701" t="s">
        <v>116</v>
      </c>
      <c r="I80" s="701" t="s">
        <v>612</v>
      </c>
      <c r="K80" s="595"/>
    </row>
    <row r="81" spans="1:13">
      <c r="A81" s="22" t="s">
        <v>1549</v>
      </c>
      <c r="B81">
        <v>2.2999999999999998</v>
      </c>
      <c r="C81">
        <v>4.5</v>
      </c>
      <c r="D81" s="591" t="s">
        <v>1550</v>
      </c>
      <c r="E81" s="591" t="s">
        <v>1551</v>
      </c>
      <c r="F81" s="591" t="s">
        <v>1552</v>
      </c>
      <c r="G81" s="663">
        <f t="shared" ref="G81:G86" si="1">AVERAGE(B81:C81)*10^6/$E$79*$D$89*$D$90</f>
        <v>2.4375355555555553</v>
      </c>
      <c r="H81" t="s">
        <v>1334</v>
      </c>
      <c r="I81" s="591" t="s">
        <v>1553</v>
      </c>
      <c r="K81" s="595"/>
    </row>
    <row r="82" spans="1:13">
      <c r="A82" s="22" t="s">
        <v>1554</v>
      </c>
      <c r="B82">
        <f>5/2</f>
        <v>2.5</v>
      </c>
      <c r="C82">
        <f>8/2</f>
        <v>4</v>
      </c>
      <c r="D82" s="591" t="s">
        <v>1550</v>
      </c>
      <c r="E82" s="591" t="s">
        <v>1551</v>
      </c>
      <c r="F82" s="591" t="s">
        <v>1555</v>
      </c>
      <c r="G82" s="663">
        <f t="shared" si="1"/>
        <v>2.3299972222222221</v>
      </c>
      <c r="H82" t="s">
        <v>1334</v>
      </c>
      <c r="I82" s="591" t="s">
        <v>1553</v>
      </c>
      <c r="K82" s="595"/>
    </row>
    <row r="83" spans="1:13">
      <c r="A83" s="22" t="s">
        <v>1556</v>
      </c>
      <c r="B83">
        <v>1</v>
      </c>
      <c r="C83">
        <v>3</v>
      </c>
      <c r="D83" s="591" t="s">
        <v>1550</v>
      </c>
      <c r="E83" s="591" t="s">
        <v>1551</v>
      </c>
      <c r="F83" s="591" t="s">
        <v>1557</v>
      </c>
      <c r="G83" s="663">
        <f t="shared" si="1"/>
        <v>1.433844444444444</v>
      </c>
      <c r="H83" t="s">
        <v>1334</v>
      </c>
      <c r="I83" s="591" t="s">
        <v>1553</v>
      </c>
      <c r="K83" s="595"/>
    </row>
    <row r="84" spans="1:13">
      <c r="A84" s="22" t="s">
        <v>1558</v>
      </c>
      <c r="B84">
        <v>15</v>
      </c>
      <c r="C84">
        <v>20</v>
      </c>
      <c r="D84" s="591" t="s">
        <v>1550</v>
      </c>
      <c r="E84" s="591" t="s">
        <v>1551</v>
      </c>
      <c r="F84" s="591" t="s">
        <v>1559</v>
      </c>
      <c r="G84" s="663">
        <f t="shared" si="1"/>
        <v>12.546138888888885</v>
      </c>
      <c r="H84" t="s">
        <v>1334</v>
      </c>
      <c r="I84" s="591" t="s">
        <v>1553</v>
      </c>
      <c r="J84" s="707"/>
      <c r="K84" s="708"/>
      <c r="L84" s="707"/>
      <c r="M84" s="707"/>
    </row>
    <row r="85" spans="1:13">
      <c r="A85" s="22" t="s">
        <v>1499</v>
      </c>
      <c r="B85">
        <v>5.5</v>
      </c>
      <c r="C85">
        <v>11</v>
      </c>
      <c r="D85" s="591" t="s">
        <v>1550</v>
      </c>
      <c r="E85" s="591" t="s">
        <v>1551</v>
      </c>
      <c r="F85" s="591" t="s">
        <v>1560</v>
      </c>
      <c r="G85" s="663">
        <f t="shared" si="1"/>
        <v>5.9146083333333319</v>
      </c>
      <c r="H85" t="s">
        <v>1334</v>
      </c>
      <c r="I85" s="591" t="s">
        <v>1553</v>
      </c>
      <c r="J85" s="707"/>
      <c r="K85" s="708"/>
      <c r="L85" s="707"/>
      <c r="M85" s="707"/>
    </row>
    <row r="86" spans="1:13">
      <c r="A86" s="31" t="s">
        <v>1501</v>
      </c>
      <c r="B86" s="523">
        <v>0.25</v>
      </c>
      <c r="C86" s="523">
        <v>5</v>
      </c>
      <c r="D86" s="593" t="s">
        <v>1550</v>
      </c>
      <c r="E86" s="593" t="s">
        <v>1551</v>
      </c>
      <c r="F86" s="593" t="s">
        <v>1560</v>
      </c>
      <c r="G86" s="709">
        <f t="shared" si="1"/>
        <v>1.881920833333333</v>
      </c>
      <c r="H86" s="523" t="s">
        <v>1334</v>
      </c>
      <c r="I86" s="593" t="s">
        <v>1553</v>
      </c>
      <c r="J86" s="710"/>
      <c r="K86" s="711"/>
      <c r="L86" s="28"/>
      <c r="M86" s="28"/>
    </row>
    <row r="88" spans="1:13">
      <c r="A88" s="700" t="s">
        <v>1561</v>
      </c>
      <c r="B88" s="635"/>
      <c r="C88" s="521"/>
      <c r="D88" s="521"/>
      <c r="E88" s="521"/>
      <c r="F88" s="521"/>
      <c r="G88" s="682"/>
      <c r="H88" s="639"/>
    </row>
    <row r="89" spans="1:13">
      <c r="A89" s="22">
        <v>1</v>
      </c>
      <c r="B89" t="s">
        <v>1562</v>
      </c>
      <c r="C89" t="s">
        <v>695</v>
      </c>
      <c r="D89" s="712">
        <v>1.1419999999999999</v>
      </c>
      <c r="E89" t="s">
        <v>1563</v>
      </c>
      <c r="F89" s="713" t="s">
        <v>1564</v>
      </c>
      <c r="G89" s="648"/>
      <c r="H89" s="595"/>
    </row>
    <row r="90" spans="1:13">
      <c r="A90" s="31">
        <v>1</v>
      </c>
      <c r="B90" s="523" t="s">
        <v>1563</v>
      </c>
      <c r="C90" s="523" t="s">
        <v>695</v>
      </c>
      <c r="D90" s="714">
        <v>1.1299999999999999</v>
      </c>
      <c r="E90" s="523" t="s">
        <v>1565</v>
      </c>
      <c r="F90" s="715" t="s">
        <v>1566</v>
      </c>
      <c r="G90" s="690"/>
      <c r="H90" s="605"/>
    </row>
    <row r="92" spans="1:13">
      <c r="A92" s="644" t="s">
        <v>1476</v>
      </c>
      <c r="B92" s="521"/>
      <c r="C92" s="521"/>
      <c r="D92" s="521"/>
      <c r="E92" s="521"/>
      <c r="F92" s="521"/>
      <c r="G92" s="521"/>
      <c r="H92" s="639"/>
    </row>
    <row r="93" spans="1:13">
      <c r="A93" s="645"/>
      <c r="B93" s="23">
        <v>2030</v>
      </c>
      <c r="C93" s="23">
        <v>2060</v>
      </c>
      <c r="D93" s="23" t="s">
        <v>116</v>
      </c>
      <c r="E93" s="23" t="s">
        <v>612</v>
      </c>
      <c r="H93" s="595"/>
    </row>
    <row r="94" spans="1:13">
      <c r="A94" s="22" t="s">
        <v>1567</v>
      </c>
      <c r="B94" s="498">
        <f>H58</f>
        <v>0.73023330947368426</v>
      </c>
      <c r="C94" s="498">
        <f>I58</f>
        <v>9.0551999999999992</v>
      </c>
      <c r="D94" t="s">
        <v>1364</v>
      </c>
      <c r="E94" t="s">
        <v>1365</v>
      </c>
      <c r="H94" s="595"/>
    </row>
    <row r="95" spans="1:13">
      <c r="A95" s="22" t="s">
        <v>1368</v>
      </c>
      <c r="B95" s="498">
        <f>50</f>
        <v>50</v>
      </c>
      <c r="C95" s="498">
        <v>45</v>
      </c>
      <c r="D95" t="s">
        <v>1369</v>
      </c>
      <c r="E95" t="s">
        <v>1030</v>
      </c>
      <c r="F95" s="584"/>
      <c r="G95" s="584"/>
      <c r="H95" s="595"/>
    </row>
    <row r="96" spans="1:13" s="584" customFormat="1">
      <c r="A96" s="764" t="s">
        <v>1372</v>
      </c>
      <c r="B96" s="754">
        <f>8760</f>
        <v>8760</v>
      </c>
      <c r="C96" s="751">
        <f>B96</f>
        <v>8760</v>
      </c>
      <c r="D96" s="584" t="s">
        <v>1373</v>
      </c>
      <c r="E96" s="584" t="s">
        <v>1374</v>
      </c>
      <c r="H96" s="719"/>
    </row>
    <row r="97" spans="1:20">
      <c r="A97" s="716" t="s">
        <v>1375</v>
      </c>
      <c r="B97" s="717">
        <f>B96*30%</f>
        <v>2628</v>
      </c>
      <c r="C97" s="717">
        <f>B97</f>
        <v>2628</v>
      </c>
      <c r="D97" s="587" t="s">
        <v>1373</v>
      </c>
      <c r="E97" s="587" t="s">
        <v>1376</v>
      </c>
      <c r="F97" s="584"/>
      <c r="G97" s="584"/>
      <c r="H97" s="595"/>
    </row>
    <row r="98" spans="1:20" s="584" customFormat="1">
      <c r="A98" s="764" t="s">
        <v>1377</v>
      </c>
      <c r="B98" s="751">
        <f>B94/(B96/B95)*1000</f>
        <v>4.1679983417447728</v>
      </c>
      <c r="C98" s="751">
        <f>C94*C95/C96*1000</f>
        <v>46.516438356164386</v>
      </c>
      <c r="D98" s="584" t="s">
        <v>1230</v>
      </c>
      <c r="H98" s="719"/>
    </row>
    <row r="99" spans="1:20">
      <c r="A99" s="22" t="s">
        <v>1378</v>
      </c>
      <c r="B99" s="499">
        <f>B94/(B97/B95)*1000</f>
        <v>13.893327805815909</v>
      </c>
      <c r="C99" s="499">
        <f>C94/(C97/C95)*1000</f>
        <v>155.05479452054794</v>
      </c>
      <c r="D99" t="s">
        <v>1230</v>
      </c>
      <c r="F99" s="584"/>
      <c r="G99" s="584"/>
      <c r="H99" s="595"/>
    </row>
    <row r="100" spans="1:20">
      <c r="A100" s="22"/>
      <c r="H100" s="595"/>
    </row>
    <row r="101" spans="1:20">
      <c r="A101" s="22"/>
      <c r="H101" s="595"/>
      <c r="N101" s="584"/>
      <c r="O101" s="584"/>
      <c r="P101" s="584"/>
      <c r="Q101" s="584"/>
      <c r="R101" s="584"/>
      <c r="S101" s="584"/>
      <c r="T101" s="584"/>
    </row>
    <row r="102" spans="1:20">
      <c r="A102" s="645" t="s">
        <v>1379</v>
      </c>
      <c r="B102" s="23">
        <v>2022</v>
      </c>
      <c r="C102" s="23">
        <v>2030</v>
      </c>
      <c r="D102" s="23">
        <v>2060</v>
      </c>
      <c r="E102" s="23" t="s">
        <v>116</v>
      </c>
      <c r="F102" s="23" t="s">
        <v>612</v>
      </c>
      <c r="H102" s="595"/>
    </row>
    <row r="103" spans="1:20" s="584" customFormat="1">
      <c r="A103" s="764" t="s">
        <v>1380</v>
      </c>
      <c r="C103" s="751">
        <f>B98*'H2 Production Cost'!$C$22</f>
        <v>2029.8693222782986</v>
      </c>
      <c r="D103" s="754">
        <f>'H2 Production Cost'!$D$22*C98</f>
        <v>12585.616438356165</v>
      </c>
      <c r="E103" s="584" t="s">
        <v>1381</v>
      </c>
      <c r="F103" s="584" t="s">
        <v>1349</v>
      </c>
      <c r="H103" s="719"/>
    </row>
    <row r="104" spans="1:20">
      <c r="A104" s="22" t="s">
        <v>1382</v>
      </c>
      <c r="C104" s="499">
        <f>B99*'H2 Production Cost'!$C$22</f>
        <v>6766.2310742609952</v>
      </c>
      <c r="D104" s="591">
        <f>'H2 Production Cost'!$D$22*C99</f>
        <v>41952.054794520547</v>
      </c>
      <c r="E104" t="s">
        <v>1381</v>
      </c>
      <c r="F104" t="s">
        <v>1349</v>
      </c>
      <c r="H104" s="595"/>
    </row>
    <row r="105" spans="1:20">
      <c r="A105" s="22"/>
      <c r="C105" s="499"/>
      <c r="D105" s="591"/>
      <c r="H105" s="595"/>
    </row>
    <row r="106" spans="1:20">
      <c r="A106" s="645" t="s">
        <v>1383</v>
      </c>
      <c r="C106" s="23">
        <v>2030</v>
      </c>
      <c r="D106" s="23">
        <v>2060</v>
      </c>
      <c r="E106" s="23" t="s">
        <v>116</v>
      </c>
      <c r="F106" s="23" t="s">
        <v>612</v>
      </c>
      <c r="H106" s="595"/>
    </row>
    <row r="107" spans="1:20" s="584" customFormat="1">
      <c r="A107" s="764" t="s">
        <v>1384</v>
      </c>
      <c r="C107" s="751">
        <f>B98*'Power Sector CapEx Cost-China'!B$103</f>
        <v>2587.997523831742</v>
      </c>
      <c r="D107" s="751">
        <f>C98*'Power Sector CapEx Cost-China'!C$103</f>
        <v>27371.481818769225</v>
      </c>
      <c r="E107" s="584" t="s">
        <v>1381</v>
      </c>
      <c r="F107" s="584" t="s">
        <v>1349</v>
      </c>
      <c r="H107" s="719"/>
    </row>
    <row r="108" spans="1:20">
      <c r="A108" s="31" t="s">
        <v>1385</v>
      </c>
      <c r="B108" s="523"/>
      <c r="C108" s="631">
        <f>B99*'Power Sector CapEx Cost-China'!B$103</f>
        <v>8626.6584127724727</v>
      </c>
      <c r="D108" s="631">
        <f>C99*'Power Sector CapEx Cost-China'!C$103</f>
        <v>91238.272729230739</v>
      </c>
      <c r="E108" s="523" t="s">
        <v>1381</v>
      </c>
      <c r="F108" s="523" t="s">
        <v>1349</v>
      </c>
      <c r="G108" s="523"/>
      <c r="H108" s="605"/>
    </row>
    <row r="109" spans="1:20">
      <c r="A109" s="22"/>
      <c r="H109" s="595"/>
    </row>
    <row r="110" spans="1:20">
      <c r="A110" s="721" t="s">
        <v>1512</v>
      </c>
      <c r="H110" s="595"/>
    </row>
    <row r="111" spans="1:20">
      <c r="A111" s="645"/>
      <c r="B111" s="23">
        <v>2030</v>
      </c>
      <c r="C111" s="23">
        <v>2060</v>
      </c>
      <c r="D111" s="23" t="s">
        <v>116</v>
      </c>
      <c r="E111" s="23" t="s">
        <v>612</v>
      </c>
      <c r="H111" s="595"/>
    </row>
    <row r="112" spans="1:20">
      <c r="A112" s="22" t="s">
        <v>1567</v>
      </c>
      <c r="B112" s="498">
        <f>H59</f>
        <v>0.73023330947368426</v>
      </c>
      <c r="C112" s="498">
        <f>I59</f>
        <v>4.3120000000000003</v>
      </c>
      <c r="D112" t="s">
        <v>1364</v>
      </c>
      <c r="E112" t="s">
        <v>1365</v>
      </c>
      <c r="H112" s="595"/>
    </row>
    <row r="113" spans="1:9">
      <c r="A113" s="22" t="s">
        <v>1368</v>
      </c>
      <c r="B113" s="498">
        <f>50</f>
        <v>50</v>
      </c>
      <c r="C113" s="498">
        <v>45</v>
      </c>
      <c r="D113" t="s">
        <v>1369</v>
      </c>
      <c r="E113" t="s">
        <v>1030</v>
      </c>
      <c r="H113" s="595"/>
    </row>
    <row r="114" spans="1:9" s="584" customFormat="1">
      <c r="A114" s="764" t="s">
        <v>1372</v>
      </c>
      <c r="B114" s="754">
        <f>8760</f>
        <v>8760</v>
      </c>
      <c r="C114" s="751">
        <f>B114</f>
        <v>8760</v>
      </c>
      <c r="D114" s="584" t="s">
        <v>1373</v>
      </c>
      <c r="E114" s="584" t="s">
        <v>1374</v>
      </c>
      <c r="H114" s="719"/>
    </row>
    <row r="115" spans="1:9">
      <c r="A115" s="716" t="s">
        <v>1375</v>
      </c>
      <c r="B115" s="717">
        <f>B114*30%</f>
        <v>2628</v>
      </c>
      <c r="C115" s="717">
        <f>B115</f>
        <v>2628</v>
      </c>
      <c r="D115" s="587" t="s">
        <v>1373</v>
      </c>
      <c r="E115" s="587" t="s">
        <v>1376</v>
      </c>
      <c r="H115" s="595"/>
    </row>
    <row r="116" spans="1:9" s="584" customFormat="1">
      <c r="A116" s="764" t="s">
        <v>1377</v>
      </c>
      <c r="B116" s="751">
        <f>B112/(B114/B113)*1000</f>
        <v>4.1679983417447728</v>
      </c>
      <c r="C116" s="751">
        <f>C112*C113/C114*1000</f>
        <v>22.150684931506852</v>
      </c>
      <c r="D116" s="584" t="s">
        <v>1230</v>
      </c>
      <c r="H116" s="719"/>
    </row>
    <row r="117" spans="1:9">
      <c r="A117" s="22" t="s">
        <v>1378</v>
      </c>
      <c r="B117" s="499">
        <f>B112/(B115/B113)*1000</f>
        <v>13.893327805815909</v>
      </c>
      <c r="C117" s="499">
        <f>C112/(C115/C113)*1000</f>
        <v>73.835616438356183</v>
      </c>
      <c r="D117" t="s">
        <v>1230</v>
      </c>
      <c r="H117" s="595"/>
    </row>
    <row r="118" spans="1:9">
      <c r="A118" s="22"/>
      <c r="H118" s="595"/>
    </row>
    <row r="119" spans="1:9">
      <c r="A119" s="645" t="s">
        <v>1379</v>
      </c>
      <c r="B119" s="23">
        <v>2022</v>
      </c>
      <c r="C119" s="23">
        <v>2030</v>
      </c>
      <c r="D119" s="23">
        <v>2060</v>
      </c>
      <c r="E119" s="23" t="s">
        <v>116</v>
      </c>
      <c r="F119" s="23" t="s">
        <v>612</v>
      </c>
      <c r="G119" s="591"/>
      <c r="H119" s="595"/>
    </row>
    <row r="120" spans="1:9" s="584" customFormat="1">
      <c r="A120" s="764" t="s">
        <v>1380</v>
      </c>
      <c r="C120" s="751">
        <f>B116*'H2 Production Cost'!$C$22</f>
        <v>2029.8693222782986</v>
      </c>
      <c r="D120" s="754">
        <f>'H2 Production Cost'!$D$22*C116</f>
        <v>5993.1506849315074</v>
      </c>
      <c r="E120" s="584" t="s">
        <v>1381</v>
      </c>
      <c r="F120" s="584" t="s">
        <v>1349</v>
      </c>
      <c r="H120" s="719"/>
    </row>
    <row r="121" spans="1:9">
      <c r="A121" s="22" t="s">
        <v>1382</v>
      </c>
      <c r="C121" s="499">
        <f>B117*'H2 Production Cost'!$C$22</f>
        <v>6766.2310742609952</v>
      </c>
      <c r="D121" s="591">
        <f>'H2 Production Cost'!$D$22*C117</f>
        <v>19977.168949771694</v>
      </c>
      <c r="E121" t="s">
        <v>1381</v>
      </c>
      <c r="F121" t="s">
        <v>1349</v>
      </c>
      <c r="G121" s="23"/>
      <c r="H121" s="718"/>
      <c r="I121" s="23"/>
    </row>
    <row r="122" spans="1:9">
      <c r="A122" s="22"/>
      <c r="C122" s="499"/>
      <c r="D122" s="591"/>
      <c r="G122" s="23"/>
      <c r="H122" s="718"/>
      <c r="I122" s="23"/>
    </row>
    <row r="123" spans="1:9">
      <c r="A123" s="645" t="s">
        <v>1383</v>
      </c>
      <c r="C123" s="23">
        <v>2030</v>
      </c>
      <c r="D123" s="23">
        <v>2060</v>
      </c>
      <c r="E123" s="23" t="s">
        <v>116</v>
      </c>
      <c r="F123" s="23" t="s">
        <v>612</v>
      </c>
      <c r="G123" s="23"/>
      <c r="H123" s="718"/>
      <c r="I123" s="23"/>
    </row>
    <row r="124" spans="1:9" s="584" customFormat="1">
      <c r="A124" s="764" t="s">
        <v>1384</v>
      </c>
      <c r="C124" s="751">
        <f>B116*'Power Sector CapEx Cost-China'!B$103</f>
        <v>2587.997523831742</v>
      </c>
      <c r="D124" s="751">
        <f>C116*'Power Sector CapEx Cost-China'!C$103</f>
        <v>13034.03896131868</v>
      </c>
      <c r="E124" s="584" t="s">
        <v>1381</v>
      </c>
      <c r="F124" s="584" t="s">
        <v>1349</v>
      </c>
      <c r="G124" s="765"/>
      <c r="H124" s="766"/>
      <c r="I124" s="765"/>
    </row>
    <row r="125" spans="1:9">
      <c r="A125" s="31" t="s">
        <v>1385</v>
      </c>
      <c r="B125" s="523"/>
      <c r="C125" s="631">
        <f>B117*'Power Sector CapEx Cost-China'!B$103</f>
        <v>8626.6584127724727</v>
      </c>
      <c r="D125" s="631">
        <f>C117*'Power Sector CapEx Cost-China'!C$103</f>
        <v>43446.796537728937</v>
      </c>
      <c r="E125" s="523" t="s">
        <v>1381</v>
      </c>
      <c r="F125" s="523" t="s">
        <v>1349</v>
      </c>
      <c r="G125" s="722"/>
      <c r="H125" s="723"/>
      <c r="I125" s="23"/>
    </row>
    <row r="126" spans="1:9">
      <c r="C126" s="499"/>
      <c r="D126" s="591"/>
      <c r="G126" s="23"/>
      <c r="H126" s="23"/>
      <c r="I126" s="23"/>
    </row>
    <row r="127" spans="1:9" ht="15.75">
      <c r="A127" s="575" t="s">
        <v>1389</v>
      </c>
      <c r="C127" s="499"/>
      <c r="D127" s="591"/>
      <c r="F127" s="1006" t="s">
        <v>1476</v>
      </c>
      <c r="G127" s="23"/>
      <c r="H127" s="23"/>
      <c r="I127" s="23"/>
    </row>
    <row r="128" spans="1:9">
      <c r="A128" s="644" t="s">
        <v>1476</v>
      </c>
      <c r="B128" s="521"/>
      <c r="C128" s="521"/>
      <c r="D128" s="639"/>
      <c r="G128" s="23">
        <v>2022</v>
      </c>
      <c r="H128" s="23">
        <v>2030</v>
      </c>
      <c r="I128" s="23">
        <v>2060</v>
      </c>
    </row>
    <row r="129" spans="1:18">
      <c r="A129" s="645"/>
      <c r="B129" s="23">
        <v>2030</v>
      </c>
      <c r="C129" s="23">
        <v>2060</v>
      </c>
      <c r="D129" s="718" t="s">
        <v>116</v>
      </c>
      <c r="F129" t="s">
        <v>1568</v>
      </c>
      <c r="G129" s="576">
        <v>2.4595580999999997</v>
      </c>
      <c r="H129" s="576">
        <v>2.3848035215583523</v>
      </c>
      <c r="I129" s="576">
        <v>3.8974479799526183</v>
      </c>
      <c r="J129" t="s">
        <v>1569</v>
      </c>
    </row>
    <row r="130" spans="1:18">
      <c r="A130" s="645" t="s">
        <v>1494</v>
      </c>
      <c r="B130" s="674">
        <f>G20/1000</f>
        <v>2.8951659238349907</v>
      </c>
      <c r="C130" s="674">
        <f>L20/1000</f>
        <v>11.580663695339963</v>
      </c>
      <c r="D130" s="595" t="s">
        <v>1416</v>
      </c>
      <c r="E130" s="23"/>
      <c r="F130" s="1208" t="s">
        <v>1477</v>
      </c>
      <c r="G130" s="1245">
        <f>B13</f>
        <v>2129.27</v>
      </c>
      <c r="H130" s="1245">
        <f>B14</f>
        <v>1975.7394736842105</v>
      </c>
      <c r="I130" s="1245">
        <f>B15</f>
        <v>1400</v>
      </c>
      <c r="J130" t="s">
        <v>1570</v>
      </c>
    </row>
    <row r="131" spans="1:18">
      <c r="A131" s="664" t="s">
        <v>1496</v>
      </c>
      <c r="B131" s="674">
        <f t="shared" ref="B131:B139" si="2">G21/1000</f>
        <v>0</v>
      </c>
      <c r="C131" s="674">
        <f t="shared" ref="C131:C140" si="3">L21/1000</f>
        <v>0</v>
      </c>
      <c r="D131" s="595" t="s">
        <v>1416</v>
      </c>
      <c r="E131" s="577"/>
      <c r="F131" s="703" t="s">
        <v>1423</v>
      </c>
      <c r="G131" s="577">
        <f>G130*G129</f>
        <v>5237.0632755869992</v>
      </c>
      <c r="H131" s="577">
        <f t="shared" ref="H131:I131" si="4">H130*H129</f>
        <v>4711.7504545239508</v>
      </c>
      <c r="I131" s="577">
        <f t="shared" si="4"/>
        <v>5456.4271719336657</v>
      </c>
      <c r="J131" t="s">
        <v>701</v>
      </c>
    </row>
    <row r="132" spans="1:18">
      <c r="A132" s="665" t="s">
        <v>1498</v>
      </c>
      <c r="B132" s="674">
        <f t="shared" si="2"/>
        <v>1.2644210526315787</v>
      </c>
      <c r="C132" s="674">
        <f t="shared" si="3"/>
        <v>5.0576842105263147</v>
      </c>
      <c r="D132" s="595" t="s">
        <v>1416</v>
      </c>
      <c r="E132" s="577"/>
      <c r="F132" s="650" t="s">
        <v>1424</v>
      </c>
      <c r="G132" s="23"/>
      <c r="H132" s="1246">
        <f>B145*1000/H131</f>
        <v>7.3997477706932386</v>
      </c>
      <c r="I132" s="1246">
        <f>C145*1000/I131</f>
        <v>82.961376862689164</v>
      </c>
      <c r="J132" s="23" t="s">
        <v>1425</v>
      </c>
      <c r="O132" s="498">
        <f>D31*B14*0.7</f>
        <v>27.660352631578945</v>
      </c>
    </row>
    <row r="133" spans="1:18">
      <c r="A133" s="665" t="s">
        <v>1500</v>
      </c>
      <c r="B133" s="674">
        <f t="shared" si="2"/>
        <v>1.2644210526315787</v>
      </c>
      <c r="C133" s="674">
        <f t="shared" si="3"/>
        <v>5.0576842105263147</v>
      </c>
      <c r="D133" s="595" t="s">
        <v>1416</v>
      </c>
      <c r="E133" s="577"/>
    </row>
    <row r="134" spans="1:18">
      <c r="A134" s="645" t="s">
        <v>1502</v>
      </c>
      <c r="B134" s="674">
        <f t="shared" si="2"/>
        <v>0</v>
      </c>
      <c r="C134" s="674">
        <f t="shared" si="3"/>
        <v>0</v>
      </c>
      <c r="D134" s="595" t="s">
        <v>1416</v>
      </c>
      <c r="F134" s="1247" t="s">
        <v>1571</v>
      </c>
      <c r="G134" s="1227" t="s">
        <v>1390</v>
      </c>
      <c r="H134" s="1227" t="s">
        <v>1390</v>
      </c>
      <c r="I134" s="23" t="s">
        <v>1569</v>
      </c>
      <c r="J134" s="23" t="s">
        <v>1569</v>
      </c>
      <c r="K134" s="1227" t="s">
        <v>1391</v>
      </c>
      <c r="L134" s="1227" t="s">
        <v>1391</v>
      </c>
    </row>
    <row r="135" spans="1:18">
      <c r="A135" s="665" t="s">
        <v>1504</v>
      </c>
      <c r="B135" s="674">
        <f t="shared" si="2"/>
        <v>1.2399002103601111</v>
      </c>
      <c r="C135" s="674">
        <f t="shared" si="3"/>
        <v>3.4748475242105261</v>
      </c>
      <c r="D135" s="595" t="s">
        <v>1416</v>
      </c>
      <c r="G135" s="23">
        <v>2030</v>
      </c>
      <c r="H135" s="23">
        <v>2060</v>
      </c>
      <c r="I135" s="23" t="s">
        <v>1394</v>
      </c>
      <c r="J135" s="23" t="s">
        <v>1395</v>
      </c>
      <c r="K135" s="23">
        <v>2030</v>
      </c>
      <c r="L135" s="23">
        <v>2060</v>
      </c>
      <c r="M135" s="23" t="s">
        <v>505</v>
      </c>
    </row>
    <row r="136" spans="1:18">
      <c r="A136" s="665" t="s">
        <v>1506</v>
      </c>
      <c r="B136" s="674">
        <f t="shared" si="2"/>
        <v>0.14298114612188367</v>
      </c>
      <c r="C136" s="674">
        <f t="shared" si="3"/>
        <v>0.40526315789473683</v>
      </c>
      <c r="D136" s="595" t="s">
        <v>1416</v>
      </c>
      <c r="F136" s="703" t="s">
        <v>1494</v>
      </c>
      <c r="G136" s="577">
        <f>E20</f>
        <v>250.4388453947368</v>
      </c>
      <c r="H136" s="577">
        <f>I20</f>
        <v>751.31653618421046</v>
      </c>
      <c r="I136" s="498">
        <f>$H$129</f>
        <v>2.3848035215583523</v>
      </c>
      <c r="J136" s="498">
        <f>$I$129</f>
        <v>3.8974479799526183</v>
      </c>
      <c r="K136" s="941">
        <f>B130/(G136*I136)*1000</f>
        <v>4.8475149960275115</v>
      </c>
      <c r="L136" s="941">
        <f>C130/(H136*J136)*1000</f>
        <v>3.9548514456285728</v>
      </c>
      <c r="N136" s="498"/>
      <c r="O136" s="23">
        <v>2030</v>
      </c>
      <c r="P136" s="23">
        <v>2060</v>
      </c>
      <c r="Q136" s="23" t="s">
        <v>116</v>
      </c>
      <c r="R136" s="23" t="s">
        <v>505</v>
      </c>
    </row>
    <row r="137" spans="1:18">
      <c r="A137" s="665" t="s">
        <v>1572</v>
      </c>
      <c r="B137" s="674">
        <f t="shared" si="2"/>
        <v>8.3645190587082183E-2</v>
      </c>
      <c r="C137" s="674">
        <f>L27/1000</f>
        <v>3.8980065264843664</v>
      </c>
      <c r="D137" s="595" t="s">
        <v>1416</v>
      </c>
      <c r="F137" s="703" t="s">
        <v>1496</v>
      </c>
      <c r="G137" s="577">
        <f>E22</f>
        <v>121.57894736842104</v>
      </c>
      <c r="H137" s="577">
        <f>I22</f>
        <v>364.73684210526312</v>
      </c>
      <c r="I137" s="498">
        <f t="shared" ref="I137:I142" si="5">$H$129</f>
        <v>2.3848035215583523</v>
      </c>
      <c r="J137" s="498">
        <f t="shared" ref="J137:J142" si="6">$I$129</f>
        <v>3.8974479799526183</v>
      </c>
      <c r="K137" s="941">
        <f>(B132+B133)/(G137*I137)*1000</f>
        <v>8.7218925215307532</v>
      </c>
      <c r="L137" s="941">
        <f>(C132+C133)/(H137*J137)*1000</f>
        <v>7.1157674139554485</v>
      </c>
      <c r="N137" t="s">
        <v>1412</v>
      </c>
      <c r="O137" s="576">
        <f>B14*D31*0.75*90%</f>
        <v>26.672482894736845</v>
      </c>
      <c r="P137" s="498">
        <f>B15*H31*0.75*90%</f>
        <v>472.5</v>
      </c>
      <c r="Q137" t="s">
        <v>1413</v>
      </c>
    </row>
    <row r="138" spans="1:18">
      <c r="A138" s="665" t="s">
        <v>1508</v>
      </c>
      <c r="B138" s="674">
        <f t="shared" si="2"/>
        <v>0</v>
      </c>
      <c r="C138" s="674">
        <f t="shared" si="3"/>
        <v>0</v>
      </c>
      <c r="D138" s="595" t="s">
        <v>1416</v>
      </c>
      <c r="F138" s="703" t="s">
        <v>1573</v>
      </c>
      <c r="G138" s="499">
        <f>E25</f>
        <v>197.31398164819947</v>
      </c>
      <c r="H138" s="499">
        <f>I25</f>
        <v>486.31578947368416</v>
      </c>
      <c r="I138" s="498">
        <f t="shared" si="5"/>
        <v>2.3848035215583523</v>
      </c>
      <c r="J138" s="498">
        <f t="shared" si="6"/>
        <v>3.8974479799526183</v>
      </c>
      <c r="K138" s="941">
        <f t="shared" ref="K138:L140" si="7">B135/(G138*I138)*1000</f>
        <v>2.6349736036702898</v>
      </c>
      <c r="L138" s="941">
        <f t="shared" si="7"/>
        <v>1.8333148447005323</v>
      </c>
      <c r="N138" t="s">
        <v>1415</v>
      </c>
      <c r="O138" s="499">
        <f>B143</f>
        <v>12.582340858725763</v>
      </c>
      <c r="P138" s="499">
        <f>C143</f>
        <v>290.00823408587257</v>
      </c>
      <c r="Q138" t="s">
        <v>1416</v>
      </c>
    </row>
    <row r="139" spans="1:18" s="584" customFormat="1">
      <c r="A139" s="752" t="s">
        <v>1509</v>
      </c>
      <c r="B139" s="1016">
        <f t="shared" si="2"/>
        <v>2.0298693222782984</v>
      </c>
      <c r="C139" s="1016">
        <f t="shared" si="3"/>
        <v>12.585616438356164</v>
      </c>
      <c r="D139" s="719" t="s">
        <v>1416</v>
      </c>
      <c r="E139"/>
      <c r="F139" s="703" t="s">
        <v>1574</v>
      </c>
      <c r="G139" s="499">
        <f t="shared" ref="G139:G140" si="8">E26</f>
        <v>21.44717191828255</v>
      </c>
      <c r="H139" s="499">
        <f>I26</f>
        <v>60.78947368421052</v>
      </c>
      <c r="I139" s="498">
        <f t="shared" si="5"/>
        <v>2.3848035215583523</v>
      </c>
      <c r="J139" s="498">
        <f t="shared" si="6"/>
        <v>3.8974479799526183</v>
      </c>
      <c r="K139" s="941">
        <f t="shared" si="7"/>
        <v>2.7954783722854986</v>
      </c>
      <c r="L139" s="941">
        <f t="shared" si="7"/>
        <v>1.7105210129700601</v>
      </c>
      <c r="M139"/>
      <c r="N139" t="s">
        <v>1418</v>
      </c>
      <c r="O139" s="499">
        <f>O138/O137*1000</f>
        <v>471.73489278752436</v>
      </c>
      <c r="P139" s="499">
        <f>P138/P137*1000</f>
        <v>613.77404039338114</v>
      </c>
      <c r="Q139" t="s">
        <v>1419</v>
      </c>
      <c r="R139" t="s">
        <v>1420</v>
      </c>
    </row>
    <row r="140" spans="1:18">
      <c r="A140" s="665" t="s">
        <v>1510</v>
      </c>
      <c r="B140" s="674">
        <f>G30/1000</f>
        <v>6.766231074260995</v>
      </c>
      <c r="C140" s="674">
        <f t="shared" si="3"/>
        <v>41.952054794520549</v>
      </c>
      <c r="D140" s="595" t="s">
        <v>1416</v>
      </c>
      <c r="E140" s="577"/>
      <c r="F140" s="703" t="s">
        <v>1575</v>
      </c>
      <c r="G140" s="499">
        <f t="shared" si="8"/>
        <v>34.315475069252081</v>
      </c>
      <c r="H140" s="499">
        <f>I27</f>
        <v>425.52631578947364</v>
      </c>
      <c r="I140" s="498">
        <f t="shared" si="5"/>
        <v>2.3848035215583523</v>
      </c>
      <c r="J140" s="498">
        <f t="shared" si="6"/>
        <v>3.8974479799526183</v>
      </c>
      <c r="K140" s="941">
        <f t="shared" si="7"/>
        <v>1.0221116890848707</v>
      </c>
      <c r="L140" s="941">
        <f t="shared" si="7"/>
        <v>2.3503677063575683</v>
      </c>
      <c r="M140" s="584"/>
    </row>
    <row r="141" spans="1:18" s="584" customFormat="1">
      <c r="A141" s="752" t="s">
        <v>1576</v>
      </c>
      <c r="B141" s="1016">
        <f>C107/1000</f>
        <v>2.5879975238317421</v>
      </c>
      <c r="C141" s="1016">
        <f>D107/1000</f>
        <v>27.371481818769226</v>
      </c>
      <c r="D141" s="719" t="s">
        <v>1416</v>
      </c>
      <c r="E141" s="750"/>
      <c r="F141" s="703" t="s">
        <v>1577</v>
      </c>
      <c r="G141" s="577"/>
      <c r="H141" s="577"/>
      <c r="I141" s="498">
        <f t="shared" si="5"/>
        <v>2.3848035215583523</v>
      </c>
      <c r="J141" s="498">
        <f t="shared" si="6"/>
        <v>3.8974479799526183</v>
      </c>
      <c r="K141" s="941">
        <f>(B137+B140+B142)/(G140*I141)*1000</f>
        <v>189.11723303510885</v>
      </c>
      <c r="L141" s="941">
        <f>(C137+C140+C142)/(H140*J141)*1000</f>
        <v>82.659685426600262</v>
      </c>
      <c r="M141"/>
    </row>
    <row r="142" spans="1:18">
      <c r="A142" s="665" t="s">
        <v>1578</v>
      </c>
      <c r="B142" s="674">
        <f>C108/1000</f>
        <v>8.626658412772473</v>
      </c>
      <c r="C142" s="674">
        <f>D108/1000</f>
        <v>91.238272729230744</v>
      </c>
      <c r="D142" s="595" t="s">
        <v>1416</v>
      </c>
      <c r="E142" s="577"/>
      <c r="F142" s="703" t="s">
        <v>1514</v>
      </c>
      <c r="G142" s="582">
        <f>E31</f>
        <v>34.315475069252081</v>
      </c>
      <c r="H142" s="582">
        <f>I31</f>
        <v>875</v>
      </c>
      <c r="I142" s="498">
        <f t="shared" si="5"/>
        <v>2.3848035215583523</v>
      </c>
      <c r="J142" s="498">
        <f t="shared" si="6"/>
        <v>3.8974479799526183</v>
      </c>
      <c r="K142" s="941">
        <f>B143/(G142*I142)*1000</f>
        <v>153.75131047570238</v>
      </c>
      <c r="L142" s="941">
        <f>C143/(H142*J142)*1000</f>
        <v>85.039744857981432</v>
      </c>
      <c r="M142" s="584"/>
    </row>
    <row r="143" spans="1:18">
      <c r="A143" s="645" t="s">
        <v>1514</v>
      </c>
      <c r="B143" s="591">
        <f>G31/1000</f>
        <v>12.582340858725763</v>
      </c>
      <c r="C143" s="591">
        <f>L31/1000</f>
        <v>290.00823408587257</v>
      </c>
      <c r="D143" s="595" t="s">
        <v>1416</v>
      </c>
      <c r="E143" s="577"/>
      <c r="F143" s="591"/>
      <c r="G143" s="577"/>
    </row>
    <row r="144" spans="1:18" s="584" customFormat="1">
      <c r="A144" s="767" t="s">
        <v>1579</v>
      </c>
      <c r="B144" s="754">
        <f>SUM(B130:B139)+B143+B141</f>
        <v>24.090742281003028</v>
      </c>
      <c r="C144" s="754">
        <f>SUM(C130:C139)+C143+C141</f>
        <v>359.43948166798015</v>
      </c>
      <c r="D144" s="719" t="s">
        <v>1416</v>
      </c>
      <c r="E144" s="750"/>
      <c r="F144" s="754"/>
      <c r="G144" s="750"/>
    </row>
    <row r="145" spans="1:18">
      <c r="A145" s="664" t="s">
        <v>1580</v>
      </c>
      <c r="B145" s="499">
        <f>SUM(B130:B138)+B140+B143+B142</f>
        <v>34.865764921926456</v>
      </c>
      <c r="C145" s="499">
        <f>SUM(C130:C138)+C140+C143+C142</f>
        <v>452.67271093460607</v>
      </c>
      <c r="D145" s="595" t="s">
        <v>1416</v>
      </c>
      <c r="E145" s="577"/>
      <c r="F145" s="591"/>
      <c r="G145" s="577"/>
    </row>
    <row r="146" spans="1:18">
      <c r="A146" s="645" t="s">
        <v>1581</v>
      </c>
      <c r="B146" s="498">
        <f>B145-B142</f>
        <v>26.239106509153984</v>
      </c>
      <c r="C146" s="498">
        <f t="shared" ref="C146" si="9">C145-C142</f>
        <v>361.43443820537533</v>
      </c>
      <c r="D146" s="595" t="s">
        <v>1416</v>
      </c>
    </row>
    <row r="147" spans="1:18">
      <c r="A147" s="644" t="s">
        <v>1512</v>
      </c>
      <c r="B147" s="521"/>
      <c r="C147" s="521"/>
      <c r="D147" s="639"/>
      <c r="F147" s="1006" t="s">
        <v>1512</v>
      </c>
    </row>
    <row r="148" spans="1:18">
      <c r="A148" s="645" t="s">
        <v>1582</v>
      </c>
      <c r="B148" s="23">
        <v>2030</v>
      </c>
      <c r="C148" s="23">
        <v>2060</v>
      </c>
      <c r="D148" s="718" t="s">
        <v>116</v>
      </c>
      <c r="G148" s="23">
        <v>2022</v>
      </c>
      <c r="H148" s="23">
        <v>2030</v>
      </c>
      <c r="I148" s="23">
        <v>2060</v>
      </c>
    </row>
    <row r="149" spans="1:18">
      <c r="A149" s="645" t="s">
        <v>1494</v>
      </c>
      <c r="B149" s="674">
        <f>G43/1000</f>
        <v>2.3681042799205181</v>
      </c>
      <c r="C149" s="663">
        <f>L43/1000</f>
        <v>8.7619858357059162</v>
      </c>
      <c r="D149" s="595" t="s">
        <v>1416</v>
      </c>
      <c r="E149" s="498"/>
      <c r="F149" t="s">
        <v>1568</v>
      </c>
      <c r="G149" s="576">
        <v>2.4595580999999997</v>
      </c>
      <c r="H149" s="576">
        <v>2.299268494024409</v>
      </c>
      <c r="I149" s="576">
        <v>2.4346233436537243</v>
      </c>
      <c r="J149" t="s">
        <v>1569</v>
      </c>
    </row>
    <row r="150" spans="1:18">
      <c r="A150" s="664" t="s">
        <v>1496</v>
      </c>
      <c r="B150" s="674">
        <f t="shared" ref="B150:B159" si="10">G44/1000</f>
        <v>0</v>
      </c>
      <c r="C150" s="674">
        <f t="shared" ref="C150:C159" si="11">L44/1000</f>
        <v>0</v>
      </c>
      <c r="D150" s="595" t="s">
        <v>1416</v>
      </c>
      <c r="F150" s="1208" t="s">
        <v>1477</v>
      </c>
      <c r="G150" s="499">
        <f>B36</f>
        <v>2129.27</v>
      </c>
      <c r="H150" s="499">
        <f>B37</f>
        <v>1975.7394736842105</v>
      </c>
      <c r="I150" s="499">
        <f>B38</f>
        <v>1400</v>
      </c>
      <c r="J150" t="s">
        <v>1570</v>
      </c>
    </row>
    <row r="151" spans="1:18">
      <c r="A151" s="665" t="s">
        <v>1498</v>
      </c>
      <c r="B151" s="674">
        <f t="shared" si="10"/>
        <v>1.5805263157894736</v>
      </c>
      <c r="C151" s="674">
        <f t="shared" si="11"/>
        <v>6.3221052631578942</v>
      </c>
      <c r="D151" s="595" t="s">
        <v>1416</v>
      </c>
      <c r="E151" s="498"/>
      <c r="F151" s="703" t="s">
        <v>1423</v>
      </c>
      <c r="G151" s="577">
        <f>G150*G149</f>
        <v>5237.0632755869992</v>
      </c>
      <c r="H151" s="577">
        <f t="shared" ref="H151:I151" si="12">H150*H149</f>
        <v>4542.7555242424733</v>
      </c>
      <c r="I151" s="577">
        <f t="shared" si="12"/>
        <v>3408.4726811152141</v>
      </c>
      <c r="J151" t="s">
        <v>701</v>
      </c>
    </row>
    <row r="152" spans="1:18">
      <c r="A152" s="665" t="s">
        <v>1500</v>
      </c>
      <c r="B152" s="674">
        <f t="shared" si="10"/>
        <v>1.5805263157894736</v>
      </c>
      <c r="C152" s="674">
        <f t="shared" si="11"/>
        <v>6.3221052631578942</v>
      </c>
      <c r="D152" s="595" t="s">
        <v>1416</v>
      </c>
      <c r="E152" s="498"/>
      <c r="F152" s="578" t="s">
        <v>1424</v>
      </c>
      <c r="H152" s="1246">
        <f>B164*1000/H151</f>
        <v>7.875688506134443</v>
      </c>
      <c r="I152" s="1246">
        <f>C164*1000/I151</f>
        <v>59.584687060725365</v>
      </c>
      <c r="J152" s="23" t="s">
        <v>1425</v>
      </c>
    </row>
    <row r="153" spans="1:18">
      <c r="A153" s="645" t="s">
        <v>1502</v>
      </c>
      <c r="B153" s="674">
        <f t="shared" si="10"/>
        <v>0</v>
      </c>
      <c r="C153" s="674">
        <f t="shared" si="11"/>
        <v>0</v>
      </c>
      <c r="D153" s="595" t="s">
        <v>1416</v>
      </c>
      <c r="E153" s="498"/>
    </row>
    <row r="154" spans="1:18">
      <c r="A154" s="665" t="s">
        <v>1504</v>
      </c>
      <c r="B154" s="674">
        <f t="shared" si="10"/>
        <v>1.9033327283656511</v>
      </c>
      <c r="C154" s="674">
        <f t="shared" si="11"/>
        <v>4.4150580505263157</v>
      </c>
      <c r="D154" s="595" t="s">
        <v>1416</v>
      </c>
      <c r="E154" s="498"/>
      <c r="F154" s="1248" t="s">
        <v>1583</v>
      </c>
      <c r="G154" s="1227" t="s">
        <v>1390</v>
      </c>
      <c r="H154" s="1227" t="s">
        <v>1390</v>
      </c>
      <c r="I154" s="23" t="s">
        <v>1569</v>
      </c>
      <c r="J154" s="23" t="s">
        <v>1569</v>
      </c>
      <c r="K154" s="1227" t="s">
        <v>1391</v>
      </c>
      <c r="L154" s="1227" t="s">
        <v>1391</v>
      </c>
    </row>
    <row r="155" spans="1:18">
      <c r="A155" s="665" t="s">
        <v>1506</v>
      </c>
      <c r="B155" s="674">
        <f t="shared" si="10"/>
        <v>0.28596229224376735</v>
      </c>
      <c r="C155" s="674">
        <f t="shared" si="11"/>
        <v>0.67543859649122817</v>
      </c>
      <c r="D155" s="595" t="s">
        <v>1416</v>
      </c>
      <c r="E155" s="498"/>
      <c r="G155" s="23">
        <v>2030</v>
      </c>
      <c r="H155" s="23">
        <v>2060</v>
      </c>
      <c r="I155" s="23" t="s">
        <v>1394</v>
      </c>
      <c r="J155" s="23" t="s">
        <v>1395</v>
      </c>
      <c r="K155" s="23">
        <v>2030</v>
      </c>
      <c r="L155" s="23">
        <v>2060</v>
      </c>
      <c r="M155" s="23" t="s">
        <v>505</v>
      </c>
    </row>
    <row r="156" spans="1:18">
      <c r="A156" s="665" t="s">
        <v>1572</v>
      </c>
      <c r="B156" s="674">
        <f t="shared" si="10"/>
        <v>8.3645190587082183E-2</v>
      </c>
      <c r="C156" s="674">
        <f t="shared" si="11"/>
        <v>1.724751141689046</v>
      </c>
      <c r="D156" s="595" t="s">
        <v>1416</v>
      </c>
      <c r="E156" s="498"/>
      <c r="F156" s="829" t="s">
        <v>1494</v>
      </c>
      <c r="G156" s="577">
        <f>E43</f>
        <v>204.846740131579</v>
      </c>
      <c r="H156" s="577">
        <f>I43</f>
        <v>614.54022039473693</v>
      </c>
      <c r="I156" s="498">
        <f>$H$149</f>
        <v>2.299268494024409</v>
      </c>
      <c r="J156" s="498">
        <f>$I$149</f>
        <v>2.4346233436537243</v>
      </c>
      <c r="K156" s="941">
        <f>B149/(G156*I156)*1000</f>
        <v>5.0278472755042261</v>
      </c>
      <c r="L156" s="941">
        <f>C149/(H156*J156)*1000</f>
        <v>5.8562613932088876</v>
      </c>
      <c r="N156" s="498"/>
      <c r="O156" s="23">
        <v>2030</v>
      </c>
      <c r="P156" s="23">
        <v>2060</v>
      </c>
      <c r="Q156" s="23" t="s">
        <v>116</v>
      </c>
      <c r="R156" s="23" t="s">
        <v>505</v>
      </c>
    </row>
    <row r="157" spans="1:18">
      <c r="A157" s="665" t="s">
        <v>1508</v>
      </c>
      <c r="B157" s="674">
        <f t="shared" si="10"/>
        <v>0</v>
      </c>
      <c r="C157" s="674">
        <f t="shared" si="11"/>
        <v>0</v>
      </c>
      <c r="D157" s="595" t="s">
        <v>1416</v>
      </c>
      <c r="F157" s="829" t="s">
        <v>1496</v>
      </c>
      <c r="G157" s="577">
        <f>E45</f>
        <v>151.97368421052633</v>
      </c>
      <c r="H157" s="577">
        <f>I45</f>
        <v>455.92105263157896</v>
      </c>
      <c r="I157" s="498">
        <f t="shared" ref="I157:I162" si="13">$H$149</f>
        <v>2.299268494024409</v>
      </c>
      <c r="J157" s="498">
        <f t="shared" ref="J157:J162" si="14">$I$149</f>
        <v>2.4346233436537243</v>
      </c>
      <c r="K157" s="941">
        <f>(B151+B152)/(G157*I157)*1000</f>
        <v>9.0463554187156987</v>
      </c>
      <c r="L157" s="941">
        <f>(C151+C152)/(H157*J157)*1000</f>
        <v>11.391221317919735</v>
      </c>
      <c r="N157" t="s">
        <v>1412</v>
      </c>
      <c r="O157" s="576">
        <f>B37*D54*0.75*90%</f>
        <v>26.672482894736845</v>
      </c>
      <c r="P157" s="498">
        <f>B38*H54*0.75*90%</f>
        <v>283.5</v>
      </c>
      <c r="Q157" t="s">
        <v>1413</v>
      </c>
    </row>
    <row r="158" spans="1:18" s="584" customFormat="1">
      <c r="A158" s="752" t="s">
        <v>1509</v>
      </c>
      <c r="B158" s="1016">
        <f t="shared" si="10"/>
        <v>2.0298693222782984</v>
      </c>
      <c r="C158" s="1016">
        <f t="shared" si="11"/>
        <v>5.993150684931507</v>
      </c>
      <c r="D158" s="719" t="s">
        <v>1416</v>
      </c>
      <c r="F158" s="829" t="s">
        <v>1573</v>
      </c>
      <c r="G158" s="499">
        <f>E48</f>
        <v>283.10266932132964</v>
      </c>
      <c r="H158" s="499">
        <f>I48</f>
        <v>607.89473684210532</v>
      </c>
      <c r="I158" s="498">
        <f t="shared" si="13"/>
        <v>2.299268494024409</v>
      </c>
      <c r="J158" s="498">
        <f t="shared" si="14"/>
        <v>2.4346233436537243</v>
      </c>
      <c r="K158" s="941">
        <f>B154/(G158*I158)*1000</f>
        <v>2.9240248745857418</v>
      </c>
      <c r="L158" s="941">
        <f>C154/(H158*J158)*1000</f>
        <v>2.9831579805043762</v>
      </c>
      <c r="M158"/>
      <c r="N158" t="s">
        <v>1415</v>
      </c>
      <c r="O158" s="499">
        <f>B162</f>
        <v>12.582340858725763</v>
      </c>
      <c r="P158" s="499">
        <f>C162</f>
        <v>111.44736842105264</v>
      </c>
      <c r="Q158" t="s">
        <v>1416</v>
      </c>
    </row>
    <row r="159" spans="1:18">
      <c r="A159" s="665" t="s">
        <v>1510</v>
      </c>
      <c r="B159" s="674">
        <f t="shared" si="10"/>
        <v>6.766231074260995</v>
      </c>
      <c r="C159" s="674">
        <f t="shared" si="11"/>
        <v>19.977168949771695</v>
      </c>
      <c r="D159" s="595" t="s">
        <v>1416</v>
      </c>
      <c r="E159" s="498"/>
      <c r="F159" s="829" t="s">
        <v>1574</v>
      </c>
      <c r="G159" s="499">
        <f t="shared" ref="G159:G160" si="15">E49</f>
        <v>42.894343836565099</v>
      </c>
      <c r="H159" s="499">
        <f>I49</f>
        <v>101.31578947368422</v>
      </c>
      <c r="I159" s="498">
        <f t="shared" si="13"/>
        <v>2.299268494024409</v>
      </c>
      <c r="J159" s="498">
        <f t="shared" si="14"/>
        <v>2.4346233436537243</v>
      </c>
      <c r="K159" s="941">
        <f t="shared" ref="K159:L159" si="16">B155/(G159*I159)*1000</f>
        <v>2.8994728906140068</v>
      </c>
      <c r="L159" s="941">
        <f t="shared" si="16"/>
        <v>2.7382743552691675</v>
      </c>
      <c r="N159" t="s">
        <v>1418</v>
      </c>
      <c r="O159" s="499">
        <f>O158/O157*1000</f>
        <v>471.73489278752436</v>
      </c>
      <c r="P159" s="499">
        <f>P158/P157*1000</f>
        <v>393.11241065627036</v>
      </c>
      <c r="Q159" t="s">
        <v>1419</v>
      </c>
      <c r="R159" t="s">
        <v>1420</v>
      </c>
    </row>
    <row r="160" spans="1:18" s="584" customFormat="1">
      <c r="A160" s="752" t="s">
        <v>1576</v>
      </c>
      <c r="B160" s="1016">
        <f>C124/1000</f>
        <v>2.5879975238317421</v>
      </c>
      <c r="C160" s="1016">
        <f>D124/1000</f>
        <v>13.03403896131868</v>
      </c>
      <c r="D160" s="719" t="s">
        <v>1416</v>
      </c>
      <c r="F160" s="829" t="s">
        <v>1575</v>
      </c>
      <c r="G160" s="499">
        <f t="shared" si="15"/>
        <v>34.315475069252081</v>
      </c>
      <c r="H160" s="499">
        <f>I50</f>
        <v>202.63157894736844</v>
      </c>
      <c r="I160" s="498">
        <f t="shared" si="13"/>
        <v>2.299268494024409</v>
      </c>
      <c r="J160" s="498">
        <f t="shared" si="14"/>
        <v>2.4346233436537243</v>
      </c>
      <c r="K160" s="941">
        <f>B156/(G160*I160)*1000</f>
        <v>1.0601352394861625</v>
      </c>
      <c r="L160" s="941">
        <f>C156/(H160*J160)*1000</f>
        <v>3.496129659337337</v>
      </c>
    </row>
    <row r="161" spans="1:17">
      <c r="A161" s="665" t="s">
        <v>1578</v>
      </c>
      <c r="B161" s="674">
        <f>C125/1000</f>
        <v>8.626658412772473</v>
      </c>
      <c r="C161" s="674">
        <f>D125/1000</f>
        <v>43.446796537728936</v>
      </c>
      <c r="D161" s="595" t="s">
        <v>1416</v>
      </c>
      <c r="E161" s="498"/>
      <c r="F161" s="829" t="s">
        <v>1577</v>
      </c>
      <c r="G161" s="577">
        <f>G160</f>
        <v>34.315475069252081</v>
      </c>
      <c r="H161" s="577">
        <f>H160</f>
        <v>202.63157894736844</v>
      </c>
      <c r="I161" s="498">
        <f t="shared" si="13"/>
        <v>2.299268494024409</v>
      </c>
      <c r="J161" s="498">
        <f t="shared" si="14"/>
        <v>2.4346233436537243</v>
      </c>
      <c r="K161" s="941"/>
      <c r="L161" s="941"/>
    </row>
    <row r="162" spans="1:17">
      <c r="A162" s="645" t="s">
        <v>1514</v>
      </c>
      <c r="B162" s="674">
        <f>G54/1000</f>
        <v>12.582340858725763</v>
      </c>
      <c r="C162" s="674">
        <f>L54/1000</f>
        <v>111.44736842105264</v>
      </c>
      <c r="D162" s="595" t="s">
        <v>1416</v>
      </c>
      <c r="E162" s="498"/>
      <c r="F162" s="829" t="s">
        <v>1514</v>
      </c>
      <c r="G162" s="582">
        <f>E54</f>
        <v>34.315475069252081</v>
      </c>
      <c r="H162" s="582">
        <f>I54</f>
        <v>303.94736842105266</v>
      </c>
      <c r="I162" s="498">
        <f t="shared" si="13"/>
        <v>2.299268494024409</v>
      </c>
      <c r="J162" s="498">
        <f t="shared" si="14"/>
        <v>2.4346233436537243</v>
      </c>
      <c r="K162" s="941">
        <f>B162/(G162*I162)*1000</f>
        <v>159.47100898377033</v>
      </c>
      <c r="L162" s="941">
        <f>C162/(H162*J162)*1000</f>
        <v>150.6050895398042</v>
      </c>
      <c r="M162" s="584"/>
    </row>
    <row r="163" spans="1:17" s="584" customFormat="1">
      <c r="A163" s="767" t="s">
        <v>1579</v>
      </c>
      <c r="B163" s="754">
        <f>SUM(B149:B158)+B162+B160</f>
        <v>25.00230482753177</v>
      </c>
      <c r="C163" s="754">
        <f>SUM(C149:C158)+C162+C160</f>
        <v>158.69600221803114</v>
      </c>
      <c r="D163" s="719" t="s">
        <v>1416</v>
      </c>
    </row>
    <row r="164" spans="1:17">
      <c r="A164" s="664" t="s">
        <v>1580</v>
      </c>
      <c r="B164" s="499">
        <f>SUM(B149:B157)+B159+B162+B161</f>
        <v>35.777327468455198</v>
      </c>
      <c r="C164" s="499">
        <f>SUM(C149:C157)+C159+C162+C161</f>
        <v>203.09277805928159</v>
      </c>
      <c r="D164" s="595" t="s">
        <v>1416</v>
      </c>
    </row>
    <row r="165" spans="1:17">
      <c r="A165" s="672" t="s">
        <v>1581</v>
      </c>
      <c r="B165" s="689">
        <f>B164-B161</f>
        <v>27.150669055682727</v>
      </c>
      <c r="C165" s="689">
        <f t="shared" ref="C165" si="17">C164-C161</f>
        <v>159.64598152155264</v>
      </c>
      <c r="D165" s="605" t="s">
        <v>1416</v>
      </c>
      <c r="E165" s="498"/>
    </row>
    <row r="166" spans="1:17">
      <c r="E166" s="498"/>
      <c r="F166" s="983" t="s">
        <v>1476</v>
      </c>
      <c r="G166" s="968"/>
      <c r="H166" s="968"/>
      <c r="I166" s="968"/>
      <c r="J166" s="968"/>
      <c r="K166" s="968"/>
      <c r="L166" s="968"/>
      <c r="M166" s="968"/>
      <c r="N166" s="968"/>
      <c r="O166" s="968"/>
      <c r="P166" s="968"/>
      <c r="Q166" s="969"/>
    </row>
    <row r="167" spans="1:17" ht="45">
      <c r="D167" s="498"/>
      <c r="E167" s="498"/>
      <c r="F167" s="22"/>
      <c r="G167" s="100" t="s">
        <v>1584</v>
      </c>
      <c r="H167" s="100" t="s">
        <v>1584</v>
      </c>
      <c r="I167" s="100" t="s">
        <v>1585</v>
      </c>
      <c r="J167" s="100" t="s">
        <v>1585</v>
      </c>
      <c r="K167" s="100" t="s">
        <v>1586</v>
      </c>
      <c r="L167" s="100" t="s">
        <v>1586</v>
      </c>
      <c r="N167" s="100" t="s">
        <v>1587</v>
      </c>
      <c r="O167" s="100" t="s">
        <v>1587</v>
      </c>
      <c r="P167" s="100" t="s">
        <v>1588</v>
      </c>
      <c r="Q167" s="1249" t="s">
        <v>1588</v>
      </c>
    </row>
    <row r="168" spans="1:17">
      <c r="F168" s="22"/>
      <c r="G168">
        <v>2030</v>
      </c>
      <c r="H168">
        <v>2060</v>
      </c>
      <c r="I168">
        <v>2030</v>
      </c>
      <c r="J168">
        <v>2060</v>
      </c>
      <c r="K168">
        <v>2030</v>
      </c>
      <c r="L168">
        <v>2060</v>
      </c>
      <c r="N168">
        <v>2030</v>
      </c>
      <c r="O168">
        <v>2060</v>
      </c>
      <c r="P168">
        <v>2030</v>
      </c>
      <c r="Q168" s="595">
        <v>2060</v>
      </c>
    </row>
    <row r="169" spans="1:17">
      <c r="F169" s="986" t="s">
        <v>1494</v>
      </c>
      <c r="G169" s="600">
        <v>6.72</v>
      </c>
      <c r="H169" s="1005">
        <f>4.61*2</f>
        <v>9.2200000000000006</v>
      </c>
      <c r="I169" s="745">
        <f>B130*$G$180*1000</f>
        <v>233.31100936978558</v>
      </c>
      <c r="J169" s="745">
        <f>C130*$G$180*1000</f>
        <v>933.24403747914232</v>
      </c>
      <c r="K169">
        <v>-0.09</v>
      </c>
      <c r="L169">
        <v>-0.27</v>
      </c>
      <c r="N169" s="745" t="e">
        <f>K169*H211</f>
        <v>#REF!</v>
      </c>
      <c r="O169" s="745" t="e">
        <f>L169*I211</f>
        <v>#REF!</v>
      </c>
      <c r="P169" s="745" t="e">
        <f t="shared" ref="P169:Q172" si="18">(I169+N169)/G169</f>
        <v>#REF!</v>
      </c>
      <c r="Q169" s="746" t="e">
        <f t="shared" si="18"/>
        <v>#REF!</v>
      </c>
    </row>
    <row r="170" spans="1:17">
      <c r="F170" s="986" t="s">
        <v>1496</v>
      </c>
      <c r="G170" s="600">
        <v>23</v>
      </c>
      <c r="H170" s="600">
        <v>53.8</v>
      </c>
      <c r="I170" s="745">
        <f>(B133+B132)*$G$180*1000</f>
        <v>203.79029031062473</v>
      </c>
      <c r="J170" s="745">
        <f>(C133+C132)*$G$180*1000</f>
        <v>815.16116124249891</v>
      </c>
      <c r="K170">
        <v>-0.03</v>
      </c>
      <c r="L170">
        <v>-0.34</v>
      </c>
      <c r="N170" s="745" t="e">
        <f>K170*H211</f>
        <v>#REF!</v>
      </c>
      <c r="O170" s="745" t="e">
        <f>L170*I211</f>
        <v>#REF!</v>
      </c>
      <c r="P170" s="745" t="e">
        <f t="shared" si="18"/>
        <v>#REF!</v>
      </c>
      <c r="Q170" s="746" t="e">
        <f t="shared" si="18"/>
        <v>#REF!</v>
      </c>
    </row>
    <row r="171" spans="1:17">
      <c r="F171" s="986" t="s">
        <v>1573</v>
      </c>
      <c r="G171" s="600">
        <f>14*30%</f>
        <v>4.2</v>
      </c>
      <c r="H171" s="600">
        <f>60*30%</f>
        <v>18</v>
      </c>
      <c r="I171" s="745">
        <f t="shared" ref="I171:J173" si="19">B135*$G$180*1000</f>
        <v>99.919098665591562</v>
      </c>
      <c r="J171" s="745">
        <f t="shared" si="19"/>
        <v>280.02546472561517</v>
      </c>
      <c r="K171" s="600">
        <v>0</v>
      </c>
      <c r="L171" s="600">
        <v>0</v>
      </c>
      <c r="N171" s="745">
        <f>$G$129*(H185-G185)*H203*G138</f>
        <v>161.86623504251853</v>
      </c>
      <c r="O171" s="745">
        <f>$G$129*(I185-H185)*I203*H138</f>
        <v>1302.4800691125979</v>
      </c>
      <c r="P171" s="745">
        <f t="shared" si="18"/>
        <v>62.329841359073832</v>
      </c>
      <c r="Q171" s="746">
        <f t="shared" si="18"/>
        <v>87.91697410212295</v>
      </c>
    </row>
    <row r="172" spans="1:17">
      <c r="F172" s="986" t="s">
        <v>1574</v>
      </c>
      <c r="G172" s="600">
        <f>14*5%</f>
        <v>0.70000000000000007</v>
      </c>
      <c r="H172" s="600">
        <f>60*5%</f>
        <v>3</v>
      </c>
      <c r="I172" s="745">
        <f t="shared" si="19"/>
        <v>11.522336335859269</v>
      </c>
      <c r="J172" s="745">
        <f t="shared" si="19"/>
        <v>32.658700370292429</v>
      </c>
      <c r="K172" s="600">
        <v>0</v>
      </c>
      <c r="L172" s="600">
        <v>0</v>
      </c>
      <c r="N172" s="745">
        <f>$G$129*(H186-G186)*H204*G139</f>
        <v>1.7594155982882447</v>
      </c>
      <c r="O172" s="745">
        <f>$G$129*(I186-H186)*I204*H139</f>
        <v>23.258572662724958</v>
      </c>
      <c r="P172" s="745">
        <f t="shared" si="18"/>
        <v>18.973931334496445</v>
      </c>
      <c r="Q172" s="746">
        <f t="shared" si="18"/>
        <v>18.639091011005796</v>
      </c>
    </row>
    <row r="173" spans="1:17">
      <c r="F173" s="986" t="s">
        <v>1575</v>
      </c>
      <c r="G173" s="987">
        <f>14*65%</f>
        <v>9.1</v>
      </c>
      <c r="H173" s="987">
        <f>60*65%</f>
        <v>39</v>
      </c>
      <c r="I173" s="988">
        <f t="shared" si="19"/>
        <v>6.7406650804144048</v>
      </c>
      <c r="J173" s="988">
        <f t="shared" si="19"/>
        <v>314.12632683221409</v>
      </c>
      <c r="K173" s="600">
        <v>0</v>
      </c>
      <c r="L173" s="600">
        <v>0</v>
      </c>
      <c r="N173" s="988">
        <f>$G$129*(H188-G188)*H208*G140</f>
        <v>22.74685653907536</v>
      </c>
      <c r="O173" s="988">
        <f>$G$129*(I188-H188)*I208*H140</f>
        <v>10181.440183107848</v>
      </c>
      <c r="P173" s="988">
        <f t="shared" ref="P173:Q175" si="20">(I173+N173)/G173</f>
        <v>3.2403869911527217</v>
      </c>
      <c r="Q173" s="989">
        <f t="shared" si="20"/>
        <v>269.11708999846314</v>
      </c>
    </row>
    <row r="174" spans="1:17">
      <c r="F174" s="986" t="s">
        <v>1577</v>
      </c>
      <c r="G174" s="600">
        <f>G173</f>
        <v>9.1</v>
      </c>
      <c r="H174" s="600">
        <f>H173</f>
        <v>39</v>
      </c>
      <c r="I174" s="745">
        <f>(B137+B140+B142)*$G$180*1000</f>
        <v>1247.1982684844347</v>
      </c>
      <c r="J174" s="745">
        <f>(C137+C140+C142)*$G$180*1000</f>
        <v>11047.455804438296</v>
      </c>
      <c r="K174" s="600">
        <v>0</v>
      </c>
      <c r="L174" s="600">
        <v>0</v>
      </c>
      <c r="N174" s="745" t="e">
        <f>$G$129*(H188-G188)*H206*G140</f>
        <v>#REF!</v>
      </c>
      <c r="O174" s="745" t="e">
        <f>$G$129*(I188-H188)*I206*H140</f>
        <v>#REF!</v>
      </c>
      <c r="P174" s="745" t="e">
        <f>(I174+N174)/G174</f>
        <v>#REF!</v>
      </c>
      <c r="Q174" s="746" t="e">
        <f t="shared" si="20"/>
        <v>#REF!</v>
      </c>
    </row>
    <row r="175" spans="1:17">
      <c r="F175" s="990" t="s">
        <v>1514</v>
      </c>
      <c r="G175" s="643">
        <v>10</v>
      </c>
      <c r="H175" s="643">
        <v>167.34</v>
      </c>
      <c r="I175" s="747">
        <f>B143*$G$180*1000</f>
        <v>1013.9655975556157</v>
      </c>
      <c r="J175" s="747">
        <f>C143*$G$180*1000</f>
        <v>23370.720573588918</v>
      </c>
      <c r="K175" s="523"/>
      <c r="L175" s="523"/>
      <c r="M175" s="523"/>
      <c r="N175" s="747" t="e">
        <f>I142*G142*G210*50%</f>
        <v>#REF!</v>
      </c>
      <c r="O175" s="747" t="e">
        <f>J142*H142*H210*50%</f>
        <v>#REF!</v>
      </c>
      <c r="P175" s="747" t="e">
        <f>(I175+N175)/G175</f>
        <v>#REF!</v>
      </c>
      <c r="Q175" s="748" t="e">
        <f t="shared" si="20"/>
        <v>#REF!</v>
      </c>
    </row>
    <row r="176" spans="1:17">
      <c r="I176" s="498"/>
      <c r="J176" s="498"/>
    </row>
    <row r="178" spans="5:17">
      <c r="F178" s="601" t="s">
        <v>25</v>
      </c>
      <c r="G178" s="982" t="str">
        <f>'Cement Cost Model-Indonesia'!G126</f>
        <v>7%</v>
      </c>
      <c r="H178" s="639"/>
    </row>
    <row r="179" spans="5:17">
      <c r="F179" s="22" t="s">
        <v>1287</v>
      </c>
      <c r="G179">
        <f>Calculations!B577</f>
        <v>30</v>
      </c>
      <c r="H179" s="595" t="s">
        <v>1134</v>
      </c>
    </row>
    <row r="180" spans="5:17">
      <c r="F180" s="31" t="s">
        <v>1589</v>
      </c>
      <c r="G180" s="690">
        <f>(G178/(1-(1+G178)^(-G179)))</f>
        <v>8.0586403511111196E-2</v>
      </c>
      <c r="H180" s="605"/>
    </row>
    <row r="181" spans="5:17">
      <c r="F181" s="595" t="s">
        <v>1590</v>
      </c>
      <c r="G181" s="595">
        <f>I183-G183</f>
        <v>37</v>
      </c>
      <c r="H181" t="s">
        <v>1591</v>
      </c>
    </row>
    <row r="182" spans="5:17">
      <c r="E182" s="984" t="s">
        <v>1476</v>
      </c>
      <c r="F182" s="521"/>
      <c r="G182" s="521"/>
      <c r="H182" s="521"/>
      <c r="I182" s="521"/>
      <c r="J182" s="521"/>
      <c r="K182" s="639"/>
      <c r="L182" s="983" t="s">
        <v>1512</v>
      </c>
      <c r="M182" s="968"/>
      <c r="N182" s="968"/>
      <c r="O182" s="968"/>
      <c r="P182" s="968"/>
      <c r="Q182" s="969"/>
    </row>
    <row r="183" spans="5:17">
      <c r="E183" s="601"/>
      <c r="F183" s="521"/>
      <c r="G183" s="693">
        <v>2023</v>
      </c>
      <c r="H183" s="693">
        <v>2030</v>
      </c>
      <c r="I183" s="693">
        <v>2060</v>
      </c>
      <c r="J183" s="521"/>
      <c r="K183" s="727"/>
      <c r="L183" s="22"/>
      <c r="N183" s="23">
        <v>2023</v>
      </c>
      <c r="O183" s="23">
        <v>2030</v>
      </c>
      <c r="P183" s="23">
        <v>2060</v>
      </c>
      <c r="Q183" s="595"/>
    </row>
    <row r="184" spans="5:17">
      <c r="E184" s="22" t="s">
        <v>1592</v>
      </c>
      <c r="F184" t="s">
        <v>40</v>
      </c>
      <c r="G184" s="648">
        <v>0.97</v>
      </c>
      <c r="H184" s="648">
        <v>0.84</v>
      </c>
      <c r="I184" s="46">
        <v>0</v>
      </c>
      <c r="K184" s="649"/>
      <c r="L184" s="22" t="s">
        <v>1592</v>
      </c>
      <c r="M184" t="s">
        <v>40</v>
      </c>
      <c r="N184" s="46">
        <f>G184</f>
        <v>0.97</v>
      </c>
      <c r="O184" s="46">
        <v>0.78</v>
      </c>
      <c r="P184" s="46">
        <v>0</v>
      </c>
      <c r="Q184" s="595"/>
    </row>
    <row r="185" spans="5:17">
      <c r="E185" s="22"/>
      <c r="F185" t="s">
        <v>1593</v>
      </c>
      <c r="G185" s="648">
        <v>0.02</v>
      </c>
      <c r="H185" s="648">
        <v>0.12</v>
      </c>
      <c r="I185" s="46">
        <v>0.4</v>
      </c>
      <c r="K185" s="595"/>
      <c r="L185" s="22"/>
      <c r="M185" t="s">
        <v>1593</v>
      </c>
      <c r="N185" s="46">
        <f t="shared" ref="N185:N190" si="21">G185</f>
        <v>0.02</v>
      </c>
      <c r="O185" s="46">
        <v>0.16</v>
      </c>
      <c r="P185" s="46">
        <v>0.6</v>
      </c>
      <c r="Q185" s="595"/>
    </row>
    <row r="186" spans="5:17">
      <c r="E186" s="22"/>
      <c r="F186" t="s">
        <v>1242</v>
      </c>
      <c r="G186" s="648">
        <v>0</v>
      </c>
      <c r="H186" s="648">
        <v>0.01</v>
      </c>
      <c r="I186" s="46">
        <v>0.05</v>
      </c>
      <c r="K186" s="595"/>
      <c r="L186" s="22"/>
      <c r="M186" t="s">
        <v>1242</v>
      </c>
      <c r="N186" s="46">
        <f t="shared" si="21"/>
        <v>0</v>
      </c>
      <c r="O186" s="46">
        <v>0.03</v>
      </c>
      <c r="P186" s="46">
        <v>0.1</v>
      </c>
      <c r="Q186" s="595"/>
    </row>
    <row r="187" spans="5:17">
      <c r="E187" s="22"/>
      <c r="F187" t="s">
        <v>1594</v>
      </c>
      <c r="G187" s="648">
        <v>0.01</v>
      </c>
      <c r="H187" s="648">
        <v>0.01</v>
      </c>
      <c r="I187" s="46">
        <v>0</v>
      </c>
      <c r="K187" s="595"/>
      <c r="L187" s="22"/>
      <c r="M187" t="s">
        <v>1594</v>
      </c>
      <c r="N187" s="46">
        <f t="shared" si="21"/>
        <v>0.01</v>
      </c>
      <c r="O187" s="46">
        <v>0</v>
      </c>
      <c r="P187" s="46">
        <v>0</v>
      </c>
      <c r="Q187" s="595"/>
    </row>
    <row r="188" spans="5:17">
      <c r="E188" s="22"/>
      <c r="F188" t="s">
        <v>1595</v>
      </c>
      <c r="G188" s="648">
        <v>0</v>
      </c>
      <c r="H188" s="648">
        <v>0.01</v>
      </c>
      <c r="I188" s="46">
        <v>0.35</v>
      </c>
      <c r="K188" s="595"/>
      <c r="L188" s="22"/>
      <c r="M188" t="s">
        <v>1595</v>
      </c>
      <c r="N188" s="46">
        <f t="shared" si="21"/>
        <v>0</v>
      </c>
      <c r="O188" s="46">
        <v>0.02</v>
      </c>
      <c r="P188" s="46">
        <v>0.2</v>
      </c>
      <c r="Q188" s="595"/>
    </row>
    <row r="189" spans="5:17">
      <c r="E189" s="22"/>
      <c r="F189" t="s">
        <v>1596</v>
      </c>
      <c r="G189" s="648">
        <v>0</v>
      </c>
      <c r="H189" s="46">
        <v>0.01</v>
      </c>
      <c r="I189" s="46">
        <v>0.2</v>
      </c>
      <c r="K189" s="595"/>
      <c r="L189" s="22"/>
      <c r="M189" t="s">
        <v>1596</v>
      </c>
      <c r="N189" s="46">
        <f t="shared" si="21"/>
        <v>0</v>
      </c>
      <c r="O189" s="46">
        <v>0.01</v>
      </c>
      <c r="P189" s="46">
        <v>0.1</v>
      </c>
      <c r="Q189" s="595"/>
    </row>
    <row r="190" spans="5:17">
      <c r="E190" s="22"/>
      <c r="F190" t="s">
        <v>141</v>
      </c>
      <c r="G190" s="46">
        <v>1</v>
      </c>
      <c r="H190" s="648">
        <v>1</v>
      </c>
      <c r="I190" s="46">
        <v>1</v>
      </c>
      <c r="K190" s="595"/>
      <c r="L190" s="22"/>
      <c r="M190" t="s">
        <v>141</v>
      </c>
      <c r="N190" s="46">
        <f t="shared" si="21"/>
        <v>1</v>
      </c>
      <c r="O190" s="46">
        <v>1</v>
      </c>
      <c r="P190" s="46">
        <v>1</v>
      </c>
      <c r="Q190" s="595"/>
    </row>
    <row r="191" spans="5:17">
      <c r="E191" s="22"/>
      <c r="K191" s="595"/>
      <c r="L191" s="22"/>
      <c r="Q191" s="595"/>
    </row>
    <row r="192" spans="5:17">
      <c r="E192" s="22" t="s">
        <v>540</v>
      </c>
      <c r="F192" t="s">
        <v>40</v>
      </c>
      <c r="G192" s="976">
        <f>'Other Country-Specific Data'!B105*1000</f>
        <v>3.3334259280000005</v>
      </c>
      <c r="H192" s="977">
        <f t="shared" ref="H192:H200" si="22">G192+(I192-G192)/$G$128*7</f>
        <v>3.3353492696993081</v>
      </c>
      <c r="I192" s="976">
        <f>'Other Country-Specific Data'!B114*1000</f>
        <v>3.8889969160000004</v>
      </c>
      <c r="J192" t="s">
        <v>1425</v>
      </c>
      <c r="K192" s="595"/>
      <c r="L192" s="22" t="s">
        <v>540</v>
      </c>
      <c r="M192" t="s">
        <v>40</v>
      </c>
      <c r="N192" s="977">
        <f>G192</f>
        <v>3.3334259280000005</v>
      </c>
      <c r="O192" s="977">
        <f t="shared" ref="O192:P200" si="23">H192</f>
        <v>3.3353492696993081</v>
      </c>
      <c r="P192" s="977">
        <f t="shared" si="23"/>
        <v>3.8889969160000004</v>
      </c>
      <c r="Q192" s="595" t="s">
        <v>1425</v>
      </c>
    </row>
    <row r="193" spans="5:17">
      <c r="E193" s="22"/>
      <c r="F193" t="s">
        <v>41</v>
      </c>
      <c r="G193" s="976">
        <f>'Other Country-Specific Data'!B106*1000</f>
        <v>3.3334259280000005</v>
      </c>
      <c r="H193" s="977">
        <f t="shared" si="22"/>
        <v>3.3353492696993081</v>
      </c>
      <c r="I193" s="976">
        <f>'Other Country-Specific Data'!B115*1000</f>
        <v>3.8889969160000004</v>
      </c>
      <c r="J193" t="s">
        <v>1425</v>
      </c>
      <c r="K193" s="595"/>
      <c r="L193" s="22"/>
      <c r="M193" t="s">
        <v>41</v>
      </c>
      <c r="N193" s="977">
        <f t="shared" ref="N193:N200" si="24">G193</f>
        <v>3.3334259280000005</v>
      </c>
      <c r="O193" s="977">
        <f t="shared" si="23"/>
        <v>3.3353492696993081</v>
      </c>
      <c r="P193" s="977">
        <f t="shared" si="23"/>
        <v>3.8889969160000004</v>
      </c>
      <c r="Q193" s="595" t="s">
        <v>1425</v>
      </c>
    </row>
    <row r="194" spans="5:17">
      <c r="E194" s="22"/>
      <c r="F194" t="s">
        <v>42</v>
      </c>
      <c r="G194" s="976">
        <f>'Other Country-Specific Data'!B107*1000</f>
        <v>3.3334259280000005</v>
      </c>
      <c r="H194" s="977">
        <f t="shared" si="22"/>
        <v>3.3353492696993081</v>
      </c>
      <c r="I194" s="976">
        <f>'Other Country-Specific Data'!B116*1000</f>
        <v>3.8889969160000004</v>
      </c>
      <c r="J194" t="s">
        <v>1425</v>
      </c>
      <c r="K194" s="595"/>
      <c r="L194" s="22"/>
      <c r="M194" t="s">
        <v>42</v>
      </c>
      <c r="N194" s="977">
        <f t="shared" si="24"/>
        <v>3.3334259280000005</v>
      </c>
      <c r="O194" s="977">
        <f t="shared" si="23"/>
        <v>3.3353492696993081</v>
      </c>
      <c r="P194" s="977">
        <f t="shared" si="23"/>
        <v>3.8889969160000004</v>
      </c>
      <c r="Q194" s="595" t="s">
        <v>1425</v>
      </c>
    </row>
    <row r="195" spans="5:17">
      <c r="E195" s="22"/>
      <c r="F195" t="s">
        <v>43</v>
      </c>
      <c r="G195" s="976">
        <f>'Other Country-Specific Data'!B108*1000</f>
        <v>15.000416676000002</v>
      </c>
      <c r="H195" s="977">
        <f t="shared" si="22"/>
        <v>15.01484173874481</v>
      </c>
      <c r="I195" s="976">
        <f>'Other Country-Specific Data'!B117*1000</f>
        <v>19.167199086</v>
      </c>
      <c r="J195" t="s">
        <v>1425</v>
      </c>
      <c r="K195" s="595"/>
      <c r="L195" s="22"/>
      <c r="M195" t="s">
        <v>43</v>
      </c>
      <c r="N195" s="977">
        <f t="shared" si="24"/>
        <v>15.000416676000002</v>
      </c>
      <c r="O195" s="977">
        <f t="shared" si="23"/>
        <v>15.01484173874481</v>
      </c>
      <c r="P195" s="977">
        <f t="shared" si="23"/>
        <v>19.167199086</v>
      </c>
      <c r="Q195" s="595" t="s">
        <v>1425</v>
      </c>
    </row>
    <row r="196" spans="5:17">
      <c r="E196" s="22"/>
      <c r="F196" t="s">
        <v>44</v>
      </c>
      <c r="G196" s="976">
        <f>'Other Country-Specific Data'!B109*1000</f>
        <v>12.500347230000001</v>
      </c>
      <c r="H196" s="977">
        <f t="shared" si="22"/>
        <v>12.515733963594462</v>
      </c>
      <c r="I196" s="976">
        <f>'Other Country-Specific Data'!B118*1000</f>
        <v>16.944915133999999</v>
      </c>
      <c r="J196" t="s">
        <v>1425</v>
      </c>
      <c r="K196" s="595"/>
      <c r="L196" s="22"/>
      <c r="M196" t="s">
        <v>44</v>
      </c>
      <c r="N196" s="977">
        <f t="shared" si="24"/>
        <v>12.500347230000001</v>
      </c>
      <c r="O196" s="977">
        <f t="shared" si="23"/>
        <v>12.515733963594462</v>
      </c>
      <c r="P196" s="977">
        <f t="shared" si="23"/>
        <v>16.944915133999999</v>
      </c>
      <c r="Q196" s="595" t="s">
        <v>1425</v>
      </c>
    </row>
    <row r="197" spans="5:17">
      <c r="E197" s="22"/>
      <c r="F197" t="s">
        <v>45</v>
      </c>
      <c r="G197" s="976">
        <f>'Other Country-Specific Data'!B110*1000</f>
        <v>3.3334259280000005</v>
      </c>
      <c r="H197" s="977">
        <f t="shared" si="22"/>
        <v>3.3353492696993081</v>
      </c>
      <c r="I197" s="976">
        <f>'Other Country-Specific Data'!B119*1000</f>
        <v>3.8889969160000004</v>
      </c>
      <c r="J197" t="s">
        <v>1425</v>
      </c>
      <c r="K197" s="595"/>
      <c r="L197" s="22"/>
      <c r="M197" t="s">
        <v>45</v>
      </c>
      <c r="N197" s="977">
        <f t="shared" si="24"/>
        <v>3.3334259280000005</v>
      </c>
      <c r="O197" s="977">
        <f t="shared" si="23"/>
        <v>3.3353492696993081</v>
      </c>
      <c r="P197" s="977">
        <f t="shared" si="23"/>
        <v>3.8889969160000004</v>
      </c>
      <c r="Q197" s="595" t="s">
        <v>1425</v>
      </c>
    </row>
    <row r="198" spans="5:17">
      <c r="E198" s="22"/>
      <c r="F198" t="s">
        <v>46</v>
      </c>
      <c r="G198" s="976">
        <f>'Other Country-Specific Data'!B111*1000</f>
        <v>17.433764747983076</v>
      </c>
      <c r="H198" s="977">
        <f t="shared" si="22"/>
        <v>17.443823794573571</v>
      </c>
      <c r="I198" s="976">
        <f>'Other Country-Specific Data'!B120*1000</f>
        <v>20.339392205980253</v>
      </c>
      <c r="J198" t="s">
        <v>1425</v>
      </c>
      <c r="K198" s="595"/>
      <c r="L198" s="22"/>
      <c r="M198" t="s">
        <v>46</v>
      </c>
      <c r="N198" s="977">
        <f t="shared" si="24"/>
        <v>17.433764747983076</v>
      </c>
      <c r="O198" s="977">
        <f t="shared" si="23"/>
        <v>17.443823794573571</v>
      </c>
      <c r="P198" s="977">
        <f t="shared" si="23"/>
        <v>20.339392205980253</v>
      </c>
      <c r="Q198" s="595" t="s">
        <v>1425</v>
      </c>
    </row>
    <row r="199" spans="5:17">
      <c r="E199" s="22"/>
      <c r="F199" t="s">
        <v>141</v>
      </c>
      <c r="G199" s="976">
        <f>'Other Country-Specific Data'!B112*1000</f>
        <v>26.945192918000004</v>
      </c>
      <c r="H199" s="977">
        <f t="shared" si="22"/>
        <v>26.950962943097927</v>
      </c>
      <c r="I199" s="976">
        <f>'Other Country-Specific Data'!B121*1000</f>
        <v>28.611905882000002</v>
      </c>
      <c r="J199" t="s">
        <v>1425</v>
      </c>
      <c r="K199" s="595"/>
      <c r="L199" s="22"/>
      <c r="M199" t="s">
        <v>141</v>
      </c>
      <c r="N199" s="977">
        <f t="shared" si="24"/>
        <v>26.945192918000004</v>
      </c>
      <c r="O199" s="977">
        <f t="shared" si="23"/>
        <v>26.950962943097927</v>
      </c>
      <c r="P199" s="977">
        <f t="shared" si="23"/>
        <v>28.611905882000002</v>
      </c>
      <c r="Q199" s="595" t="s">
        <v>1425</v>
      </c>
    </row>
    <row r="200" spans="5:17">
      <c r="E200" s="22"/>
      <c r="F200" t="s">
        <v>1597</v>
      </c>
      <c r="G200" s="976" t="e">
        <f>'Other Country-Specific Data'!#REF!*1000</f>
        <v>#REF!</v>
      </c>
      <c r="H200" s="977" t="e">
        <f t="shared" si="22"/>
        <v>#REF!</v>
      </c>
      <c r="I200" s="976" t="e">
        <f>'Other Country-Specific Data'!#REF!*1000</f>
        <v>#REF!</v>
      </c>
      <c r="J200" t="s">
        <v>1425</v>
      </c>
      <c r="K200" s="595"/>
      <c r="L200" s="22"/>
      <c r="M200" t="s">
        <v>1597</v>
      </c>
      <c r="N200" s="977" t="e">
        <f t="shared" si="24"/>
        <v>#REF!</v>
      </c>
      <c r="O200" s="977" t="e">
        <f t="shared" si="23"/>
        <v>#REF!</v>
      </c>
      <c r="P200" s="977" t="e">
        <f t="shared" si="23"/>
        <v>#REF!</v>
      </c>
      <c r="Q200" s="595" t="s">
        <v>1425</v>
      </c>
    </row>
    <row r="201" spans="5:17">
      <c r="E201" s="22" t="s">
        <v>1598</v>
      </c>
      <c r="K201" s="595"/>
      <c r="L201" s="22" t="s">
        <v>1598</v>
      </c>
      <c r="Q201" s="595"/>
    </row>
    <row r="202" spans="5:17">
      <c r="E202" s="22" t="s">
        <v>540</v>
      </c>
      <c r="F202" t="s">
        <v>40</v>
      </c>
      <c r="G202" s="977">
        <f>G192</f>
        <v>3.3334259280000005</v>
      </c>
      <c r="H202" s="977">
        <f t="shared" ref="H202:I202" si="25">H192</f>
        <v>3.3353492696993081</v>
      </c>
      <c r="I202" s="977">
        <f t="shared" si="25"/>
        <v>3.8889969160000004</v>
      </c>
      <c r="J202" t="s">
        <v>1425</v>
      </c>
      <c r="K202" s="595"/>
      <c r="L202" s="22" t="s">
        <v>540</v>
      </c>
      <c r="M202" t="s">
        <v>40</v>
      </c>
      <c r="N202" s="977">
        <f>G202</f>
        <v>3.3334259280000005</v>
      </c>
      <c r="O202" s="977">
        <f t="shared" ref="O202:P208" si="26">H202</f>
        <v>3.3353492696993081</v>
      </c>
      <c r="P202" s="977">
        <f t="shared" si="26"/>
        <v>3.8889969160000004</v>
      </c>
      <c r="Q202" s="595" t="s">
        <v>1425</v>
      </c>
    </row>
    <row r="203" spans="5:17">
      <c r="E203" s="22"/>
      <c r="F203" t="s">
        <v>1593</v>
      </c>
      <c r="G203" s="977">
        <f>G197</f>
        <v>3.3334259280000005</v>
      </c>
      <c r="H203" s="977">
        <f t="shared" ref="H203:I203" si="27">H197</f>
        <v>3.3353492696993081</v>
      </c>
      <c r="I203" s="977">
        <f t="shared" si="27"/>
        <v>3.8889969160000004</v>
      </c>
      <c r="J203" t="s">
        <v>1425</v>
      </c>
      <c r="K203" s="595"/>
      <c r="L203" s="22"/>
      <c r="M203" t="s">
        <v>1593</v>
      </c>
      <c r="N203" s="977">
        <f t="shared" ref="N203:N208" si="28">G203</f>
        <v>3.3334259280000005</v>
      </c>
      <c r="O203" s="977">
        <f t="shared" si="26"/>
        <v>3.3353492696993081</v>
      </c>
      <c r="P203" s="977">
        <f t="shared" si="26"/>
        <v>3.8889969160000004</v>
      </c>
      <c r="Q203" s="595" t="s">
        <v>1425</v>
      </c>
    </row>
    <row r="204" spans="5:17">
      <c r="E204" s="22"/>
      <c r="F204" t="s">
        <v>1242</v>
      </c>
      <c r="G204" s="977">
        <f>G197</f>
        <v>3.3334259280000005</v>
      </c>
      <c r="H204" s="977">
        <f t="shared" ref="H204:I204" si="29">H197</f>
        <v>3.3353492696993081</v>
      </c>
      <c r="I204" s="977">
        <f t="shared" si="29"/>
        <v>3.8889969160000004</v>
      </c>
      <c r="J204" t="s">
        <v>1425</v>
      </c>
      <c r="K204" s="595"/>
      <c r="L204" s="22"/>
      <c r="M204" t="s">
        <v>1242</v>
      </c>
      <c r="N204" s="977">
        <f t="shared" si="28"/>
        <v>3.3334259280000005</v>
      </c>
      <c r="O204" s="977">
        <f t="shared" si="26"/>
        <v>3.3353492696993081</v>
      </c>
      <c r="P204" s="977">
        <f t="shared" si="26"/>
        <v>3.8889969160000004</v>
      </c>
      <c r="Q204" s="595" t="s">
        <v>1425</v>
      </c>
    </row>
    <row r="205" spans="5:17">
      <c r="E205" s="22"/>
      <c r="F205" t="s">
        <v>1594</v>
      </c>
      <c r="G205" s="977">
        <f>G195</f>
        <v>15.000416676000002</v>
      </c>
      <c r="H205" s="977">
        <f t="shared" ref="H205:I205" si="30">H195</f>
        <v>15.01484173874481</v>
      </c>
      <c r="I205" s="977">
        <f t="shared" si="30"/>
        <v>19.167199086</v>
      </c>
      <c r="J205" t="s">
        <v>1425</v>
      </c>
      <c r="K205" s="595"/>
      <c r="L205" s="22"/>
      <c r="M205" t="s">
        <v>1594</v>
      </c>
      <c r="N205" s="977">
        <f t="shared" si="28"/>
        <v>15.000416676000002</v>
      </c>
      <c r="O205" s="977">
        <f t="shared" si="26"/>
        <v>15.01484173874481</v>
      </c>
      <c r="P205" s="977">
        <f t="shared" si="26"/>
        <v>19.167199086</v>
      </c>
      <c r="Q205" s="595" t="s">
        <v>1425</v>
      </c>
    </row>
    <row r="206" spans="5:17">
      <c r="E206" s="22"/>
      <c r="F206" t="s">
        <v>1595</v>
      </c>
      <c r="G206" s="977" t="e">
        <f>G200</f>
        <v>#REF!</v>
      </c>
      <c r="H206" s="977" t="e">
        <f t="shared" ref="H206:I206" si="31">H200</f>
        <v>#REF!</v>
      </c>
      <c r="I206" s="977" t="e">
        <f t="shared" si="31"/>
        <v>#REF!</v>
      </c>
      <c r="J206" t="s">
        <v>1425</v>
      </c>
      <c r="K206" s="595"/>
      <c r="L206" s="22"/>
      <c r="M206" t="s">
        <v>1595</v>
      </c>
      <c r="N206" s="977" t="e">
        <f t="shared" si="28"/>
        <v>#REF!</v>
      </c>
      <c r="O206" s="977" t="e">
        <f t="shared" si="26"/>
        <v>#REF!</v>
      </c>
      <c r="P206" s="977" t="e">
        <f t="shared" si="26"/>
        <v>#REF!</v>
      </c>
      <c r="Q206" s="595" t="s">
        <v>1425</v>
      </c>
    </row>
    <row r="207" spans="5:17">
      <c r="E207" s="22"/>
      <c r="F207" t="s">
        <v>1596</v>
      </c>
      <c r="G207" s="977">
        <f>G198</f>
        <v>17.433764747983076</v>
      </c>
      <c r="H207" s="977">
        <f t="shared" ref="H207:I208" si="32">H198</f>
        <v>17.443823794573571</v>
      </c>
      <c r="I207" s="977">
        <f t="shared" si="32"/>
        <v>20.339392205980253</v>
      </c>
      <c r="J207" t="s">
        <v>1425</v>
      </c>
      <c r="K207" s="595"/>
      <c r="L207" s="22"/>
      <c r="M207" t="s">
        <v>1596</v>
      </c>
      <c r="N207" s="977">
        <f t="shared" si="28"/>
        <v>17.433764747983076</v>
      </c>
      <c r="O207" s="977">
        <f t="shared" si="26"/>
        <v>17.443823794573571</v>
      </c>
      <c r="P207" s="977">
        <f t="shared" si="26"/>
        <v>20.339392205980253</v>
      </c>
      <c r="Q207" s="595" t="s">
        <v>1425</v>
      </c>
    </row>
    <row r="208" spans="5:17">
      <c r="E208" s="22"/>
      <c r="F208" t="s">
        <v>141</v>
      </c>
      <c r="G208" s="977">
        <f>G199</f>
        <v>26.945192918000004</v>
      </c>
      <c r="H208" s="977">
        <f t="shared" si="32"/>
        <v>26.950962943097927</v>
      </c>
      <c r="I208" s="977">
        <f t="shared" si="32"/>
        <v>28.611905882000002</v>
      </c>
      <c r="J208" t="s">
        <v>1425</v>
      </c>
      <c r="K208" s="595"/>
      <c r="L208" s="22"/>
      <c r="M208" t="s">
        <v>141</v>
      </c>
      <c r="N208" s="977">
        <f t="shared" si="28"/>
        <v>26.945192918000004</v>
      </c>
      <c r="O208" s="977">
        <f t="shared" si="26"/>
        <v>26.950962943097927</v>
      </c>
      <c r="P208" s="977">
        <f t="shared" si="26"/>
        <v>28.611905882000002</v>
      </c>
      <c r="Q208" s="595" t="s">
        <v>1425</v>
      </c>
    </row>
    <row r="209" spans="5:17">
      <c r="E209" s="22"/>
      <c r="K209" s="595"/>
      <c r="L209" s="22"/>
      <c r="Q209" s="595"/>
    </row>
    <row r="210" spans="5:17">
      <c r="E210" s="22" t="s">
        <v>1599</v>
      </c>
      <c r="F210" t="s">
        <v>1600</v>
      </c>
      <c r="G210" s="976" t="e">
        <f>SUMPRODUCT(G184:G190,G202:G208)</f>
        <v>#REF!</v>
      </c>
      <c r="H210" s="976" t="e">
        <f t="shared" ref="H210:I210" si="33">SUMPRODUCT(H184:H190,H202:H208)</f>
        <v>#REF!</v>
      </c>
      <c r="I210" s="976" t="e">
        <f t="shared" si="33"/>
        <v>#REF!</v>
      </c>
      <c r="J210" t="s">
        <v>1425</v>
      </c>
      <c r="K210" s="595"/>
      <c r="L210" s="22" t="s">
        <v>1599</v>
      </c>
      <c r="M210" t="s">
        <v>1600</v>
      </c>
      <c r="N210" s="976" t="e">
        <f>SUMPRODUCT(N184:N190,N202:N208)</f>
        <v>#REF!</v>
      </c>
      <c r="O210" s="976" t="e">
        <f t="shared" ref="O210:P210" si="34">SUMPRODUCT(O184:O190,O202:O208)</f>
        <v>#REF!</v>
      </c>
      <c r="P210" s="976" t="e">
        <f t="shared" si="34"/>
        <v>#REF!</v>
      </c>
      <c r="Q210" s="595" t="s">
        <v>1425</v>
      </c>
    </row>
    <row r="211" spans="5:17">
      <c r="E211" s="31" t="s">
        <v>1599</v>
      </c>
      <c r="F211" s="523" t="s">
        <v>1600</v>
      </c>
      <c r="G211" s="985" t="e">
        <f>G210/G129</f>
        <v>#REF!</v>
      </c>
      <c r="H211" s="985" t="e">
        <f>H210/H129</f>
        <v>#REF!</v>
      </c>
      <c r="I211" s="985" t="e">
        <f>I210/I129</f>
        <v>#REF!</v>
      </c>
      <c r="J211" s="523" t="s">
        <v>1601</v>
      </c>
      <c r="K211" s="605"/>
      <c r="L211" s="22" t="s">
        <v>1599</v>
      </c>
      <c r="M211" t="s">
        <v>1600</v>
      </c>
      <c r="N211" s="976" t="e">
        <f>N210/G149</f>
        <v>#REF!</v>
      </c>
      <c r="O211" s="976" t="e">
        <f>O210/H149</f>
        <v>#REF!</v>
      </c>
      <c r="P211" s="976" t="e">
        <f t="shared" ref="P211" si="35">P210/I149</f>
        <v>#REF!</v>
      </c>
      <c r="Q211" s="595" t="s">
        <v>1601</v>
      </c>
    </row>
    <row r="212" spans="5:17">
      <c r="E212" s="31"/>
      <c r="F212" s="523"/>
      <c r="G212" s="523"/>
      <c r="H212" s="523"/>
      <c r="I212" s="523"/>
      <c r="J212" s="523"/>
      <c r="K212" s="605"/>
      <c r="L212" s="31"/>
      <c r="M212" s="523"/>
      <c r="N212" s="523"/>
      <c r="O212" s="523"/>
      <c r="P212" s="523"/>
      <c r="Q212" s="605"/>
    </row>
    <row r="215" spans="5:17">
      <c r="F215" s="644" t="s">
        <v>1512</v>
      </c>
      <c r="G215" s="521"/>
      <c r="H215" s="521"/>
      <c r="I215" s="521"/>
      <c r="J215" s="521"/>
      <c r="K215" s="521"/>
      <c r="L215" s="521"/>
      <c r="M215" s="521"/>
      <c r="N215" s="521"/>
      <c r="O215" s="521"/>
      <c r="P215" s="521"/>
      <c r="Q215" s="639"/>
    </row>
    <row r="216" spans="5:17" ht="45">
      <c r="F216" s="22"/>
      <c r="G216" s="100" t="s">
        <v>1584</v>
      </c>
      <c r="H216" s="100" t="s">
        <v>1584</v>
      </c>
      <c r="I216" s="100" t="s">
        <v>1585</v>
      </c>
      <c r="J216" s="100" t="s">
        <v>1585</v>
      </c>
      <c r="K216" s="100" t="s">
        <v>1586</v>
      </c>
      <c r="L216" s="100" t="s">
        <v>1586</v>
      </c>
      <c r="N216" s="100" t="s">
        <v>1587</v>
      </c>
      <c r="O216" s="100" t="s">
        <v>1587</v>
      </c>
      <c r="P216" s="100" t="s">
        <v>1588</v>
      </c>
      <c r="Q216" s="1249" t="s">
        <v>1588</v>
      </c>
    </row>
    <row r="217" spans="5:17">
      <c r="F217" s="22"/>
      <c r="G217">
        <v>2030</v>
      </c>
      <c r="H217">
        <v>2060</v>
      </c>
      <c r="I217">
        <v>2030</v>
      </c>
      <c r="J217">
        <v>2060</v>
      </c>
      <c r="K217">
        <v>2030</v>
      </c>
      <c r="L217">
        <v>2060</v>
      </c>
      <c r="N217">
        <v>2030</v>
      </c>
      <c r="O217">
        <v>2060</v>
      </c>
      <c r="P217">
        <v>2030</v>
      </c>
      <c r="Q217" s="595">
        <v>2060</v>
      </c>
    </row>
    <row r="218" spans="5:17">
      <c r="F218" s="986" t="s">
        <v>1494</v>
      </c>
      <c r="G218" s="600">
        <v>11.51</v>
      </c>
      <c r="H218" s="1005">
        <f>8.53*2</f>
        <v>17.059999999999999</v>
      </c>
      <c r="I218" s="745">
        <f>B149*$G$180*1000</f>
        <v>190.83700705806427</v>
      </c>
      <c r="J218" s="745">
        <f>C149*$G$180*1000</f>
        <v>706.09692611483774</v>
      </c>
      <c r="K218">
        <v>-0.13</v>
      </c>
      <c r="L218">
        <v>-0.5</v>
      </c>
      <c r="N218" s="745" t="e">
        <f>K218*O211</f>
        <v>#REF!</v>
      </c>
      <c r="O218" s="745" t="e">
        <f>L218*P211</f>
        <v>#REF!</v>
      </c>
      <c r="P218" s="745" t="e">
        <f>(I218+N218)/G218</f>
        <v>#REF!</v>
      </c>
      <c r="Q218" s="746" t="e">
        <f>(J218+O218)/H218</f>
        <v>#REF!</v>
      </c>
    </row>
    <row r="219" spans="5:17">
      <c r="F219" s="986" t="s">
        <v>1496</v>
      </c>
      <c r="G219" s="600">
        <v>43.52</v>
      </c>
      <c r="H219" s="600">
        <v>85.05</v>
      </c>
      <c r="I219" s="745">
        <f>(B151+B152)*$G$180*1000</f>
        <v>254.73786288828094</v>
      </c>
      <c r="J219" s="745">
        <f>(C151+C152)*$G$180*1000</f>
        <v>1018.9514515531238</v>
      </c>
      <c r="K219">
        <v>-0.1</v>
      </c>
      <c r="L219">
        <v>-0.5</v>
      </c>
      <c r="N219" s="745" t="e">
        <f>K219*O211</f>
        <v>#REF!</v>
      </c>
      <c r="O219" s="745" t="e">
        <f>L219*P211</f>
        <v>#REF!</v>
      </c>
      <c r="P219" s="745" t="e">
        <f t="shared" ref="P219:Q221" si="36">(I219+N219)/G219</f>
        <v>#REF!</v>
      </c>
      <c r="Q219" s="746" t="e">
        <f>(J219+O219)/H219</f>
        <v>#REF!</v>
      </c>
    </row>
    <row r="220" spans="5:17">
      <c r="F220" s="986" t="s">
        <v>1573</v>
      </c>
      <c r="G220" s="600">
        <f>21.98*30%</f>
        <v>6.5940000000000003</v>
      </c>
      <c r="H220" s="600">
        <f>43.43*30%</f>
        <v>13.029</v>
      </c>
      <c r="I220" s="745">
        <f t="shared" ref="I220:J222" si="37">B154*$G$180*1000</f>
        <v>153.38273926397855</v>
      </c>
      <c r="J220" s="745">
        <f t="shared" si="37"/>
        <v>355.79364958469364</v>
      </c>
      <c r="K220" s="600">
        <v>0</v>
      </c>
      <c r="L220" s="600">
        <v>0</v>
      </c>
      <c r="N220" s="745">
        <f>$G$149*(O185-N185)*G158*O203</f>
        <v>325.14000256366768</v>
      </c>
      <c r="O220" s="745">
        <f>$G$149*(P185-O185)*H158*P203</f>
        <v>2558.4429928997456</v>
      </c>
      <c r="P220" s="745">
        <f t="shared" si="36"/>
        <v>72.569417929579345</v>
      </c>
      <c r="Q220" s="746">
        <f t="shared" si="36"/>
        <v>223.67308638302552</v>
      </c>
    </row>
    <row r="221" spans="5:17">
      <c r="F221" s="986" t="s">
        <v>1574</v>
      </c>
      <c r="G221" s="600">
        <f>21.98*5%</f>
        <v>1.099</v>
      </c>
      <c r="H221" s="600">
        <f>43.43*5%</f>
        <v>2.1715</v>
      </c>
      <c r="I221" s="745">
        <f>B155*$G$180*1000</f>
        <v>23.044672671718537</v>
      </c>
      <c r="J221" s="745">
        <f t="shared" si="37"/>
        <v>54.431167283820727</v>
      </c>
      <c r="K221" s="600">
        <v>0</v>
      </c>
      <c r="L221" s="600">
        <v>0</v>
      </c>
      <c r="N221" s="745">
        <f>$G$149*(O186-N186)*G159*O204</f>
        <v>10.556493589729468</v>
      </c>
      <c r="O221" s="745">
        <f>$G$149*(P186-O186)*H159*P204</f>
        <v>67.837503599614479</v>
      </c>
      <c r="P221" s="745">
        <f t="shared" si="36"/>
        <v>30.574309610052783</v>
      </c>
      <c r="Q221" s="746">
        <f t="shared" si="36"/>
        <v>56.306088364464749</v>
      </c>
    </row>
    <row r="222" spans="5:17">
      <c r="F222" s="986" t="s">
        <v>1575</v>
      </c>
      <c r="G222" s="987">
        <f>21.98*65%</f>
        <v>14.287000000000001</v>
      </c>
      <c r="H222" s="987">
        <f>43.43*65%</f>
        <v>28.229500000000002</v>
      </c>
      <c r="I222" s="988">
        <f t="shared" si="37"/>
        <v>6.7406650804144048</v>
      </c>
      <c r="J222" s="988">
        <f t="shared" si="37"/>
        <v>138.99149146040318</v>
      </c>
      <c r="K222" s="600">
        <v>0</v>
      </c>
      <c r="L222" s="600">
        <v>0</v>
      </c>
      <c r="N222" s="988" t="e">
        <f>$G$149*(O188-N188)*G160*O206</f>
        <v>#REF!</v>
      </c>
      <c r="O222" s="988" t="e">
        <f>$G$149*(P188-O188)*H160*P206</f>
        <v>#REF!</v>
      </c>
      <c r="P222" s="988" t="e">
        <f t="shared" ref="P222" si="38">(I222+N222)/G222</f>
        <v>#REF!</v>
      </c>
      <c r="Q222" s="989" t="e">
        <f t="shared" ref="Q222:Q224" si="39">(J222+O222)/H222</f>
        <v>#REF!</v>
      </c>
    </row>
    <row r="223" spans="5:17">
      <c r="F223" s="986" t="s">
        <v>1577</v>
      </c>
      <c r="G223" s="600">
        <f>G222</f>
        <v>14.287000000000001</v>
      </c>
      <c r="H223" s="600">
        <f>H222</f>
        <v>28.229500000000002</v>
      </c>
      <c r="I223" s="745">
        <f>(B156+B159+B161)*$G$180*1000</f>
        <v>1247.1982684844347</v>
      </c>
      <c r="J223" s="745">
        <f>(C156+C159+C161)*$G$180*1000</f>
        <v>5250.1007665109191</v>
      </c>
      <c r="K223" s="600">
        <v>0</v>
      </c>
      <c r="L223" s="600">
        <v>0</v>
      </c>
      <c r="N223" s="991" t="e">
        <f>$G$149*(O188-N188)*G161*O206</f>
        <v>#REF!</v>
      </c>
      <c r="O223" s="991" t="e">
        <f>$G$149*(P188-O188)*H161*P206</f>
        <v>#REF!</v>
      </c>
      <c r="P223" s="745" t="e">
        <f>(I223+N223)/G223</f>
        <v>#REF!</v>
      </c>
      <c r="Q223" s="746" t="e">
        <f t="shared" si="39"/>
        <v>#REF!</v>
      </c>
    </row>
    <row r="224" spans="5:17">
      <c r="F224" s="990" t="s">
        <v>1514</v>
      </c>
      <c r="G224" s="643">
        <v>10.91</v>
      </c>
      <c r="H224" s="643">
        <v>64.97</v>
      </c>
      <c r="I224" s="747">
        <f>B162*$G$180*1000</f>
        <v>1013.9655975556157</v>
      </c>
      <c r="J224" s="747">
        <f>C162*$G$180*1000</f>
        <v>8981.142601830421</v>
      </c>
      <c r="K224" s="523"/>
      <c r="L224" s="523"/>
      <c r="M224" s="523"/>
      <c r="N224" s="747" t="e">
        <f>I162*G162*N210*50%</f>
        <v>#REF!</v>
      </c>
      <c r="O224" s="747" t="e">
        <f>J162*H162*O210*50%</f>
        <v>#REF!</v>
      </c>
      <c r="P224" s="747" t="e">
        <f>(I224+N224)/G224</f>
        <v>#REF!</v>
      </c>
      <c r="Q224" s="748" t="e">
        <f t="shared" si="39"/>
        <v>#REF!</v>
      </c>
    </row>
    <row r="229" spans="1:12">
      <c r="E229" s="644" t="s">
        <v>1476</v>
      </c>
      <c r="F229" s="521"/>
      <c r="G229" s="521"/>
      <c r="H229" s="521"/>
      <c r="I229" s="521"/>
      <c r="J229" s="521"/>
      <c r="K229" s="521"/>
      <c r="L229" s="639"/>
    </row>
    <row r="230" spans="1:12">
      <c r="E230" s="22"/>
      <c r="F230">
        <v>2030</v>
      </c>
      <c r="H230" t="s">
        <v>1602</v>
      </c>
      <c r="I230" t="s">
        <v>1603</v>
      </c>
      <c r="J230" t="s">
        <v>1604</v>
      </c>
      <c r="K230" t="s">
        <v>1605</v>
      </c>
      <c r="L230" s="595" t="s">
        <v>1606</v>
      </c>
    </row>
    <row r="231" spans="1:12" ht="45">
      <c r="E231" s="22"/>
      <c r="F231" s="100" t="s">
        <v>1584</v>
      </c>
      <c r="G231" s="100" t="s">
        <v>1588</v>
      </c>
      <c r="H231">
        <v>0</v>
      </c>
      <c r="I231" s="980" t="e">
        <f>G232</f>
        <v>#REF!</v>
      </c>
      <c r="K231" s="980" t="e">
        <f>I231</f>
        <v>#REF!</v>
      </c>
      <c r="L231" s="992" t="e">
        <f>G232-I231</f>
        <v>#REF!</v>
      </c>
    </row>
    <row r="232" spans="1:12">
      <c r="E232" s="986" t="s">
        <v>1496</v>
      </c>
      <c r="F232" s="600">
        <f>G170</f>
        <v>23</v>
      </c>
      <c r="G232" s="600" t="e">
        <f>P170</f>
        <v>#REF!</v>
      </c>
      <c r="H232" s="498">
        <f>F232+H231</f>
        <v>23</v>
      </c>
      <c r="I232" s="980" t="e">
        <f>G232</f>
        <v>#REF!</v>
      </c>
      <c r="J232" s="498">
        <f>H232-H231</f>
        <v>23</v>
      </c>
      <c r="K232" s="980" t="e">
        <f>I232</f>
        <v>#REF!</v>
      </c>
      <c r="L232" s="992" t="e">
        <f>G233-I232</f>
        <v>#REF!</v>
      </c>
    </row>
    <row r="233" spans="1:12">
      <c r="E233" s="986" t="s">
        <v>1494</v>
      </c>
      <c r="F233" s="600">
        <f>G169</f>
        <v>6.72</v>
      </c>
      <c r="G233" s="600" t="e">
        <f>P169</f>
        <v>#REF!</v>
      </c>
      <c r="H233" s="498">
        <f t="shared" ref="H233:H237" si="40">F233+H232</f>
        <v>29.72</v>
      </c>
      <c r="I233" s="980" t="e">
        <f>G233</f>
        <v>#REF!</v>
      </c>
      <c r="J233" s="498">
        <f t="shared" ref="J233:J237" si="41">H233-H232</f>
        <v>6.7199999999999989</v>
      </c>
      <c r="K233" s="980" t="e">
        <f>I233</f>
        <v>#REF!</v>
      </c>
      <c r="L233" s="992" t="e">
        <f t="shared" ref="L233:L236" si="42">G234-I233</f>
        <v>#REF!</v>
      </c>
    </row>
    <row r="234" spans="1:12">
      <c r="E234" s="986" t="s">
        <v>1574</v>
      </c>
      <c r="F234" s="600">
        <f>G172</f>
        <v>0.70000000000000007</v>
      </c>
      <c r="G234" s="600">
        <f>P172</f>
        <v>18.973931334496445</v>
      </c>
      <c r="H234" s="498">
        <f t="shared" si="40"/>
        <v>30.419999999999998</v>
      </c>
      <c r="I234" s="980">
        <f t="shared" ref="I234:I237" si="43">G234</f>
        <v>18.973931334496445</v>
      </c>
      <c r="J234" s="498">
        <f t="shared" si="41"/>
        <v>0.69999999999999929</v>
      </c>
      <c r="K234" s="980">
        <f>I234</f>
        <v>18.973931334496445</v>
      </c>
      <c r="L234" s="992">
        <f t="shared" si="42"/>
        <v>43.355910024577383</v>
      </c>
    </row>
    <row r="235" spans="1:12">
      <c r="E235" s="986" t="s">
        <v>1573</v>
      </c>
      <c r="F235" s="600">
        <f>G171</f>
        <v>4.2</v>
      </c>
      <c r="G235" s="600">
        <f>P171</f>
        <v>62.329841359073832</v>
      </c>
      <c r="H235" s="498">
        <f t="shared" si="40"/>
        <v>34.619999999999997</v>
      </c>
      <c r="I235" s="980">
        <f t="shared" si="43"/>
        <v>62.329841359073832</v>
      </c>
      <c r="J235" s="498">
        <f t="shared" si="41"/>
        <v>4.1999999999999993</v>
      </c>
      <c r="K235" s="980">
        <f>I235</f>
        <v>62.329841359073832</v>
      </c>
      <c r="L235" s="992" t="e">
        <f t="shared" si="42"/>
        <v>#REF!</v>
      </c>
    </row>
    <row r="236" spans="1:12">
      <c r="A236" s="537" t="s">
        <v>1607</v>
      </c>
      <c r="B236" s="537"/>
      <c r="C236" s="537"/>
      <c r="D236" s="537"/>
      <c r="E236" s="986" t="s">
        <v>1514</v>
      </c>
      <c r="F236" s="600">
        <f>G175</f>
        <v>10</v>
      </c>
      <c r="G236" s="600" t="e">
        <f>P175</f>
        <v>#REF!</v>
      </c>
      <c r="H236" s="498">
        <f t="shared" si="40"/>
        <v>44.62</v>
      </c>
      <c r="I236" s="980" t="e">
        <f t="shared" si="43"/>
        <v>#REF!</v>
      </c>
      <c r="J236" s="498">
        <f t="shared" si="41"/>
        <v>10</v>
      </c>
      <c r="K236" s="980" t="e">
        <f t="shared" ref="K236:K237" si="44">I236</f>
        <v>#REF!</v>
      </c>
      <c r="L236" s="992" t="e">
        <f t="shared" si="42"/>
        <v>#REF!</v>
      </c>
    </row>
    <row r="237" spans="1:12">
      <c r="E237" s="986" t="s">
        <v>1577</v>
      </c>
      <c r="F237" s="600">
        <f>G174</f>
        <v>9.1</v>
      </c>
      <c r="G237" s="600" t="e">
        <f>P174</f>
        <v>#REF!</v>
      </c>
      <c r="H237" s="498">
        <f t="shared" si="40"/>
        <v>53.72</v>
      </c>
      <c r="I237" s="980" t="e">
        <f t="shared" si="43"/>
        <v>#REF!</v>
      </c>
      <c r="J237" s="498">
        <f t="shared" si="41"/>
        <v>9.1000000000000014</v>
      </c>
      <c r="K237" s="980" t="e">
        <f t="shared" si="44"/>
        <v>#REF!</v>
      </c>
      <c r="L237" s="992"/>
    </row>
    <row r="238" spans="1:12">
      <c r="E238" s="22"/>
      <c r="L238" s="595"/>
    </row>
    <row r="239" spans="1:12">
      <c r="E239" s="22"/>
      <c r="L239" s="595"/>
    </row>
    <row r="240" spans="1:12">
      <c r="E240" s="22"/>
      <c r="F240" s="498"/>
      <c r="G240" s="498"/>
      <c r="L240" s="595"/>
    </row>
    <row r="241" spans="5:12">
      <c r="E241" s="22"/>
      <c r="F241">
        <v>2060</v>
      </c>
      <c r="H241" t="s">
        <v>1602</v>
      </c>
      <c r="I241" t="s">
        <v>1603</v>
      </c>
      <c r="J241" t="s">
        <v>1604</v>
      </c>
      <c r="K241" t="s">
        <v>1605</v>
      </c>
      <c r="L241" s="595" t="s">
        <v>1606</v>
      </c>
    </row>
    <row r="242" spans="5:12" ht="45">
      <c r="E242" s="22"/>
      <c r="F242" s="100" t="s">
        <v>1584</v>
      </c>
      <c r="G242" s="100" t="s">
        <v>1588</v>
      </c>
      <c r="H242">
        <v>0</v>
      </c>
      <c r="I242" s="980" t="e">
        <f>G243</f>
        <v>#REF!</v>
      </c>
      <c r="K242" s="980" t="e">
        <f>I242</f>
        <v>#REF!</v>
      </c>
      <c r="L242" s="992" t="e">
        <f>G243-I242</f>
        <v>#REF!</v>
      </c>
    </row>
    <row r="243" spans="5:12">
      <c r="E243" s="986" t="s">
        <v>1496</v>
      </c>
      <c r="F243" s="600">
        <f>H170</f>
        <v>53.8</v>
      </c>
      <c r="G243" s="600" t="e">
        <f>Q170</f>
        <v>#REF!</v>
      </c>
      <c r="H243" s="498">
        <f>F243+H242</f>
        <v>53.8</v>
      </c>
      <c r="I243" s="980" t="e">
        <f>G243</f>
        <v>#REF!</v>
      </c>
      <c r="J243" s="498">
        <f>H243-H242</f>
        <v>53.8</v>
      </c>
      <c r="K243" s="980" t="e">
        <f t="shared" ref="K243:K248" si="45">I243</f>
        <v>#REF!</v>
      </c>
      <c r="L243" s="992" t="e">
        <f t="shared" ref="L243:L247" si="46">G244-I243</f>
        <v>#REF!</v>
      </c>
    </row>
    <row r="244" spans="5:12">
      <c r="E244" s="986" t="s">
        <v>1574</v>
      </c>
      <c r="F244" s="600">
        <f>H172</f>
        <v>3</v>
      </c>
      <c r="G244" s="600">
        <f>Q172</f>
        <v>18.639091011005796</v>
      </c>
      <c r="H244" s="498">
        <f t="shared" ref="H244:H248" si="47">F244+H243</f>
        <v>56.8</v>
      </c>
      <c r="I244" s="980">
        <f>G244</f>
        <v>18.639091011005796</v>
      </c>
      <c r="J244" s="498">
        <f t="shared" ref="J244:J248" si="48">H244-H243</f>
        <v>3</v>
      </c>
      <c r="K244" s="980">
        <f t="shared" si="45"/>
        <v>18.639091011005796</v>
      </c>
      <c r="L244" s="992" t="e">
        <f t="shared" si="46"/>
        <v>#REF!</v>
      </c>
    </row>
    <row r="245" spans="5:12">
      <c r="E245" s="986" t="s">
        <v>1494</v>
      </c>
      <c r="F245" s="600">
        <f>H169</f>
        <v>9.2200000000000006</v>
      </c>
      <c r="G245" s="600" t="e">
        <f>Q169</f>
        <v>#REF!</v>
      </c>
      <c r="H245" s="498">
        <f t="shared" si="47"/>
        <v>66.02</v>
      </c>
      <c r="I245" s="980" t="e">
        <f t="shared" ref="I245:I248" si="49">G245</f>
        <v>#REF!</v>
      </c>
      <c r="J245" s="498">
        <f t="shared" si="48"/>
        <v>9.2199999999999989</v>
      </c>
      <c r="K245" s="980" t="e">
        <f t="shared" si="45"/>
        <v>#REF!</v>
      </c>
      <c r="L245" s="992" t="e">
        <f t="shared" si="46"/>
        <v>#REF!</v>
      </c>
    </row>
    <row r="246" spans="5:12">
      <c r="E246" s="986" t="s">
        <v>1573</v>
      </c>
      <c r="F246" s="600">
        <f>H171</f>
        <v>18</v>
      </c>
      <c r="G246" s="600">
        <f>Q171</f>
        <v>87.91697410212295</v>
      </c>
      <c r="H246" s="498">
        <f t="shared" si="47"/>
        <v>84.02</v>
      </c>
      <c r="I246" s="980">
        <f t="shared" si="49"/>
        <v>87.91697410212295</v>
      </c>
      <c r="J246" s="498">
        <f t="shared" si="48"/>
        <v>18</v>
      </c>
      <c r="K246" s="980">
        <f t="shared" si="45"/>
        <v>87.91697410212295</v>
      </c>
      <c r="L246" s="992" t="e">
        <f t="shared" si="46"/>
        <v>#REF!</v>
      </c>
    </row>
    <row r="247" spans="5:12">
      <c r="E247" s="986" t="s">
        <v>1577</v>
      </c>
      <c r="F247" s="600">
        <f>H174</f>
        <v>39</v>
      </c>
      <c r="G247" s="600" t="e">
        <f>Q174</f>
        <v>#REF!</v>
      </c>
      <c r="H247" s="498">
        <f t="shared" si="47"/>
        <v>123.02</v>
      </c>
      <c r="I247" s="980" t="e">
        <f t="shared" si="49"/>
        <v>#REF!</v>
      </c>
      <c r="J247" s="498">
        <f t="shared" si="48"/>
        <v>39</v>
      </c>
      <c r="K247" s="980" t="e">
        <f t="shared" si="45"/>
        <v>#REF!</v>
      </c>
      <c r="L247" s="992" t="e">
        <f t="shared" si="46"/>
        <v>#REF!</v>
      </c>
    </row>
    <row r="248" spans="5:12">
      <c r="E248" s="990" t="s">
        <v>1514</v>
      </c>
      <c r="F248" s="643">
        <f>H175</f>
        <v>167.34</v>
      </c>
      <c r="G248" s="643" t="e">
        <f>Q175</f>
        <v>#REF!</v>
      </c>
      <c r="H248" s="689">
        <f t="shared" si="47"/>
        <v>290.36</v>
      </c>
      <c r="I248" s="993" t="e">
        <f t="shared" si="49"/>
        <v>#REF!</v>
      </c>
      <c r="J248" s="689">
        <f t="shared" si="48"/>
        <v>167.34000000000003</v>
      </c>
      <c r="K248" s="993" t="e">
        <f t="shared" si="45"/>
        <v>#REF!</v>
      </c>
      <c r="L248" s="994"/>
    </row>
    <row r="278" spans="5:12">
      <c r="E278" s="644" t="s">
        <v>1512</v>
      </c>
      <c r="F278" s="521"/>
      <c r="G278" s="521"/>
      <c r="H278" s="521"/>
      <c r="I278" s="521"/>
      <c r="J278" s="521"/>
      <c r="K278" s="521"/>
      <c r="L278" s="639"/>
    </row>
    <row r="279" spans="5:12">
      <c r="E279" s="22"/>
      <c r="F279">
        <v>2030</v>
      </c>
      <c r="G279">
        <v>2030</v>
      </c>
      <c r="H279" t="s">
        <v>1602</v>
      </c>
      <c r="I279" t="s">
        <v>1603</v>
      </c>
      <c r="J279" t="s">
        <v>1604</v>
      </c>
      <c r="K279" t="s">
        <v>1605</v>
      </c>
      <c r="L279" s="595" t="s">
        <v>1606</v>
      </c>
    </row>
    <row r="280" spans="5:12" ht="45">
      <c r="E280" s="22"/>
      <c r="F280" s="100" t="s">
        <v>1584</v>
      </c>
      <c r="G280" s="100" t="s">
        <v>1588</v>
      </c>
      <c r="H280">
        <v>0</v>
      </c>
      <c r="I280" s="980" t="e">
        <f>G281</f>
        <v>#REF!</v>
      </c>
      <c r="K280" s="980" t="e">
        <f>I280</f>
        <v>#REF!</v>
      </c>
      <c r="L280" s="992" t="e">
        <f>G281-I280</f>
        <v>#REF!</v>
      </c>
    </row>
    <row r="281" spans="5:12">
      <c r="E281" s="986" t="s">
        <v>1496</v>
      </c>
      <c r="F281" s="600">
        <f>G219</f>
        <v>43.52</v>
      </c>
      <c r="G281" s="976" t="e">
        <f>P219</f>
        <v>#REF!</v>
      </c>
      <c r="H281" s="498">
        <f>F281+H280</f>
        <v>43.52</v>
      </c>
      <c r="I281" s="980" t="e">
        <f>G281</f>
        <v>#REF!</v>
      </c>
      <c r="J281" s="498">
        <f>H281-H280</f>
        <v>43.52</v>
      </c>
      <c r="K281" s="980" t="e">
        <f>I281</f>
        <v>#REF!</v>
      </c>
      <c r="L281" s="992" t="e">
        <f t="shared" ref="L281:L285" si="50">G282-I281</f>
        <v>#REF!</v>
      </c>
    </row>
    <row r="282" spans="5:12">
      <c r="E282" s="986" t="s">
        <v>1494</v>
      </c>
      <c r="F282" s="600">
        <f>G218</f>
        <v>11.51</v>
      </c>
      <c r="G282" s="976" t="e">
        <f>P218</f>
        <v>#REF!</v>
      </c>
      <c r="H282" s="498">
        <f t="shared" ref="H282:H286" si="51">F282+H281</f>
        <v>55.03</v>
      </c>
      <c r="I282" s="980" t="e">
        <f t="shared" ref="I282:I286" si="52">G282</f>
        <v>#REF!</v>
      </c>
      <c r="J282" s="498">
        <f>H282-H281</f>
        <v>11.509999999999998</v>
      </c>
      <c r="K282" s="980" t="e">
        <f t="shared" ref="K282:K286" si="53">I282</f>
        <v>#REF!</v>
      </c>
      <c r="L282" s="992" t="e">
        <f t="shared" si="50"/>
        <v>#REF!</v>
      </c>
    </row>
    <row r="283" spans="5:12">
      <c r="E283" s="986" t="s">
        <v>1574</v>
      </c>
      <c r="F283" s="600">
        <f>G221</f>
        <v>1.099</v>
      </c>
      <c r="G283" s="976">
        <f>P221</f>
        <v>30.574309610052783</v>
      </c>
      <c r="H283" s="498">
        <f t="shared" si="51"/>
        <v>56.128999999999998</v>
      </c>
      <c r="I283" s="980">
        <f t="shared" si="52"/>
        <v>30.574309610052783</v>
      </c>
      <c r="J283" s="498">
        <f t="shared" ref="J283:J286" si="54">H283-H282</f>
        <v>1.0989999999999966</v>
      </c>
      <c r="K283" s="980">
        <f t="shared" si="53"/>
        <v>30.574309610052783</v>
      </c>
      <c r="L283" s="992">
        <f t="shared" si="50"/>
        <v>41.995108319526565</v>
      </c>
    </row>
    <row r="284" spans="5:12">
      <c r="E284" s="986" t="s">
        <v>1573</v>
      </c>
      <c r="F284" s="600">
        <f>G220</f>
        <v>6.5940000000000003</v>
      </c>
      <c r="G284" s="976">
        <f>P220</f>
        <v>72.569417929579345</v>
      </c>
      <c r="H284" s="498">
        <f t="shared" si="51"/>
        <v>62.722999999999999</v>
      </c>
      <c r="I284" s="980">
        <f t="shared" si="52"/>
        <v>72.569417929579345</v>
      </c>
      <c r="J284" s="498">
        <f t="shared" si="54"/>
        <v>6.5940000000000012</v>
      </c>
      <c r="K284" s="980">
        <f t="shared" si="53"/>
        <v>72.569417929579345</v>
      </c>
      <c r="L284" s="992" t="e">
        <f t="shared" si="50"/>
        <v>#REF!</v>
      </c>
    </row>
    <row r="285" spans="5:12">
      <c r="E285" s="986" t="s">
        <v>1577</v>
      </c>
      <c r="F285" s="600">
        <f>G223</f>
        <v>14.287000000000001</v>
      </c>
      <c r="G285" s="976" t="e">
        <f>P223</f>
        <v>#REF!</v>
      </c>
      <c r="H285" s="498">
        <f t="shared" si="51"/>
        <v>77.010000000000005</v>
      </c>
      <c r="I285" s="980" t="e">
        <f t="shared" si="52"/>
        <v>#REF!</v>
      </c>
      <c r="J285" s="498">
        <f t="shared" si="54"/>
        <v>14.287000000000006</v>
      </c>
      <c r="K285" s="980" t="e">
        <f t="shared" si="53"/>
        <v>#REF!</v>
      </c>
      <c r="L285" s="992" t="e">
        <f t="shared" si="50"/>
        <v>#REF!</v>
      </c>
    </row>
    <row r="286" spans="5:12">
      <c r="E286" s="986" t="s">
        <v>1514</v>
      </c>
      <c r="F286" s="600">
        <f>G224</f>
        <v>10.91</v>
      </c>
      <c r="G286" s="976" t="e">
        <f>P224</f>
        <v>#REF!</v>
      </c>
      <c r="H286" s="498">
        <f t="shared" si="51"/>
        <v>87.92</v>
      </c>
      <c r="I286" s="980" t="e">
        <f t="shared" si="52"/>
        <v>#REF!</v>
      </c>
      <c r="J286" s="498">
        <f t="shared" si="54"/>
        <v>10.909999999999997</v>
      </c>
      <c r="K286" s="980" t="e">
        <f t="shared" si="53"/>
        <v>#REF!</v>
      </c>
      <c r="L286" s="992"/>
    </row>
    <row r="287" spans="5:12">
      <c r="E287" s="22"/>
      <c r="L287" s="595"/>
    </row>
    <row r="288" spans="5:12">
      <c r="E288" s="22"/>
      <c r="L288" s="595"/>
    </row>
    <row r="289" spans="5:12">
      <c r="E289" s="22"/>
      <c r="L289" s="595"/>
    </row>
    <row r="290" spans="5:12">
      <c r="E290" s="22"/>
      <c r="F290">
        <v>2060</v>
      </c>
      <c r="G290">
        <v>2060</v>
      </c>
      <c r="H290" t="s">
        <v>1602</v>
      </c>
      <c r="I290" t="s">
        <v>1603</v>
      </c>
      <c r="J290" t="s">
        <v>1604</v>
      </c>
      <c r="K290" t="s">
        <v>1605</v>
      </c>
      <c r="L290" s="595" t="s">
        <v>1606</v>
      </c>
    </row>
    <row r="291" spans="5:12" ht="45">
      <c r="E291" s="22"/>
      <c r="F291" s="100" t="s">
        <v>1584</v>
      </c>
      <c r="G291" s="100" t="s">
        <v>1588</v>
      </c>
      <c r="H291">
        <v>0</v>
      </c>
      <c r="I291" s="980" t="e">
        <f>G292</f>
        <v>#REF!</v>
      </c>
      <c r="K291" s="980" t="e">
        <f>I291</f>
        <v>#REF!</v>
      </c>
      <c r="L291" s="992" t="e">
        <f>G292-I291</f>
        <v>#REF!</v>
      </c>
    </row>
    <row r="292" spans="5:12">
      <c r="E292" s="986" t="s">
        <v>1496</v>
      </c>
      <c r="F292" s="600">
        <f>H219</f>
        <v>85.05</v>
      </c>
      <c r="G292" s="976" t="e">
        <f>Q219</f>
        <v>#REF!</v>
      </c>
      <c r="H292" s="498">
        <f>F292+H291</f>
        <v>85.05</v>
      </c>
      <c r="I292" s="980" t="e">
        <f>G292</f>
        <v>#REF!</v>
      </c>
      <c r="J292" s="498">
        <f>H292-H291</f>
        <v>85.05</v>
      </c>
      <c r="K292" s="980" t="e">
        <f>I292</f>
        <v>#REF!</v>
      </c>
      <c r="L292" s="992" t="e">
        <f t="shared" ref="L292:L296" si="55">G293-I292</f>
        <v>#REF!</v>
      </c>
    </row>
    <row r="293" spans="5:12">
      <c r="E293" s="986" t="s">
        <v>1494</v>
      </c>
      <c r="F293" s="600">
        <f>H218</f>
        <v>17.059999999999999</v>
      </c>
      <c r="G293" s="976" t="e">
        <f>Q218</f>
        <v>#REF!</v>
      </c>
      <c r="H293" s="498">
        <f>F293+H292</f>
        <v>102.11</v>
      </c>
      <c r="I293" s="980" t="e">
        <f>G293</f>
        <v>#REF!</v>
      </c>
      <c r="J293" s="498">
        <f t="shared" ref="J293:J297" si="56">H293-H292</f>
        <v>17.060000000000002</v>
      </c>
      <c r="K293" s="980" t="e">
        <f t="shared" ref="K293:K297" si="57">I293</f>
        <v>#REF!</v>
      </c>
      <c r="L293" s="992" t="e">
        <f t="shared" si="55"/>
        <v>#REF!</v>
      </c>
    </row>
    <row r="294" spans="5:12">
      <c r="E294" s="986" t="s">
        <v>1574</v>
      </c>
      <c r="F294" s="600">
        <f>H221</f>
        <v>2.1715</v>
      </c>
      <c r="G294" s="976">
        <f>Q221</f>
        <v>56.306088364464749</v>
      </c>
      <c r="H294" s="498">
        <f>F294+H293</f>
        <v>104.28149999999999</v>
      </c>
      <c r="I294" s="980">
        <f t="shared" ref="I294:I297" si="58">G294</f>
        <v>56.306088364464749</v>
      </c>
      <c r="J294" s="498">
        <f t="shared" si="56"/>
        <v>2.1714999999999947</v>
      </c>
      <c r="K294" s="980">
        <f t="shared" si="57"/>
        <v>56.306088364464749</v>
      </c>
      <c r="L294" s="992">
        <f t="shared" si="55"/>
        <v>167.36699801856076</v>
      </c>
    </row>
    <row r="295" spans="5:12">
      <c r="E295" s="986" t="s">
        <v>1573</v>
      </c>
      <c r="F295" s="600">
        <f>H220</f>
        <v>13.029</v>
      </c>
      <c r="G295" s="976">
        <f>Q220</f>
        <v>223.67308638302552</v>
      </c>
      <c r="H295" s="498">
        <f t="shared" ref="H295:H297" si="59">F295+H294</f>
        <v>117.31049999999999</v>
      </c>
      <c r="I295" s="980">
        <f t="shared" si="58"/>
        <v>223.67308638302552</v>
      </c>
      <c r="J295" s="498">
        <f t="shared" si="56"/>
        <v>13.028999999999996</v>
      </c>
      <c r="K295" s="980">
        <f t="shared" si="57"/>
        <v>223.67308638302552</v>
      </c>
      <c r="L295" s="992" t="e">
        <f t="shared" si="55"/>
        <v>#REF!</v>
      </c>
    </row>
    <row r="296" spans="5:12">
      <c r="E296" s="986" t="s">
        <v>1577</v>
      </c>
      <c r="F296" s="600">
        <f>H223</f>
        <v>28.229500000000002</v>
      </c>
      <c r="G296" s="976" t="e">
        <f>Q223</f>
        <v>#REF!</v>
      </c>
      <c r="H296" s="498">
        <f t="shared" si="59"/>
        <v>145.54</v>
      </c>
      <c r="I296" s="980" t="e">
        <f t="shared" si="58"/>
        <v>#REF!</v>
      </c>
      <c r="J296" s="498">
        <f t="shared" si="56"/>
        <v>28.229500000000002</v>
      </c>
      <c r="K296" s="980" t="e">
        <f t="shared" si="57"/>
        <v>#REF!</v>
      </c>
      <c r="L296" s="992" t="e">
        <f t="shared" si="55"/>
        <v>#REF!</v>
      </c>
    </row>
    <row r="297" spans="5:12">
      <c r="E297" s="990" t="s">
        <v>1514</v>
      </c>
      <c r="F297" s="643">
        <f>H224</f>
        <v>64.97</v>
      </c>
      <c r="G297" s="985" t="e">
        <f>Q224</f>
        <v>#REF!</v>
      </c>
      <c r="H297" s="689">
        <f t="shared" si="59"/>
        <v>210.51</v>
      </c>
      <c r="I297" s="993" t="e">
        <f t="shared" si="58"/>
        <v>#REF!</v>
      </c>
      <c r="J297" s="689">
        <f t="shared" si="56"/>
        <v>64.97</v>
      </c>
      <c r="K297" s="993" t="e">
        <f t="shared" si="57"/>
        <v>#REF!</v>
      </c>
      <c r="L297" s="994"/>
    </row>
    <row r="298" spans="5:12">
      <c r="H298" s="498"/>
      <c r="I298" s="980"/>
      <c r="J298" s="498"/>
      <c r="K298" s="980"/>
      <c r="L298" s="980"/>
    </row>
    <row r="310" spans="1:4">
      <c r="A310" s="502" t="s">
        <v>1608</v>
      </c>
      <c r="B310" s="537"/>
      <c r="C310" s="537"/>
      <c r="D310" s="537"/>
    </row>
    <row r="324" spans="1:20">
      <c r="E324" s="644" t="s">
        <v>1512</v>
      </c>
    </row>
    <row r="325" spans="1:20">
      <c r="E325" t="s">
        <v>1609</v>
      </c>
      <c r="N325" t="s">
        <v>1610</v>
      </c>
    </row>
    <row r="326" spans="1:20">
      <c r="E326" t="s">
        <v>1611</v>
      </c>
      <c r="F326" s="986" t="s">
        <v>1496</v>
      </c>
      <c r="G326" s="986" t="s">
        <v>1494</v>
      </c>
      <c r="H326" s="986" t="s">
        <v>1574</v>
      </c>
      <c r="I326" s="986" t="s">
        <v>1573</v>
      </c>
      <c r="J326" s="986" t="s">
        <v>1577</v>
      </c>
      <c r="K326" s="986" t="s">
        <v>1514</v>
      </c>
      <c r="N326" t="s">
        <v>1611</v>
      </c>
      <c r="O326" s="986" t="s">
        <v>1496</v>
      </c>
      <c r="P326" s="986" t="s">
        <v>1494</v>
      </c>
      <c r="Q326" s="986" t="s">
        <v>1574</v>
      </c>
      <c r="R326" s="986" t="s">
        <v>1573</v>
      </c>
      <c r="S326" s="990" t="s">
        <v>1577</v>
      </c>
      <c r="T326" s="986" t="s">
        <v>1514</v>
      </c>
    </row>
    <row r="327" spans="1:20">
      <c r="A327" s="558"/>
      <c r="B327" s="558"/>
      <c r="E327">
        <v>0.5</v>
      </c>
      <c r="F327" s="977" t="e">
        <f>$G$281</f>
        <v>#REF!</v>
      </c>
      <c r="N327">
        <v>0.5</v>
      </c>
      <c r="O327" s="977" t="e">
        <f>$G$292</f>
        <v>#REF!</v>
      </c>
    </row>
    <row r="328" spans="1:20">
      <c r="A328" s="558"/>
      <c r="B328" s="558"/>
      <c r="E328">
        <v>1</v>
      </c>
      <c r="F328" s="977" t="e">
        <f t="shared" ref="F328:F391" si="60">$G$281</f>
        <v>#REF!</v>
      </c>
      <c r="N328">
        <v>1</v>
      </c>
      <c r="O328" s="977" t="e">
        <f t="shared" ref="O328:O391" si="61">$G$292</f>
        <v>#REF!</v>
      </c>
    </row>
    <row r="329" spans="1:20">
      <c r="A329" s="558"/>
      <c r="B329" s="558"/>
      <c r="E329">
        <v>1.5</v>
      </c>
      <c r="F329" s="977" t="e">
        <f t="shared" si="60"/>
        <v>#REF!</v>
      </c>
      <c r="N329">
        <v>1.5</v>
      </c>
      <c r="O329" s="977" t="e">
        <f t="shared" si="61"/>
        <v>#REF!</v>
      </c>
    </row>
    <row r="330" spans="1:20">
      <c r="E330">
        <v>2</v>
      </c>
      <c r="F330" s="977" t="e">
        <f t="shared" si="60"/>
        <v>#REF!</v>
      </c>
      <c r="N330">
        <v>2</v>
      </c>
      <c r="O330" s="977" t="e">
        <f t="shared" si="61"/>
        <v>#REF!</v>
      </c>
    </row>
    <row r="331" spans="1:20">
      <c r="E331">
        <v>2.5</v>
      </c>
      <c r="F331" s="977" t="e">
        <f t="shared" si="60"/>
        <v>#REF!</v>
      </c>
      <c r="N331">
        <v>2.5</v>
      </c>
      <c r="O331" s="977" t="e">
        <f t="shared" si="61"/>
        <v>#REF!</v>
      </c>
    </row>
    <row r="332" spans="1:20">
      <c r="E332">
        <v>3</v>
      </c>
      <c r="F332" s="977" t="e">
        <f t="shared" si="60"/>
        <v>#REF!</v>
      </c>
      <c r="N332">
        <v>3</v>
      </c>
      <c r="O332" s="977" t="e">
        <f t="shared" si="61"/>
        <v>#REF!</v>
      </c>
    </row>
    <row r="333" spans="1:20">
      <c r="E333">
        <v>3.5</v>
      </c>
      <c r="F333" s="977" t="e">
        <f t="shared" si="60"/>
        <v>#REF!</v>
      </c>
      <c r="N333">
        <v>3.5</v>
      </c>
      <c r="O333" s="977" t="e">
        <f t="shared" si="61"/>
        <v>#REF!</v>
      </c>
    </row>
    <row r="334" spans="1:20">
      <c r="E334">
        <v>4</v>
      </c>
      <c r="F334" s="977" t="e">
        <f t="shared" si="60"/>
        <v>#REF!</v>
      </c>
      <c r="N334">
        <v>4</v>
      </c>
      <c r="O334" s="977" t="e">
        <f t="shared" si="61"/>
        <v>#REF!</v>
      </c>
    </row>
    <row r="335" spans="1:20">
      <c r="E335">
        <v>4.5</v>
      </c>
      <c r="F335" s="977" t="e">
        <f t="shared" si="60"/>
        <v>#REF!</v>
      </c>
      <c r="N335">
        <v>4.5</v>
      </c>
      <c r="O335" s="977" t="e">
        <f t="shared" si="61"/>
        <v>#REF!</v>
      </c>
    </row>
    <row r="336" spans="1:20">
      <c r="E336">
        <v>5</v>
      </c>
      <c r="F336" s="977" t="e">
        <f t="shared" si="60"/>
        <v>#REF!</v>
      </c>
      <c r="N336">
        <v>5</v>
      </c>
      <c r="O336" s="977" t="e">
        <f t="shared" si="61"/>
        <v>#REF!</v>
      </c>
    </row>
    <row r="337" spans="5:15">
      <c r="E337">
        <v>5.5</v>
      </c>
      <c r="F337" s="977" t="e">
        <f t="shared" si="60"/>
        <v>#REF!</v>
      </c>
      <c r="N337">
        <v>5.5</v>
      </c>
      <c r="O337" s="977" t="e">
        <f t="shared" si="61"/>
        <v>#REF!</v>
      </c>
    </row>
    <row r="338" spans="5:15">
      <c r="E338">
        <v>6</v>
      </c>
      <c r="F338" s="977" t="e">
        <f t="shared" si="60"/>
        <v>#REF!</v>
      </c>
      <c r="N338">
        <v>6</v>
      </c>
      <c r="O338" s="977" t="e">
        <f t="shared" si="61"/>
        <v>#REF!</v>
      </c>
    </row>
    <row r="339" spans="5:15">
      <c r="E339">
        <v>6.5</v>
      </c>
      <c r="F339" s="977" t="e">
        <f t="shared" si="60"/>
        <v>#REF!</v>
      </c>
      <c r="N339">
        <v>6.5</v>
      </c>
      <c r="O339" s="977" t="e">
        <f t="shared" si="61"/>
        <v>#REF!</v>
      </c>
    </row>
    <row r="340" spans="5:15">
      <c r="E340">
        <v>7</v>
      </c>
      <c r="F340" s="977" t="e">
        <f t="shared" si="60"/>
        <v>#REF!</v>
      </c>
      <c r="N340">
        <v>7</v>
      </c>
      <c r="O340" s="977" t="e">
        <f t="shared" si="61"/>
        <v>#REF!</v>
      </c>
    </row>
    <row r="341" spans="5:15">
      <c r="E341">
        <v>7.5</v>
      </c>
      <c r="F341" s="977" t="e">
        <f t="shared" si="60"/>
        <v>#REF!</v>
      </c>
      <c r="N341">
        <v>7.5</v>
      </c>
      <c r="O341" s="977" t="e">
        <f t="shared" si="61"/>
        <v>#REF!</v>
      </c>
    </row>
    <row r="342" spans="5:15">
      <c r="E342">
        <v>8</v>
      </c>
      <c r="F342" s="977" t="e">
        <f t="shared" si="60"/>
        <v>#REF!</v>
      </c>
      <c r="N342">
        <v>8</v>
      </c>
      <c r="O342" s="977" t="e">
        <f t="shared" si="61"/>
        <v>#REF!</v>
      </c>
    </row>
    <row r="343" spans="5:15">
      <c r="E343">
        <v>8.5</v>
      </c>
      <c r="F343" s="977" t="e">
        <f t="shared" si="60"/>
        <v>#REF!</v>
      </c>
      <c r="N343">
        <v>8.5</v>
      </c>
      <c r="O343" s="977" t="e">
        <f t="shared" si="61"/>
        <v>#REF!</v>
      </c>
    </row>
    <row r="344" spans="5:15">
      <c r="E344">
        <v>9</v>
      </c>
      <c r="F344" s="977" t="e">
        <f t="shared" si="60"/>
        <v>#REF!</v>
      </c>
      <c r="N344">
        <v>9</v>
      </c>
      <c r="O344" s="977" t="e">
        <f t="shared" si="61"/>
        <v>#REF!</v>
      </c>
    </row>
    <row r="345" spans="5:15">
      <c r="E345">
        <v>9.5</v>
      </c>
      <c r="F345" s="977" t="e">
        <f t="shared" si="60"/>
        <v>#REF!</v>
      </c>
      <c r="N345">
        <v>9.5</v>
      </c>
      <c r="O345" s="977" t="e">
        <f t="shared" si="61"/>
        <v>#REF!</v>
      </c>
    </row>
    <row r="346" spans="5:15">
      <c r="E346">
        <v>10</v>
      </c>
      <c r="F346" s="977" t="e">
        <f t="shared" si="60"/>
        <v>#REF!</v>
      </c>
      <c r="N346">
        <v>10</v>
      </c>
      <c r="O346" s="977" t="e">
        <f t="shared" si="61"/>
        <v>#REF!</v>
      </c>
    </row>
    <row r="347" spans="5:15">
      <c r="E347">
        <v>10.5</v>
      </c>
      <c r="F347" s="977" t="e">
        <f t="shared" si="60"/>
        <v>#REF!</v>
      </c>
      <c r="N347">
        <v>10.5</v>
      </c>
      <c r="O347" s="977" t="e">
        <f t="shared" si="61"/>
        <v>#REF!</v>
      </c>
    </row>
    <row r="348" spans="5:15">
      <c r="E348">
        <v>11</v>
      </c>
      <c r="F348" s="977" t="e">
        <f t="shared" si="60"/>
        <v>#REF!</v>
      </c>
      <c r="N348">
        <v>11</v>
      </c>
      <c r="O348" s="977" t="e">
        <f t="shared" si="61"/>
        <v>#REF!</v>
      </c>
    </row>
    <row r="349" spans="5:15">
      <c r="E349">
        <v>11.5</v>
      </c>
      <c r="F349" s="977" t="e">
        <f t="shared" si="60"/>
        <v>#REF!</v>
      </c>
      <c r="N349">
        <v>11.5</v>
      </c>
      <c r="O349" s="977" t="e">
        <f t="shared" si="61"/>
        <v>#REF!</v>
      </c>
    </row>
    <row r="350" spans="5:15">
      <c r="E350">
        <v>12</v>
      </c>
      <c r="F350" s="977" t="e">
        <f t="shared" si="60"/>
        <v>#REF!</v>
      </c>
      <c r="G350" s="977"/>
      <c r="N350">
        <v>12</v>
      </c>
      <c r="O350" s="977" t="e">
        <f t="shared" si="61"/>
        <v>#REF!</v>
      </c>
    </row>
    <row r="351" spans="5:15">
      <c r="E351">
        <v>12.5</v>
      </c>
      <c r="F351" s="977" t="e">
        <f t="shared" si="60"/>
        <v>#REF!</v>
      </c>
      <c r="G351" s="977"/>
      <c r="N351">
        <v>12.5</v>
      </c>
      <c r="O351" s="977" t="e">
        <f t="shared" si="61"/>
        <v>#REF!</v>
      </c>
    </row>
    <row r="352" spans="5:15">
      <c r="E352">
        <v>13</v>
      </c>
      <c r="F352" s="977" t="e">
        <f t="shared" si="60"/>
        <v>#REF!</v>
      </c>
      <c r="G352" s="977"/>
      <c r="N352">
        <v>13</v>
      </c>
      <c r="O352" s="977" t="e">
        <f t="shared" si="61"/>
        <v>#REF!</v>
      </c>
    </row>
    <row r="353" spans="5:15">
      <c r="E353">
        <v>13.5</v>
      </c>
      <c r="F353" s="977" t="e">
        <f t="shared" si="60"/>
        <v>#REF!</v>
      </c>
      <c r="G353" s="977"/>
      <c r="N353">
        <v>13.5</v>
      </c>
      <c r="O353" s="977" t="e">
        <f t="shared" si="61"/>
        <v>#REF!</v>
      </c>
    </row>
    <row r="354" spans="5:15">
      <c r="E354">
        <v>14</v>
      </c>
      <c r="F354" s="977" t="e">
        <f t="shared" si="60"/>
        <v>#REF!</v>
      </c>
      <c r="G354" s="977"/>
      <c r="N354">
        <v>14</v>
      </c>
      <c r="O354" s="977" t="e">
        <f t="shared" si="61"/>
        <v>#REF!</v>
      </c>
    </row>
    <row r="355" spans="5:15">
      <c r="E355">
        <v>14.5</v>
      </c>
      <c r="F355" s="977" t="e">
        <f t="shared" si="60"/>
        <v>#REF!</v>
      </c>
      <c r="G355" s="977"/>
      <c r="N355">
        <v>14.5</v>
      </c>
      <c r="O355" s="977" t="e">
        <f t="shared" si="61"/>
        <v>#REF!</v>
      </c>
    </row>
    <row r="356" spans="5:15">
      <c r="E356">
        <v>15</v>
      </c>
      <c r="F356" s="977" t="e">
        <f t="shared" si="60"/>
        <v>#REF!</v>
      </c>
      <c r="G356" s="977"/>
      <c r="N356">
        <v>15</v>
      </c>
      <c r="O356" s="977" t="e">
        <f t="shared" si="61"/>
        <v>#REF!</v>
      </c>
    </row>
    <row r="357" spans="5:15">
      <c r="E357">
        <v>15.5</v>
      </c>
      <c r="F357" s="977" t="e">
        <f t="shared" si="60"/>
        <v>#REF!</v>
      </c>
      <c r="G357" s="977"/>
      <c r="N357">
        <v>15.5</v>
      </c>
      <c r="O357" s="977" t="e">
        <f t="shared" si="61"/>
        <v>#REF!</v>
      </c>
    </row>
    <row r="358" spans="5:15">
      <c r="E358">
        <v>16</v>
      </c>
      <c r="F358" s="977" t="e">
        <f t="shared" si="60"/>
        <v>#REF!</v>
      </c>
      <c r="G358" s="977"/>
      <c r="N358">
        <v>16</v>
      </c>
      <c r="O358" s="977" t="e">
        <f t="shared" si="61"/>
        <v>#REF!</v>
      </c>
    </row>
    <row r="359" spans="5:15">
      <c r="E359">
        <v>16.5</v>
      </c>
      <c r="F359" s="977" t="e">
        <f t="shared" si="60"/>
        <v>#REF!</v>
      </c>
      <c r="G359" s="977"/>
      <c r="N359">
        <v>16.5</v>
      </c>
      <c r="O359" s="977" t="e">
        <f t="shared" si="61"/>
        <v>#REF!</v>
      </c>
    </row>
    <row r="360" spans="5:15">
      <c r="E360">
        <v>17</v>
      </c>
      <c r="F360" s="977" t="e">
        <f t="shared" si="60"/>
        <v>#REF!</v>
      </c>
      <c r="G360" s="977"/>
      <c r="N360">
        <v>17</v>
      </c>
      <c r="O360" s="977" t="e">
        <f t="shared" si="61"/>
        <v>#REF!</v>
      </c>
    </row>
    <row r="361" spans="5:15">
      <c r="E361">
        <v>17.5</v>
      </c>
      <c r="F361" s="977" t="e">
        <f t="shared" si="60"/>
        <v>#REF!</v>
      </c>
      <c r="G361" s="977"/>
      <c r="N361">
        <v>17.5</v>
      </c>
      <c r="O361" s="977" t="e">
        <f t="shared" si="61"/>
        <v>#REF!</v>
      </c>
    </row>
    <row r="362" spans="5:15">
      <c r="E362">
        <v>18</v>
      </c>
      <c r="F362" s="977" t="e">
        <f t="shared" si="60"/>
        <v>#REF!</v>
      </c>
      <c r="G362" s="977"/>
      <c r="N362">
        <v>18</v>
      </c>
      <c r="O362" s="977" t="e">
        <f t="shared" si="61"/>
        <v>#REF!</v>
      </c>
    </row>
    <row r="363" spans="5:15">
      <c r="E363">
        <v>18.5</v>
      </c>
      <c r="F363" s="977" t="e">
        <f t="shared" si="60"/>
        <v>#REF!</v>
      </c>
      <c r="G363" s="977"/>
      <c r="N363">
        <v>18.5</v>
      </c>
      <c r="O363" s="977" t="e">
        <f t="shared" si="61"/>
        <v>#REF!</v>
      </c>
    </row>
    <row r="364" spans="5:15">
      <c r="E364">
        <v>19</v>
      </c>
      <c r="F364" s="977" t="e">
        <f t="shared" si="60"/>
        <v>#REF!</v>
      </c>
      <c r="G364" s="977"/>
      <c r="N364">
        <v>19</v>
      </c>
      <c r="O364" s="977" t="e">
        <f t="shared" si="61"/>
        <v>#REF!</v>
      </c>
    </row>
    <row r="365" spans="5:15">
      <c r="E365">
        <v>19.5</v>
      </c>
      <c r="F365" s="977" t="e">
        <f t="shared" si="60"/>
        <v>#REF!</v>
      </c>
      <c r="G365" s="977"/>
      <c r="N365">
        <v>19.5</v>
      </c>
      <c r="O365" s="977" t="e">
        <f t="shared" si="61"/>
        <v>#REF!</v>
      </c>
    </row>
    <row r="366" spans="5:15">
      <c r="E366">
        <v>20</v>
      </c>
      <c r="F366" s="977" t="e">
        <f t="shared" si="60"/>
        <v>#REF!</v>
      </c>
      <c r="G366" s="977"/>
      <c r="N366">
        <v>20</v>
      </c>
      <c r="O366" s="977" t="e">
        <f t="shared" si="61"/>
        <v>#REF!</v>
      </c>
    </row>
    <row r="367" spans="5:15">
      <c r="E367">
        <v>20.5</v>
      </c>
      <c r="F367" s="977" t="e">
        <f t="shared" si="60"/>
        <v>#REF!</v>
      </c>
      <c r="G367" s="977"/>
      <c r="N367">
        <v>20.5</v>
      </c>
      <c r="O367" s="977" t="e">
        <f t="shared" si="61"/>
        <v>#REF!</v>
      </c>
    </row>
    <row r="368" spans="5:15">
      <c r="E368">
        <v>21</v>
      </c>
      <c r="F368" s="977" t="e">
        <f t="shared" si="60"/>
        <v>#REF!</v>
      </c>
      <c r="G368" s="977"/>
      <c r="N368">
        <v>21</v>
      </c>
      <c r="O368" s="977" t="e">
        <f t="shared" si="61"/>
        <v>#REF!</v>
      </c>
    </row>
    <row r="369" spans="5:15">
      <c r="E369">
        <v>21.5</v>
      </c>
      <c r="F369" s="977" t="e">
        <f t="shared" si="60"/>
        <v>#REF!</v>
      </c>
      <c r="G369" s="977"/>
      <c r="N369">
        <v>21.5</v>
      </c>
      <c r="O369" s="977" t="e">
        <f t="shared" si="61"/>
        <v>#REF!</v>
      </c>
    </row>
    <row r="370" spans="5:15">
      <c r="E370">
        <v>22</v>
      </c>
      <c r="F370" s="977" t="e">
        <f t="shared" si="60"/>
        <v>#REF!</v>
      </c>
      <c r="G370" s="977"/>
      <c r="N370">
        <v>22</v>
      </c>
      <c r="O370" s="977" t="e">
        <f t="shared" si="61"/>
        <v>#REF!</v>
      </c>
    </row>
    <row r="371" spans="5:15">
      <c r="E371">
        <v>22.5</v>
      </c>
      <c r="F371" s="977" t="e">
        <f t="shared" si="60"/>
        <v>#REF!</v>
      </c>
      <c r="G371" s="977"/>
      <c r="N371">
        <v>22.5</v>
      </c>
      <c r="O371" s="977" t="e">
        <f t="shared" si="61"/>
        <v>#REF!</v>
      </c>
    </row>
    <row r="372" spans="5:15">
      <c r="E372">
        <v>23</v>
      </c>
      <c r="F372" s="977" t="e">
        <f t="shared" si="60"/>
        <v>#REF!</v>
      </c>
      <c r="G372" s="977"/>
      <c r="N372">
        <v>23</v>
      </c>
      <c r="O372" s="977" t="e">
        <f t="shared" si="61"/>
        <v>#REF!</v>
      </c>
    </row>
    <row r="373" spans="5:15">
      <c r="E373">
        <v>23.5</v>
      </c>
      <c r="F373" s="977" t="e">
        <f t="shared" si="60"/>
        <v>#REF!</v>
      </c>
      <c r="G373" s="977"/>
      <c r="N373">
        <v>23.5</v>
      </c>
      <c r="O373" s="977" t="e">
        <f t="shared" si="61"/>
        <v>#REF!</v>
      </c>
    </row>
    <row r="374" spans="5:15">
      <c r="E374">
        <v>24</v>
      </c>
      <c r="F374" s="977" t="e">
        <f t="shared" si="60"/>
        <v>#REF!</v>
      </c>
      <c r="G374" s="977"/>
      <c r="N374">
        <v>24</v>
      </c>
      <c r="O374" s="977" t="e">
        <f t="shared" si="61"/>
        <v>#REF!</v>
      </c>
    </row>
    <row r="375" spans="5:15">
      <c r="E375">
        <v>24.5</v>
      </c>
      <c r="F375" s="977" t="e">
        <f t="shared" si="60"/>
        <v>#REF!</v>
      </c>
      <c r="G375" s="977"/>
      <c r="N375">
        <v>24.5</v>
      </c>
      <c r="O375" s="977" t="e">
        <f t="shared" si="61"/>
        <v>#REF!</v>
      </c>
    </row>
    <row r="376" spans="5:15">
      <c r="E376">
        <v>25</v>
      </c>
      <c r="F376" s="977" t="e">
        <f t="shared" si="60"/>
        <v>#REF!</v>
      </c>
      <c r="G376" s="977"/>
      <c r="N376">
        <v>25</v>
      </c>
      <c r="O376" s="977" t="e">
        <f t="shared" si="61"/>
        <v>#REF!</v>
      </c>
    </row>
    <row r="377" spans="5:15">
      <c r="E377">
        <v>25.5</v>
      </c>
      <c r="F377" s="977" t="e">
        <f t="shared" si="60"/>
        <v>#REF!</v>
      </c>
      <c r="G377" s="977"/>
      <c r="N377">
        <v>25.5</v>
      </c>
      <c r="O377" s="977" t="e">
        <f t="shared" si="61"/>
        <v>#REF!</v>
      </c>
    </row>
    <row r="378" spans="5:15">
      <c r="E378">
        <v>26</v>
      </c>
      <c r="F378" s="977" t="e">
        <f t="shared" si="60"/>
        <v>#REF!</v>
      </c>
      <c r="G378" s="977"/>
      <c r="N378">
        <v>26</v>
      </c>
      <c r="O378" s="977" t="e">
        <f t="shared" si="61"/>
        <v>#REF!</v>
      </c>
    </row>
    <row r="379" spans="5:15">
      <c r="E379">
        <v>26.5</v>
      </c>
      <c r="F379" s="977" t="e">
        <f t="shared" si="60"/>
        <v>#REF!</v>
      </c>
      <c r="G379" s="977"/>
      <c r="N379">
        <v>26.5</v>
      </c>
      <c r="O379" s="977" t="e">
        <f t="shared" si="61"/>
        <v>#REF!</v>
      </c>
    </row>
    <row r="380" spans="5:15">
      <c r="E380">
        <v>27</v>
      </c>
      <c r="F380" s="977" t="e">
        <f t="shared" si="60"/>
        <v>#REF!</v>
      </c>
      <c r="G380" s="977"/>
      <c r="N380">
        <v>27</v>
      </c>
      <c r="O380" s="977" t="e">
        <f t="shared" si="61"/>
        <v>#REF!</v>
      </c>
    </row>
    <row r="381" spans="5:15">
      <c r="E381">
        <v>27.5</v>
      </c>
      <c r="F381" s="977" t="e">
        <f t="shared" si="60"/>
        <v>#REF!</v>
      </c>
      <c r="G381" s="977"/>
      <c r="N381">
        <v>27.5</v>
      </c>
      <c r="O381" s="977" t="e">
        <f t="shared" si="61"/>
        <v>#REF!</v>
      </c>
    </row>
    <row r="382" spans="5:15">
      <c r="E382">
        <v>28</v>
      </c>
      <c r="F382" s="977" t="e">
        <f t="shared" si="60"/>
        <v>#REF!</v>
      </c>
      <c r="G382" s="977"/>
      <c r="N382">
        <v>28</v>
      </c>
      <c r="O382" s="977" t="e">
        <f t="shared" si="61"/>
        <v>#REF!</v>
      </c>
    </row>
    <row r="383" spans="5:15">
      <c r="E383">
        <v>28.5</v>
      </c>
      <c r="F383" s="977" t="e">
        <f t="shared" si="60"/>
        <v>#REF!</v>
      </c>
      <c r="G383" s="977"/>
      <c r="N383">
        <v>28.5</v>
      </c>
      <c r="O383" s="977" t="e">
        <f t="shared" si="61"/>
        <v>#REF!</v>
      </c>
    </row>
    <row r="384" spans="5:15">
      <c r="E384">
        <v>29</v>
      </c>
      <c r="F384" s="977" t="e">
        <f t="shared" si="60"/>
        <v>#REF!</v>
      </c>
      <c r="G384" s="977"/>
      <c r="N384">
        <v>29</v>
      </c>
      <c r="O384" s="977" t="e">
        <f t="shared" si="61"/>
        <v>#REF!</v>
      </c>
    </row>
    <row r="385" spans="5:15">
      <c r="E385">
        <v>29.5</v>
      </c>
      <c r="F385" s="977" t="e">
        <f t="shared" si="60"/>
        <v>#REF!</v>
      </c>
      <c r="G385" s="977"/>
      <c r="N385">
        <v>29.5</v>
      </c>
      <c r="O385" s="977" t="e">
        <f t="shared" si="61"/>
        <v>#REF!</v>
      </c>
    </row>
    <row r="386" spans="5:15">
      <c r="E386">
        <v>30</v>
      </c>
      <c r="F386" s="977" t="e">
        <f t="shared" si="60"/>
        <v>#REF!</v>
      </c>
      <c r="G386" s="977"/>
      <c r="N386">
        <v>30</v>
      </c>
      <c r="O386" s="977" t="e">
        <f t="shared" si="61"/>
        <v>#REF!</v>
      </c>
    </row>
    <row r="387" spans="5:15">
      <c r="E387">
        <v>30.5</v>
      </c>
      <c r="F387" s="977" t="e">
        <f t="shared" si="60"/>
        <v>#REF!</v>
      </c>
      <c r="G387" s="977"/>
      <c r="N387">
        <v>30.5</v>
      </c>
      <c r="O387" s="977" t="e">
        <f t="shared" si="61"/>
        <v>#REF!</v>
      </c>
    </row>
    <row r="388" spans="5:15">
      <c r="E388">
        <v>31</v>
      </c>
      <c r="F388" s="977" t="e">
        <f t="shared" si="60"/>
        <v>#REF!</v>
      </c>
      <c r="G388" s="977"/>
      <c r="N388">
        <v>31</v>
      </c>
      <c r="O388" s="977" t="e">
        <f t="shared" si="61"/>
        <v>#REF!</v>
      </c>
    </row>
    <row r="389" spans="5:15">
      <c r="E389">
        <v>31.5</v>
      </c>
      <c r="F389" s="977" t="e">
        <f t="shared" si="60"/>
        <v>#REF!</v>
      </c>
      <c r="G389" s="977"/>
      <c r="N389">
        <v>31.5</v>
      </c>
      <c r="O389" s="977" t="e">
        <f t="shared" si="61"/>
        <v>#REF!</v>
      </c>
    </row>
    <row r="390" spans="5:15">
      <c r="E390">
        <v>32</v>
      </c>
      <c r="F390" s="977" t="e">
        <f t="shared" si="60"/>
        <v>#REF!</v>
      </c>
      <c r="G390" s="977"/>
      <c r="N390">
        <v>32</v>
      </c>
      <c r="O390" s="977" t="e">
        <f t="shared" si="61"/>
        <v>#REF!</v>
      </c>
    </row>
    <row r="391" spans="5:15">
      <c r="E391">
        <v>32.5</v>
      </c>
      <c r="F391" s="977" t="e">
        <f t="shared" si="60"/>
        <v>#REF!</v>
      </c>
      <c r="G391" s="977"/>
      <c r="N391">
        <v>32.5</v>
      </c>
      <c r="O391" s="977" t="e">
        <f t="shared" si="61"/>
        <v>#REF!</v>
      </c>
    </row>
    <row r="392" spans="5:15">
      <c r="E392">
        <v>33</v>
      </c>
      <c r="F392" s="977" t="e">
        <f t="shared" ref="F392:F413" si="62">$G$281</f>
        <v>#REF!</v>
      </c>
      <c r="G392" s="977"/>
      <c r="N392">
        <v>33</v>
      </c>
      <c r="O392" s="977" t="e">
        <f t="shared" ref="O392:O455" si="63">$G$292</f>
        <v>#REF!</v>
      </c>
    </row>
    <row r="393" spans="5:15">
      <c r="E393">
        <v>33.5</v>
      </c>
      <c r="F393" s="977" t="e">
        <f t="shared" si="62"/>
        <v>#REF!</v>
      </c>
      <c r="G393" s="977"/>
      <c r="N393">
        <v>33.5</v>
      </c>
      <c r="O393" s="977" t="e">
        <f t="shared" si="63"/>
        <v>#REF!</v>
      </c>
    </row>
    <row r="394" spans="5:15">
      <c r="E394">
        <v>34</v>
      </c>
      <c r="F394" s="977" t="e">
        <f t="shared" si="62"/>
        <v>#REF!</v>
      </c>
      <c r="G394" s="977"/>
      <c r="N394">
        <v>34</v>
      </c>
      <c r="O394" s="977" t="e">
        <f t="shared" si="63"/>
        <v>#REF!</v>
      </c>
    </row>
    <row r="395" spans="5:15">
      <c r="E395">
        <v>34.5</v>
      </c>
      <c r="F395" s="977" t="e">
        <f t="shared" si="62"/>
        <v>#REF!</v>
      </c>
      <c r="G395" s="977"/>
      <c r="N395">
        <v>34.5</v>
      </c>
      <c r="O395" s="977" t="e">
        <f t="shared" si="63"/>
        <v>#REF!</v>
      </c>
    </row>
    <row r="396" spans="5:15">
      <c r="E396">
        <v>35</v>
      </c>
      <c r="F396" s="977" t="e">
        <f t="shared" si="62"/>
        <v>#REF!</v>
      </c>
      <c r="G396" s="977"/>
      <c r="N396">
        <v>35</v>
      </c>
      <c r="O396" s="977" t="e">
        <f t="shared" si="63"/>
        <v>#REF!</v>
      </c>
    </row>
    <row r="397" spans="5:15">
      <c r="E397">
        <v>35.5</v>
      </c>
      <c r="F397" s="977" t="e">
        <f t="shared" si="62"/>
        <v>#REF!</v>
      </c>
      <c r="G397" s="977"/>
      <c r="N397">
        <v>35.5</v>
      </c>
      <c r="O397" s="977" t="e">
        <f t="shared" si="63"/>
        <v>#REF!</v>
      </c>
    </row>
    <row r="398" spans="5:15">
      <c r="E398">
        <v>36</v>
      </c>
      <c r="F398" s="977" t="e">
        <f t="shared" si="62"/>
        <v>#REF!</v>
      </c>
      <c r="G398" s="977"/>
      <c r="N398">
        <v>36</v>
      </c>
      <c r="O398" s="977" t="e">
        <f t="shared" si="63"/>
        <v>#REF!</v>
      </c>
    </row>
    <row r="399" spans="5:15">
      <c r="E399">
        <v>36.5</v>
      </c>
      <c r="F399" s="977" t="e">
        <f t="shared" si="62"/>
        <v>#REF!</v>
      </c>
      <c r="G399" s="977"/>
      <c r="N399">
        <v>36.5</v>
      </c>
      <c r="O399" s="977" t="e">
        <f t="shared" si="63"/>
        <v>#REF!</v>
      </c>
    </row>
    <row r="400" spans="5:15">
      <c r="E400">
        <v>37</v>
      </c>
      <c r="F400" s="977" t="e">
        <f t="shared" si="62"/>
        <v>#REF!</v>
      </c>
      <c r="G400" s="977"/>
      <c r="N400">
        <v>37</v>
      </c>
      <c r="O400" s="977" t="e">
        <f t="shared" si="63"/>
        <v>#REF!</v>
      </c>
    </row>
    <row r="401" spans="5:15">
      <c r="E401">
        <v>37.5</v>
      </c>
      <c r="F401" s="977" t="e">
        <f t="shared" si="62"/>
        <v>#REF!</v>
      </c>
      <c r="G401" s="977"/>
      <c r="N401">
        <v>37.5</v>
      </c>
      <c r="O401" s="977" t="e">
        <f t="shared" si="63"/>
        <v>#REF!</v>
      </c>
    </row>
    <row r="402" spans="5:15">
      <c r="E402">
        <v>38</v>
      </c>
      <c r="F402" s="977" t="e">
        <f t="shared" si="62"/>
        <v>#REF!</v>
      </c>
      <c r="G402" s="977"/>
      <c r="N402">
        <v>38</v>
      </c>
      <c r="O402" s="977" t="e">
        <f t="shared" si="63"/>
        <v>#REF!</v>
      </c>
    </row>
    <row r="403" spans="5:15">
      <c r="E403">
        <v>38.5</v>
      </c>
      <c r="F403" s="977" t="e">
        <f t="shared" si="62"/>
        <v>#REF!</v>
      </c>
      <c r="G403" s="977"/>
      <c r="N403">
        <v>38.5</v>
      </c>
      <c r="O403" s="977" t="e">
        <f t="shared" si="63"/>
        <v>#REF!</v>
      </c>
    </row>
    <row r="404" spans="5:15">
      <c r="E404">
        <v>39</v>
      </c>
      <c r="F404" s="977" t="e">
        <f t="shared" si="62"/>
        <v>#REF!</v>
      </c>
      <c r="G404" s="977"/>
      <c r="N404">
        <v>39</v>
      </c>
      <c r="O404" s="977" t="e">
        <f t="shared" si="63"/>
        <v>#REF!</v>
      </c>
    </row>
    <row r="405" spans="5:15">
      <c r="E405">
        <v>39.5</v>
      </c>
      <c r="F405" s="977" t="e">
        <f t="shared" si="62"/>
        <v>#REF!</v>
      </c>
      <c r="G405" s="977"/>
      <c r="N405">
        <v>39.5</v>
      </c>
      <c r="O405" s="977" t="e">
        <f t="shared" si="63"/>
        <v>#REF!</v>
      </c>
    </row>
    <row r="406" spans="5:15">
      <c r="E406">
        <v>40</v>
      </c>
      <c r="F406" s="977" t="e">
        <f t="shared" si="62"/>
        <v>#REF!</v>
      </c>
      <c r="G406" s="977"/>
      <c r="N406">
        <v>40</v>
      </c>
      <c r="O406" s="977" t="e">
        <f t="shared" si="63"/>
        <v>#REF!</v>
      </c>
    </row>
    <row r="407" spans="5:15">
      <c r="E407">
        <v>40.5</v>
      </c>
      <c r="F407" s="977" t="e">
        <f t="shared" si="62"/>
        <v>#REF!</v>
      </c>
      <c r="G407" s="977"/>
      <c r="N407">
        <v>40.5</v>
      </c>
      <c r="O407" s="977" t="e">
        <f t="shared" si="63"/>
        <v>#REF!</v>
      </c>
    </row>
    <row r="408" spans="5:15">
      <c r="E408">
        <v>41</v>
      </c>
      <c r="F408" s="977" t="e">
        <f t="shared" si="62"/>
        <v>#REF!</v>
      </c>
      <c r="G408" s="977"/>
      <c r="N408">
        <v>41</v>
      </c>
      <c r="O408" s="977" t="e">
        <f t="shared" si="63"/>
        <v>#REF!</v>
      </c>
    </row>
    <row r="409" spans="5:15">
      <c r="E409">
        <v>41.5</v>
      </c>
      <c r="F409" s="977" t="e">
        <f t="shared" si="62"/>
        <v>#REF!</v>
      </c>
      <c r="G409" s="977"/>
      <c r="N409">
        <v>41.5</v>
      </c>
      <c r="O409" s="977" t="e">
        <f t="shared" si="63"/>
        <v>#REF!</v>
      </c>
    </row>
    <row r="410" spans="5:15">
      <c r="E410">
        <v>42</v>
      </c>
      <c r="F410" s="977" t="e">
        <f t="shared" si="62"/>
        <v>#REF!</v>
      </c>
      <c r="G410" s="977"/>
      <c r="N410">
        <v>42</v>
      </c>
      <c r="O410" s="977" t="e">
        <f t="shared" si="63"/>
        <v>#REF!</v>
      </c>
    </row>
    <row r="411" spans="5:15">
      <c r="E411">
        <v>42.5</v>
      </c>
      <c r="F411" s="977" t="e">
        <f t="shared" si="62"/>
        <v>#REF!</v>
      </c>
      <c r="G411" s="977"/>
      <c r="N411">
        <v>42.5</v>
      </c>
      <c r="O411" s="977" t="e">
        <f t="shared" si="63"/>
        <v>#REF!</v>
      </c>
    </row>
    <row r="412" spans="5:15">
      <c r="E412">
        <v>43</v>
      </c>
      <c r="F412" s="977" t="e">
        <f t="shared" si="62"/>
        <v>#REF!</v>
      </c>
      <c r="G412" s="977"/>
      <c r="N412">
        <v>43</v>
      </c>
      <c r="O412" s="977" t="e">
        <f t="shared" si="63"/>
        <v>#REF!</v>
      </c>
    </row>
    <row r="413" spans="5:15">
      <c r="E413">
        <v>43.5</v>
      </c>
      <c r="F413" s="977" t="e">
        <f t="shared" si="62"/>
        <v>#REF!</v>
      </c>
      <c r="G413" s="977"/>
      <c r="N413">
        <v>43.5</v>
      </c>
      <c r="O413" s="977" t="e">
        <f t="shared" si="63"/>
        <v>#REF!</v>
      </c>
    </row>
    <row r="414" spans="5:15">
      <c r="E414">
        <v>44</v>
      </c>
      <c r="F414" s="977"/>
      <c r="G414" s="977" t="e">
        <f>$G$282</f>
        <v>#REF!</v>
      </c>
      <c r="N414">
        <v>44</v>
      </c>
      <c r="O414" s="977" t="e">
        <f t="shared" si="63"/>
        <v>#REF!</v>
      </c>
    </row>
    <row r="415" spans="5:15">
      <c r="E415">
        <v>44.5</v>
      </c>
      <c r="G415" s="977" t="e">
        <f t="shared" ref="G415:G437" si="64">$G$282</f>
        <v>#REF!</v>
      </c>
      <c r="N415">
        <v>44.5</v>
      </c>
      <c r="O415" s="977" t="e">
        <f t="shared" si="63"/>
        <v>#REF!</v>
      </c>
    </row>
    <row r="416" spans="5:15">
      <c r="E416">
        <v>45</v>
      </c>
      <c r="G416" s="977" t="e">
        <f t="shared" si="64"/>
        <v>#REF!</v>
      </c>
      <c r="N416">
        <v>45</v>
      </c>
      <c r="O416" s="977" t="e">
        <f t="shared" si="63"/>
        <v>#REF!</v>
      </c>
    </row>
    <row r="417" spans="5:15">
      <c r="E417">
        <v>45.5</v>
      </c>
      <c r="G417" s="977" t="e">
        <f t="shared" si="64"/>
        <v>#REF!</v>
      </c>
      <c r="N417">
        <v>45.5</v>
      </c>
      <c r="O417" s="977" t="e">
        <f t="shared" si="63"/>
        <v>#REF!</v>
      </c>
    </row>
    <row r="418" spans="5:15">
      <c r="E418">
        <v>46</v>
      </c>
      <c r="G418" s="977" t="e">
        <f t="shared" si="64"/>
        <v>#REF!</v>
      </c>
      <c r="N418">
        <v>46</v>
      </c>
      <c r="O418" s="977" t="e">
        <f t="shared" si="63"/>
        <v>#REF!</v>
      </c>
    </row>
    <row r="419" spans="5:15">
      <c r="E419">
        <v>46.5</v>
      </c>
      <c r="G419" s="977" t="e">
        <f t="shared" si="64"/>
        <v>#REF!</v>
      </c>
      <c r="N419">
        <v>46.5</v>
      </c>
      <c r="O419" s="977" t="e">
        <f t="shared" si="63"/>
        <v>#REF!</v>
      </c>
    </row>
    <row r="420" spans="5:15">
      <c r="E420">
        <v>47</v>
      </c>
      <c r="G420" s="977" t="e">
        <f t="shared" si="64"/>
        <v>#REF!</v>
      </c>
      <c r="N420">
        <v>47</v>
      </c>
      <c r="O420" s="977" t="e">
        <f t="shared" si="63"/>
        <v>#REF!</v>
      </c>
    </row>
    <row r="421" spans="5:15">
      <c r="E421">
        <v>47.5</v>
      </c>
      <c r="G421" s="977" t="e">
        <f t="shared" si="64"/>
        <v>#REF!</v>
      </c>
      <c r="N421">
        <v>47.5</v>
      </c>
      <c r="O421" s="977" t="e">
        <f t="shared" si="63"/>
        <v>#REF!</v>
      </c>
    </row>
    <row r="422" spans="5:15">
      <c r="E422">
        <v>48</v>
      </c>
      <c r="G422" s="977" t="e">
        <f t="shared" si="64"/>
        <v>#REF!</v>
      </c>
      <c r="N422">
        <v>48</v>
      </c>
      <c r="O422" s="977" t="e">
        <f t="shared" si="63"/>
        <v>#REF!</v>
      </c>
    </row>
    <row r="423" spans="5:15">
      <c r="E423">
        <v>48.5</v>
      </c>
      <c r="G423" s="977" t="e">
        <f t="shared" si="64"/>
        <v>#REF!</v>
      </c>
      <c r="N423">
        <v>48.5</v>
      </c>
      <c r="O423" s="977" t="e">
        <f t="shared" si="63"/>
        <v>#REF!</v>
      </c>
    </row>
    <row r="424" spans="5:15">
      <c r="E424">
        <v>49</v>
      </c>
      <c r="G424" s="977" t="e">
        <f t="shared" si="64"/>
        <v>#REF!</v>
      </c>
      <c r="N424">
        <v>49</v>
      </c>
      <c r="O424" s="977" t="e">
        <f t="shared" si="63"/>
        <v>#REF!</v>
      </c>
    </row>
    <row r="425" spans="5:15">
      <c r="E425">
        <v>49.5</v>
      </c>
      <c r="G425" s="977" t="e">
        <f t="shared" si="64"/>
        <v>#REF!</v>
      </c>
      <c r="N425">
        <v>49.5</v>
      </c>
      <c r="O425" s="977" t="e">
        <f t="shared" si="63"/>
        <v>#REF!</v>
      </c>
    </row>
    <row r="426" spans="5:15">
      <c r="E426">
        <v>50</v>
      </c>
      <c r="G426" s="977" t="e">
        <f t="shared" si="64"/>
        <v>#REF!</v>
      </c>
      <c r="N426">
        <v>50</v>
      </c>
      <c r="O426" s="977" t="e">
        <f t="shared" si="63"/>
        <v>#REF!</v>
      </c>
    </row>
    <row r="427" spans="5:15">
      <c r="E427">
        <v>50.5</v>
      </c>
      <c r="G427" s="977" t="e">
        <f t="shared" si="64"/>
        <v>#REF!</v>
      </c>
      <c r="N427">
        <v>50.5</v>
      </c>
      <c r="O427" s="977" t="e">
        <f t="shared" si="63"/>
        <v>#REF!</v>
      </c>
    </row>
    <row r="428" spans="5:15">
      <c r="E428">
        <v>51</v>
      </c>
      <c r="G428" s="977" t="e">
        <f t="shared" si="64"/>
        <v>#REF!</v>
      </c>
      <c r="N428">
        <v>51</v>
      </c>
      <c r="O428" s="977" t="e">
        <f t="shared" si="63"/>
        <v>#REF!</v>
      </c>
    </row>
    <row r="429" spans="5:15">
      <c r="E429">
        <v>51.5</v>
      </c>
      <c r="G429" s="977" t="e">
        <f t="shared" si="64"/>
        <v>#REF!</v>
      </c>
      <c r="N429">
        <v>51.5</v>
      </c>
      <c r="O429" s="977" t="e">
        <f t="shared" si="63"/>
        <v>#REF!</v>
      </c>
    </row>
    <row r="430" spans="5:15">
      <c r="E430">
        <v>52</v>
      </c>
      <c r="G430" s="977" t="e">
        <f t="shared" si="64"/>
        <v>#REF!</v>
      </c>
      <c r="N430">
        <v>52</v>
      </c>
      <c r="O430" s="977" t="e">
        <f t="shared" si="63"/>
        <v>#REF!</v>
      </c>
    </row>
    <row r="431" spans="5:15">
      <c r="E431">
        <v>52.5</v>
      </c>
      <c r="G431" s="977" t="e">
        <f t="shared" si="64"/>
        <v>#REF!</v>
      </c>
      <c r="N431">
        <v>52.5</v>
      </c>
      <c r="O431" s="977" t="e">
        <f t="shared" si="63"/>
        <v>#REF!</v>
      </c>
    </row>
    <row r="432" spans="5:15">
      <c r="E432">
        <v>53</v>
      </c>
      <c r="G432" s="977" t="e">
        <f t="shared" si="64"/>
        <v>#REF!</v>
      </c>
      <c r="N432">
        <v>53</v>
      </c>
      <c r="O432" s="977" t="e">
        <f t="shared" si="63"/>
        <v>#REF!</v>
      </c>
    </row>
    <row r="433" spans="5:15">
      <c r="E433">
        <v>53.5</v>
      </c>
      <c r="G433" s="977" t="e">
        <f t="shared" si="64"/>
        <v>#REF!</v>
      </c>
      <c r="N433">
        <v>53.5</v>
      </c>
      <c r="O433" s="977" t="e">
        <f t="shared" si="63"/>
        <v>#REF!</v>
      </c>
    </row>
    <row r="434" spans="5:15">
      <c r="E434">
        <v>54</v>
      </c>
      <c r="G434" s="977" t="e">
        <f t="shared" si="64"/>
        <v>#REF!</v>
      </c>
      <c r="N434">
        <v>54</v>
      </c>
      <c r="O434" s="977" t="e">
        <f t="shared" si="63"/>
        <v>#REF!</v>
      </c>
    </row>
    <row r="435" spans="5:15">
      <c r="E435">
        <v>54.5</v>
      </c>
      <c r="G435" s="977" t="e">
        <f t="shared" si="64"/>
        <v>#REF!</v>
      </c>
      <c r="N435">
        <v>54.5</v>
      </c>
      <c r="O435" s="977" t="e">
        <f t="shared" si="63"/>
        <v>#REF!</v>
      </c>
    </row>
    <row r="436" spans="5:15">
      <c r="E436">
        <v>55</v>
      </c>
      <c r="G436" s="977" t="e">
        <f t="shared" si="64"/>
        <v>#REF!</v>
      </c>
      <c r="N436">
        <v>55</v>
      </c>
      <c r="O436" s="977" t="e">
        <f t="shared" si="63"/>
        <v>#REF!</v>
      </c>
    </row>
    <row r="437" spans="5:15">
      <c r="E437">
        <v>55.5</v>
      </c>
      <c r="G437" s="977" t="e">
        <f t="shared" si="64"/>
        <v>#REF!</v>
      </c>
      <c r="H437" s="977"/>
      <c r="N437">
        <v>55.5</v>
      </c>
      <c r="O437" s="977" t="e">
        <f t="shared" si="63"/>
        <v>#REF!</v>
      </c>
    </row>
    <row r="438" spans="5:15">
      <c r="E438">
        <v>56</v>
      </c>
      <c r="H438" s="977">
        <f>$G$283</f>
        <v>30.574309610052783</v>
      </c>
      <c r="N438">
        <v>56</v>
      </c>
      <c r="O438" s="977" t="e">
        <f t="shared" si="63"/>
        <v>#REF!</v>
      </c>
    </row>
    <row r="439" spans="5:15">
      <c r="E439">
        <v>56.5</v>
      </c>
      <c r="H439" s="977">
        <f t="shared" ref="H439:H449" si="65">$G$283</f>
        <v>30.574309610052783</v>
      </c>
      <c r="N439">
        <v>56.5</v>
      </c>
      <c r="O439" s="977" t="e">
        <f t="shared" si="63"/>
        <v>#REF!</v>
      </c>
    </row>
    <row r="440" spans="5:15">
      <c r="E440">
        <v>57</v>
      </c>
      <c r="H440" s="977">
        <f t="shared" si="65"/>
        <v>30.574309610052783</v>
      </c>
      <c r="N440">
        <v>57</v>
      </c>
      <c r="O440" s="977" t="e">
        <f t="shared" si="63"/>
        <v>#REF!</v>
      </c>
    </row>
    <row r="441" spans="5:15">
      <c r="E441">
        <v>57.5</v>
      </c>
      <c r="H441" s="977">
        <f t="shared" si="65"/>
        <v>30.574309610052783</v>
      </c>
      <c r="N441">
        <v>57.5</v>
      </c>
      <c r="O441" s="977" t="e">
        <f t="shared" si="63"/>
        <v>#REF!</v>
      </c>
    </row>
    <row r="442" spans="5:15">
      <c r="E442">
        <v>58</v>
      </c>
      <c r="H442" s="977">
        <f t="shared" si="65"/>
        <v>30.574309610052783</v>
      </c>
      <c r="N442">
        <v>58</v>
      </c>
      <c r="O442" s="977" t="e">
        <f t="shared" si="63"/>
        <v>#REF!</v>
      </c>
    </row>
    <row r="443" spans="5:15">
      <c r="E443">
        <v>58.5</v>
      </c>
      <c r="H443" s="977">
        <f t="shared" si="65"/>
        <v>30.574309610052783</v>
      </c>
      <c r="N443">
        <v>58.5</v>
      </c>
      <c r="O443" s="977" t="e">
        <f t="shared" si="63"/>
        <v>#REF!</v>
      </c>
    </row>
    <row r="444" spans="5:15">
      <c r="E444">
        <v>59</v>
      </c>
      <c r="H444" s="977">
        <f t="shared" si="65"/>
        <v>30.574309610052783</v>
      </c>
      <c r="N444">
        <v>59</v>
      </c>
      <c r="O444" s="977" t="e">
        <f t="shared" si="63"/>
        <v>#REF!</v>
      </c>
    </row>
    <row r="445" spans="5:15">
      <c r="E445">
        <v>59.5</v>
      </c>
      <c r="H445" s="977">
        <f t="shared" si="65"/>
        <v>30.574309610052783</v>
      </c>
      <c r="N445">
        <v>59.5</v>
      </c>
      <c r="O445" s="977" t="e">
        <f t="shared" si="63"/>
        <v>#REF!</v>
      </c>
    </row>
    <row r="446" spans="5:15">
      <c r="E446">
        <v>60</v>
      </c>
      <c r="H446" s="977">
        <f t="shared" si="65"/>
        <v>30.574309610052783</v>
      </c>
      <c r="N446">
        <v>60</v>
      </c>
      <c r="O446" s="977" t="e">
        <f t="shared" si="63"/>
        <v>#REF!</v>
      </c>
    </row>
    <row r="447" spans="5:15">
      <c r="E447">
        <v>60.5</v>
      </c>
      <c r="H447" s="977">
        <f t="shared" si="65"/>
        <v>30.574309610052783</v>
      </c>
      <c r="N447">
        <v>60.5</v>
      </c>
      <c r="O447" s="977" t="e">
        <f t="shared" si="63"/>
        <v>#REF!</v>
      </c>
    </row>
    <row r="448" spans="5:15">
      <c r="E448">
        <v>61</v>
      </c>
      <c r="H448" s="977">
        <f t="shared" si="65"/>
        <v>30.574309610052783</v>
      </c>
      <c r="N448">
        <v>61</v>
      </c>
      <c r="O448" s="977" t="e">
        <f t="shared" si="63"/>
        <v>#REF!</v>
      </c>
    </row>
    <row r="449" spans="5:15">
      <c r="E449">
        <v>61.5</v>
      </c>
      <c r="H449" s="977">
        <f t="shared" si="65"/>
        <v>30.574309610052783</v>
      </c>
      <c r="N449">
        <v>61.5</v>
      </c>
      <c r="O449" s="977" t="e">
        <f t="shared" si="63"/>
        <v>#REF!</v>
      </c>
    </row>
    <row r="450" spans="5:15">
      <c r="E450">
        <v>62</v>
      </c>
      <c r="I450" s="977">
        <f>$G$284</f>
        <v>72.569417929579345</v>
      </c>
      <c r="N450">
        <v>62</v>
      </c>
      <c r="O450" s="977" t="e">
        <f t="shared" si="63"/>
        <v>#REF!</v>
      </c>
    </row>
    <row r="451" spans="5:15">
      <c r="E451">
        <v>62.5</v>
      </c>
      <c r="I451" s="977">
        <f t="shared" ref="I451:I456" si="66">$G$284</f>
        <v>72.569417929579345</v>
      </c>
      <c r="N451">
        <v>62.5</v>
      </c>
      <c r="O451" s="977" t="e">
        <f t="shared" si="63"/>
        <v>#REF!</v>
      </c>
    </row>
    <row r="452" spans="5:15">
      <c r="E452">
        <v>63</v>
      </c>
      <c r="I452" s="977">
        <f t="shared" si="66"/>
        <v>72.569417929579345</v>
      </c>
      <c r="N452">
        <v>63</v>
      </c>
      <c r="O452" s="977" t="e">
        <f t="shared" si="63"/>
        <v>#REF!</v>
      </c>
    </row>
    <row r="453" spans="5:15">
      <c r="E453">
        <v>63.5</v>
      </c>
      <c r="I453" s="977">
        <f t="shared" si="66"/>
        <v>72.569417929579345</v>
      </c>
      <c r="N453">
        <v>63.5</v>
      </c>
      <c r="O453" s="977" t="e">
        <f t="shared" si="63"/>
        <v>#REF!</v>
      </c>
    </row>
    <row r="454" spans="5:15">
      <c r="E454">
        <v>64</v>
      </c>
      <c r="I454" s="977">
        <f t="shared" si="66"/>
        <v>72.569417929579345</v>
      </c>
      <c r="N454">
        <v>64</v>
      </c>
      <c r="O454" s="977" t="e">
        <f t="shared" si="63"/>
        <v>#REF!</v>
      </c>
    </row>
    <row r="455" spans="5:15">
      <c r="E455">
        <v>64.5</v>
      </c>
      <c r="I455" s="977">
        <f t="shared" si="66"/>
        <v>72.569417929579345</v>
      </c>
      <c r="N455">
        <v>64.5</v>
      </c>
      <c r="O455" s="977" t="e">
        <f t="shared" si="63"/>
        <v>#REF!</v>
      </c>
    </row>
    <row r="456" spans="5:15">
      <c r="E456">
        <v>65</v>
      </c>
      <c r="I456" s="977">
        <f t="shared" si="66"/>
        <v>72.569417929579345</v>
      </c>
      <c r="N456">
        <v>65</v>
      </c>
      <c r="O456" s="977" t="e">
        <f t="shared" ref="O456:O496" si="67">$G$292</f>
        <v>#REF!</v>
      </c>
    </row>
    <row r="457" spans="5:15">
      <c r="E457">
        <v>65.5</v>
      </c>
      <c r="I457" s="977"/>
      <c r="J457" s="977" t="e">
        <f>$G$285</f>
        <v>#REF!</v>
      </c>
      <c r="N457">
        <v>65.5</v>
      </c>
      <c r="O457" s="977" t="e">
        <f t="shared" si="67"/>
        <v>#REF!</v>
      </c>
    </row>
    <row r="458" spans="5:15">
      <c r="E458">
        <v>66</v>
      </c>
      <c r="I458" s="977"/>
      <c r="J458" s="977" t="e">
        <f t="shared" ref="J458:J469" si="68">$G$285</f>
        <v>#REF!</v>
      </c>
      <c r="N458">
        <v>66</v>
      </c>
      <c r="O458" s="977" t="e">
        <f t="shared" si="67"/>
        <v>#REF!</v>
      </c>
    </row>
    <row r="459" spans="5:15">
      <c r="E459">
        <v>66.5</v>
      </c>
      <c r="I459" s="977"/>
      <c r="J459" s="977" t="e">
        <f t="shared" si="68"/>
        <v>#REF!</v>
      </c>
      <c r="N459">
        <v>66.5</v>
      </c>
      <c r="O459" s="977" t="e">
        <f t="shared" si="67"/>
        <v>#REF!</v>
      </c>
    </row>
    <row r="460" spans="5:15">
      <c r="E460">
        <v>67</v>
      </c>
      <c r="I460" s="977"/>
      <c r="J460" s="977" t="e">
        <f t="shared" si="68"/>
        <v>#REF!</v>
      </c>
      <c r="N460">
        <v>67</v>
      </c>
      <c r="O460" s="977" t="e">
        <f t="shared" si="67"/>
        <v>#REF!</v>
      </c>
    </row>
    <row r="461" spans="5:15">
      <c r="E461">
        <v>67.5</v>
      </c>
      <c r="I461" s="977"/>
      <c r="J461" s="977" t="e">
        <f t="shared" si="68"/>
        <v>#REF!</v>
      </c>
      <c r="N461">
        <v>67.5</v>
      </c>
      <c r="O461" s="977" t="e">
        <f t="shared" si="67"/>
        <v>#REF!</v>
      </c>
    </row>
    <row r="462" spans="5:15">
      <c r="E462">
        <v>68</v>
      </c>
      <c r="I462" s="977"/>
      <c r="J462" s="977" t="e">
        <f t="shared" si="68"/>
        <v>#REF!</v>
      </c>
      <c r="N462">
        <v>68</v>
      </c>
      <c r="O462" s="977" t="e">
        <f t="shared" si="67"/>
        <v>#REF!</v>
      </c>
    </row>
    <row r="463" spans="5:15">
      <c r="E463">
        <v>68.5</v>
      </c>
      <c r="I463" s="977"/>
      <c r="J463" s="977" t="e">
        <f t="shared" si="68"/>
        <v>#REF!</v>
      </c>
      <c r="N463">
        <v>68.5</v>
      </c>
      <c r="O463" s="977" t="e">
        <f t="shared" si="67"/>
        <v>#REF!</v>
      </c>
    </row>
    <row r="464" spans="5:15">
      <c r="E464">
        <v>69</v>
      </c>
      <c r="I464" s="977"/>
      <c r="J464" s="977" t="e">
        <f t="shared" si="68"/>
        <v>#REF!</v>
      </c>
      <c r="N464">
        <v>69</v>
      </c>
      <c r="O464" s="977" t="e">
        <f t="shared" si="67"/>
        <v>#REF!</v>
      </c>
    </row>
    <row r="465" spans="5:15">
      <c r="E465">
        <v>69.5</v>
      </c>
      <c r="I465" s="977"/>
      <c r="J465" s="977" t="e">
        <f t="shared" si="68"/>
        <v>#REF!</v>
      </c>
      <c r="N465">
        <v>69.5</v>
      </c>
      <c r="O465" s="977" t="e">
        <f t="shared" si="67"/>
        <v>#REF!</v>
      </c>
    </row>
    <row r="466" spans="5:15">
      <c r="E466">
        <v>70</v>
      </c>
      <c r="J466" s="977" t="e">
        <f t="shared" si="68"/>
        <v>#REF!</v>
      </c>
      <c r="N466">
        <v>70</v>
      </c>
      <c r="O466" s="977" t="e">
        <f t="shared" si="67"/>
        <v>#REF!</v>
      </c>
    </row>
    <row r="467" spans="5:15">
      <c r="E467">
        <v>70.5</v>
      </c>
      <c r="J467" s="977" t="e">
        <f t="shared" si="68"/>
        <v>#REF!</v>
      </c>
      <c r="N467">
        <v>70.5</v>
      </c>
      <c r="O467" s="977" t="e">
        <f t="shared" si="67"/>
        <v>#REF!</v>
      </c>
    </row>
    <row r="468" spans="5:15">
      <c r="E468">
        <v>71</v>
      </c>
      <c r="J468" s="977" t="e">
        <f t="shared" si="68"/>
        <v>#REF!</v>
      </c>
      <c r="N468">
        <v>71</v>
      </c>
      <c r="O468" s="977" t="e">
        <f t="shared" si="67"/>
        <v>#REF!</v>
      </c>
    </row>
    <row r="469" spans="5:15">
      <c r="E469">
        <v>71.5</v>
      </c>
      <c r="J469" s="977" t="e">
        <f t="shared" si="68"/>
        <v>#REF!</v>
      </c>
      <c r="N469">
        <v>71.5</v>
      </c>
      <c r="O469" s="977" t="e">
        <f t="shared" si="67"/>
        <v>#REF!</v>
      </c>
    </row>
    <row r="470" spans="5:15">
      <c r="E470">
        <v>72</v>
      </c>
      <c r="K470" s="977" t="e">
        <f>$G$286</f>
        <v>#REF!</v>
      </c>
      <c r="N470">
        <v>72</v>
      </c>
      <c r="O470" s="977" t="e">
        <f t="shared" si="67"/>
        <v>#REF!</v>
      </c>
    </row>
    <row r="471" spans="5:15">
      <c r="E471">
        <v>72.5</v>
      </c>
      <c r="K471" s="977" t="e">
        <f t="shared" ref="K471:K491" si="69">$G$286</f>
        <v>#REF!</v>
      </c>
      <c r="N471">
        <v>72.5</v>
      </c>
      <c r="O471" s="977" t="e">
        <f t="shared" si="67"/>
        <v>#REF!</v>
      </c>
    </row>
    <row r="472" spans="5:15">
      <c r="E472">
        <v>73</v>
      </c>
      <c r="K472" s="977" t="e">
        <f t="shared" si="69"/>
        <v>#REF!</v>
      </c>
      <c r="N472">
        <v>73</v>
      </c>
      <c r="O472" s="977" t="e">
        <f t="shared" si="67"/>
        <v>#REF!</v>
      </c>
    </row>
    <row r="473" spans="5:15">
      <c r="E473">
        <v>73.5</v>
      </c>
      <c r="K473" s="977" t="e">
        <f t="shared" si="69"/>
        <v>#REF!</v>
      </c>
      <c r="N473">
        <v>73.5</v>
      </c>
      <c r="O473" s="977" t="e">
        <f t="shared" si="67"/>
        <v>#REF!</v>
      </c>
    </row>
    <row r="474" spans="5:15">
      <c r="E474">
        <v>74</v>
      </c>
      <c r="K474" s="977" t="e">
        <f t="shared" si="69"/>
        <v>#REF!</v>
      </c>
      <c r="N474">
        <v>74</v>
      </c>
      <c r="O474" s="977" t="e">
        <f t="shared" si="67"/>
        <v>#REF!</v>
      </c>
    </row>
    <row r="475" spans="5:15">
      <c r="E475">
        <v>74.5</v>
      </c>
      <c r="K475" s="977" t="e">
        <f t="shared" si="69"/>
        <v>#REF!</v>
      </c>
      <c r="N475">
        <v>74.5</v>
      </c>
      <c r="O475" s="977" t="e">
        <f t="shared" si="67"/>
        <v>#REF!</v>
      </c>
    </row>
    <row r="476" spans="5:15">
      <c r="E476">
        <v>75</v>
      </c>
      <c r="K476" s="977" t="e">
        <f t="shared" si="69"/>
        <v>#REF!</v>
      </c>
      <c r="N476">
        <v>75</v>
      </c>
      <c r="O476" s="977" t="e">
        <f t="shared" si="67"/>
        <v>#REF!</v>
      </c>
    </row>
    <row r="477" spans="5:15">
      <c r="E477">
        <v>75.5</v>
      </c>
      <c r="K477" s="977" t="e">
        <f t="shared" si="69"/>
        <v>#REF!</v>
      </c>
      <c r="N477">
        <v>75.5</v>
      </c>
      <c r="O477" s="977" t="e">
        <f t="shared" si="67"/>
        <v>#REF!</v>
      </c>
    </row>
    <row r="478" spans="5:15">
      <c r="E478">
        <v>76</v>
      </c>
      <c r="K478" s="977" t="e">
        <f t="shared" si="69"/>
        <v>#REF!</v>
      </c>
      <c r="N478">
        <v>76</v>
      </c>
      <c r="O478" s="977" t="e">
        <f t="shared" si="67"/>
        <v>#REF!</v>
      </c>
    </row>
    <row r="479" spans="5:15">
      <c r="E479">
        <v>76.5</v>
      </c>
      <c r="K479" s="977" t="e">
        <f t="shared" si="69"/>
        <v>#REF!</v>
      </c>
      <c r="N479">
        <v>76.5</v>
      </c>
      <c r="O479" s="977" t="e">
        <f t="shared" si="67"/>
        <v>#REF!</v>
      </c>
    </row>
    <row r="480" spans="5:15">
      <c r="E480">
        <v>77</v>
      </c>
      <c r="K480" s="977" t="e">
        <f t="shared" si="69"/>
        <v>#REF!</v>
      </c>
      <c r="N480">
        <v>77</v>
      </c>
      <c r="O480" s="977" t="e">
        <f t="shared" si="67"/>
        <v>#REF!</v>
      </c>
    </row>
    <row r="481" spans="5:15">
      <c r="E481">
        <v>77.5</v>
      </c>
      <c r="K481" s="977" t="e">
        <f t="shared" si="69"/>
        <v>#REF!</v>
      </c>
      <c r="N481">
        <v>77.5</v>
      </c>
      <c r="O481" s="977" t="e">
        <f t="shared" si="67"/>
        <v>#REF!</v>
      </c>
    </row>
    <row r="482" spans="5:15">
      <c r="E482">
        <v>78</v>
      </c>
      <c r="K482" s="977" t="e">
        <f t="shared" si="69"/>
        <v>#REF!</v>
      </c>
      <c r="N482">
        <v>78</v>
      </c>
      <c r="O482" s="977" t="e">
        <f t="shared" si="67"/>
        <v>#REF!</v>
      </c>
    </row>
    <row r="483" spans="5:15">
      <c r="E483">
        <v>78.5</v>
      </c>
      <c r="K483" s="977" t="e">
        <f t="shared" si="69"/>
        <v>#REF!</v>
      </c>
      <c r="N483">
        <v>78.5</v>
      </c>
      <c r="O483" s="977" t="e">
        <f t="shared" si="67"/>
        <v>#REF!</v>
      </c>
    </row>
    <row r="484" spans="5:15">
      <c r="E484">
        <v>79</v>
      </c>
      <c r="K484" s="977" t="e">
        <f t="shared" si="69"/>
        <v>#REF!</v>
      </c>
      <c r="N484">
        <v>79</v>
      </c>
      <c r="O484" s="977" t="e">
        <f t="shared" si="67"/>
        <v>#REF!</v>
      </c>
    </row>
    <row r="485" spans="5:15">
      <c r="E485">
        <v>79.5</v>
      </c>
      <c r="K485" s="977" t="e">
        <f t="shared" si="69"/>
        <v>#REF!</v>
      </c>
      <c r="N485">
        <v>79.5</v>
      </c>
      <c r="O485" s="977" t="e">
        <f t="shared" si="67"/>
        <v>#REF!</v>
      </c>
    </row>
    <row r="486" spans="5:15">
      <c r="E486">
        <v>80</v>
      </c>
      <c r="K486" s="977" t="e">
        <f t="shared" si="69"/>
        <v>#REF!</v>
      </c>
      <c r="N486">
        <v>80</v>
      </c>
      <c r="O486" s="977" t="e">
        <f t="shared" si="67"/>
        <v>#REF!</v>
      </c>
    </row>
    <row r="487" spans="5:15">
      <c r="E487">
        <v>80.5</v>
      </c>
      <c r="K487" s="977" t="e">
        <f t="shared" si="69"/>
        <v>#REF!</v>
      </c>
      <c r="N487">
        <v>80.5</v>
      </c>
      <c r="O487" s="977" t="e">
        <f t="shared" si="67"/>
        <v>#REF!</v>
      </c>
    </row>
    <row r="488" spans="5:15">
      <c r="E488">
        <v>81</v>
      </c>
      <c r="K488" s="977" t="e">
        <f t="shared" si="69"/>
        <v>#REF!</v>
      </c>
      <c r="N488">
        <v>81</v>
      </c>
      <c r="O488" s="977" t="e">
        <f t="shared" si="67"/>
        <v>#REF!</v>
      </c>
    </row>
    <row r="489" spans="5:15">
      <c r="E489">
        <v>81.5</v>
      </c>
      <c r="K489" s="977" t="e">
        <f t="shared" si="69"/>
        <v>#REF!</v>
      </c>
      <c r="N489">
        <v>81.5</v>
      </c>
      <c r="O489" s="977" t="e">
        <f t="shared" si="67"/>
        <v>#REF!</v>
      </c>
    </row>
    <row r="490" spans="5:15">
      <c r="E490">
        <v>82</v>
      </c>
      <c r="K490" s="977" t="e">
        <f t="shared" si="69"/>
        <v>#REF!</v>
      </c>
      <c r="N490">
        <v>82</v>
      </c>
      <c r="O490" s="977" t="e">
        <f t="shared" si="67"/>
        <v>#REF!</v>
      </c>
    </row>
    <row r="491" spans="5:15">
      <c r="E491">
        <v>82.5</v>
      </c>
      <c r="K491" s="977" t="e">
        <f t="shared" si="69"/>
        <v>#REF!</v>
      </c>
      <c r="N491">
        <v>82.5</v>
      </c>
      <c r="O491" s="977" t="e">
        <f t="shared" si="67"/>
        <v>#REF!</v>
      </c>
    </row>
    <row r="492" spans="5:15">
      <c r="N492">
        <v>83</v>
      </c>
      <c r="O492" s="977" t="e">
        <f t="shared" si="67"/>
        <v>#REF!</v>
      </c>
    </row>
    <row r="493" spans="5:15">
      <c r="N493">
        <v>83.5</v>
      </c>
      <c r="O493" s="977" t="e">
        <f t="shared" si="67"/>
        <v>#REF!</v>
      </c>
    </row>
    <row r="494" spans="5:15">
      <c r="N494">
        <v>84</v>
      </c>
      <c r="O494" s="977" t="e">
        <f t="shared" si="67"/>
        <v>#REF!</v>
      </c>
    </row>
    <row r="495" spans="5:15">
      <c r="N495">
        <v>84.5</v>
      </c>
      <c r="O495" s="977" t="e">
        <f t="shared" si="67"/>
        <v>#REF!</v>
      </c>
    </row>
    <row r="496" spans="5:15">
      <c r="N496">
        <v>85</v>
      </c>
      <c r="O496" s="977" t="e">
        <f t="shared" si="67"/>
        <v>#REF!</v>
      </c>
    </row>
    <row r="497" spans="14:16">
      <c r="N497">
        <v>85.5</v>
      </c>
      <c r="O497" s="977"/>
      <c r="P497" s="977" t="e">
        <f>$G$293</f>
        <v>#REF!</v>
      </c>
    </row>
    <row r="498" spans="14:16">
      <c r="N498">
        <v>86</v>
      </c>
      <c r="O498" s="977"/>
      <c r="P498" s="977" t="e">
        <f t="shared" ref="P498:P531" si="70">$G$293</f>
        <v>#REF!</v>
      </c>
    </row>
    <row r="499" spans="14:16">
      <c r="N499">
        <v>86.5</v>
      </c>
      <c r="O499" s="977"/>
      <c r="P499" s="977" t="e">
        <f t="shared" si="70"/>
        <v>#REF!</v>
      </c>
    </row>
    <row r="500" spans="14:16">
      <c r="N500">
        <v>87</v>
      </c>
      <c r="O500" s="977"/>
      <c r="P500" s="977" t="e">
        <f t="shared" si="70"/>
        <v>#REF!</v>
      </c>
    </row>
    <row r="501" spans="14:16">
      <c r="N501">
        <v>87.5</v>
      </c>
      <c r="O501" s="977"/>
      <c r="P501" s="977" t="e">
        <f t="shared" si="70"/>
        <v>#REF!</v>
      </c>
    </row>
    <row r="502" spans="14:16">
      <c r="N502">
        <v>88</v>
      </c>
      <c r="O502" s="977"/>
      <c r="P502" s="977" t="e">
        <f t="shared" si="70"/>
        <v>#REF!</v>
      </c>
    </row>
    <row r="503" spans="14:16">
      <c r="N503">
        <v>88.5</v>
      </c>
      <c r="O503" s="977"/>
      <c r="P503" s="977" t="e">
        <f t="shared" si="70"/>
        <v>#REF!</v>
      </c>
    </row>
    <row r="504" spans="14:16">
      <c r="N504">
        <v>89</v>
      </c>
      <c r="O504" s="977"/>
      <c r="P504" s="977" t="e">
        <f t="shared" si="70"/>
        <v>#REF!</v>
      </c>
    </row>
    <row r="505" spans="14:16">
      <c r="N505">
        <v>89.5</v>
      </c>
      <c r="O505" s="977"/>
      <c r="P505" s="977" t="e">
        <f t="shared" si="70"/>
        <v>#REF!</v>
      </c>
    </row>
    <row r="506" spans="14:16">
      <c r="N506">
        <v>90</v>
      </c>
      <c r="O506" s="977"/>
      <c r="P506" s="977" t="e">
        <f t="shared" si="70"/>
        <v>#REF!</v>
      </c>
    </row>
    <row r="507" spans="14:16">
      <c r="N507">
        <v>90.5</v>
      </c>
      <c r="O507" s="977"/>
      <c r="P507" s="977" t="e">
        <f t="shared" si="70"/>
        <v>#REF!</v>
      </c>
    </row>
    <row r="508" spans="14:16">
      <c r="N508">
        <v>91</v>
      </c>
      <c r="O508" s="977"/>
      <c r="P508" s="977" t="e">
        <f t="shared" si="70"/>
        <v>#REF!</v>
      </c>
    </row>
    <row r="509" spans="14:16">
      <c r="N509">
        <v>91.5</v>
      </c>
      <c r="O509" s="977"/>
      <c r="P509" s="977" t="e">
        <f t="shared" si="70"/>
        <v>#REF!</v>
      </c>
    </row>
    <row r="510" spans="14:16">
      <c r="N510">
        <v>92</v>
      </c>
      <c r="O510" s="977"/>
      <c r="P510" s="977" t="e">
        <f t="shared" si="70"/>
        <v>#REF!</v>
      </c>
    </row>
    <row r="511" spans="14:16">
      <c r="N511">
        <v>92.5</v>
      </c>
      <c r="O511" s="977"/>
      <c r="P511" s="977" t="e">
        <f t="shared" si="70"/>
        <v>#REF!</v>
      </c>
    </row>
    <row r="512" spans="14:16">
      <c r="N512">
        <v>93</v>
      </c>
      <c r="O512" s="977"/>
      <c r="P512" s="977" t="e">
        <f t="shared" si="70"/>
        <v>#REF!</v>
      </c>
    </row>
    <row r="513" spans="14:17">
      <c r="N513">
        <v>93.5</v>
      </c>
      <c r="O513" s="977"/>
      <c r="P513" s="977" t="e">
        <f t="shared" si="70"/>
        <v>#REF!</v>
      </c>
      <c r="Q513" s="977"/>
    </row>
    <row r="514" spans="14:17">
      <c r="N514">
        <v>94</v>
      </c>
      <c r="O514" s="977"/>
      <c r="P514" s="977" t="e">
        <f t="shared" si="70"/>
        <v>#REF!</v>
      </c>
      <c r="Q514" s="977"/>
    </row>
    <row r="515" spans="14:17">
      <c r="N515">
        <v>94.5</v>
      </c>
      <c r="O515" s="977"/>
      <c r="P515" s="977" t="e">
        <f t="shared" si="70"/>
        <v>#REF!</v>
      </c>
      <c r="Q515" s="977"/>
    </row>
    <row r="516" spans="14:17">
      <c r="N516">
        <v>95</v>
      </c>
      <c r="O516" s="977"/>
      <c r="P516" s="977" t="e">
        <f t="shared" si="70"/>
        <v>#REF!</v>
      </c>
      <c r="Q516" s="977"/>
    </row>
    <row r="517" spans="14:17">
      <c r="N517">
        <v>95.5</v>
      </c>
      <c r="O517" s="977"/>
      <c r="P517" s="977" t="e">
        <f t="shared" si="70"/>
        <v>#REF!</v>
      </c>
      <c r="Q517" s="977"/>
    </row>
    <row r="518" spans="14:17">
      <c r="N518">
        <v>96</v>
      </c>
      <c r="O518" s="977"/>
      <c r="P518" s="977" t="e">
        <f t="shared" si="70"/>
        <v>#REF!</v>
      </c>
      <c r="Q518" s="977"/>
    </row>
    <row r="519" spans="14:17">
      <c r="N519">
        <v>96.5</v>
      </c>
      <c r="O519" s="977"/>
      <c r="P519" s="977" t="e">
        <f t="shared" si="70"/>
        <v>#REF!</v>
      </c>
      <c r="Q519" s="977"/>
    </row>
    <row r="520" spans="14:17">
      <c r="N520">
        <v>97</v>
      </c>
      <c r="O520" s="977"/>
      <c r="P520" s="977" t="e">
        <f t="shared" si="70"/>
        <v>#REF!</v>
      </c>
      <c r="Q520" s="977"/>
    </row>
    <row r="521" spans="14:17">
      <c r="N521">
        <v>97.5</v>
      </c>
      <c r="O521" s="977"/>
      <c r="P521" s="977" t="e">
        <f t="shared" si="70"/>
        <v>#REF!</v>
      </c>
      <c r="Q521" s="977"/>
    </row>
    <row r="522" spans="14:17">
      <c r="N522">
        <v>98</v>
      </c>
      <c r="O522" s="977"/>
      <c r="P522" s="977" t="e">
        <f t="shared" si="70"/>
        <v>#REF!</v>
      </c>
      <c r="Q522" s="977"/>
    </row>
    <row r="523" spans="14:17">
      <c r="N523">
        <v>98.5</v>
      </c>
      <c r="O523" s="977"/>
      <c r="P523" s="977" t="e">
        <f t="shared" si="70"/>
        <v>#REF!</v>
      </c>
      <c r="Q523" s="977"/>
    </row>
    <row r="524" spans="14:17">
      <c r="N524">
        <v>99</v>
      </c>
      <c r="O524" s="977"/>
      <c r="P524" s="977" t="e">
        <f t="shared" si="70"/>
        <v>#REF!</v>
      </c>
      <c r="Q524" s="977"/>
    </row>
    <row r="525" spans="14:17">
      <c r="N525">
        <v>99.5</v>
      </c>
      <c r="O525" s="977"/>
      <c r="P525" s="977" t="e">
        <f t="shared" si="70"/>
        <v>#REF!</v>
      </c>
      <c r="Q525" s="977"/>
    </row>
    <row r="526" spans="14:17">
      <c r="N526">
        <v>100</v>
      </c>
      <c r="O526" s="977"/>
      <c r="P526" s="977" t="e">
        <f t="shared" si="70"/>
        <v>#REF!</v>
      </c>
      <c r="Q526" s="977"/>
    </row>
    <row r="527" spans="14:17">
      <c r="N527">
        <v>100.5</v>
      </c>
      <c r="O527" s="977"/>
      <c r="P527" s="977" t="e">
        <f t="shared" si="70"/>
        <v>#REF!</v>
      </c>
      <c r="Q527" s="977"/>
    </row>
    <row r="528" spans="14:17">
      <c r="N528">
        <v>101</v>
      </c>
      <c r="O528" s="977"/>
      <c r="P528" s="977" t="e">
        <f t="shared" si="70"/>
        <v>#REF!</v>
      </c>
      <c r="Q528" s="977"/>
    </row>
    <row r="529" spans="14:18">
      <c r="N529">
        <v>101.5</v>
      </c>
      <c r="O529" s="977"/>
      <c r="P529" s="977" t="e">
        <f t="shared" si="70"/>
        <v>#REF!</v>
      </c>
      <c r="Q529" s="977"/>
    </row>
    <row r="530" spans="14:18">
      <c r="N530">
        <v>102</v>
      </c>
      <c r="O530" s="977"/>
      <c r="P530" s="977" t="e">
        <f t="shared" si="70"/>
        <v>#REF!</v>
      </c>
      <c r="Q530" s="977"/>
    </row>
    <row r="531" spans="14:18">
      <c r="N531">
        <v>102.5</v>
      </c>
      <c r="O531" s="977"/>
      <c r="P531" s="977" t="e">
        <f t="shared" si="70"/>
        <v>#REF!</v>
      </c>
      <c r="Q531" s="977"/>
    </row>
    <row r="532" spans="14:18">
      <c r="N532">
        <v>103</v>
      </c>
      <c r="O532" s="977"/>
      <c r="Q532" s="977">
        <f t="shared" ref="Q532:Q535" si="71">$G$294</f>
        <v>56.306088364464749</v>
      </c>
    </row>
    <row r="533" spans="14:18">
      <c r="N533">
        <v>103.5</v>
      </c>
      <c r="O533" s="977"/>
      <c r="Q533" s="977">
        <f t="shared" si="71"/>
        <v>56.306088364464749</v>
      </c>
    </row>
    <row r="534" spans="14:18">
      <c r="N534">
        <v>104</v>
      </c>
      <c r="O534" s="977"/>
      <c r="Q534" s="977">
        <f t="shared" si="71"/>
        <v>56.306088364464749</v>
      </c>
    </row>
    <row r="535" spans="14:18">
      <c r="N535">
        <v>104.5</v>
      </c>
      <c r="O535" s="977"/>
      <c r="Q535" s="977">
        <f t="shared" si="71"/>
        <v>56.306088364464749</v>
      </c>
    </row>
    <row r="536" spans="14:18">
      <c r="N536">
        <v>105</v>
      </c>
      <c r="O536" s="977"/>
      <c r="Q536" s="977"/>
      <c r="R536" s="977">
        <f>$G$295</f>
        <v>223.67308638302552</v>
      </c>
    </row>
    <row r="537" spans="14:18">
      <c r="N537">
        <v>105.5</v>
      </c>
      <c r="O537" s="977"/>
      <c r="R537" s="977">
        <f t="shared" ref="R537:R560" si="72">$G$295</f>
        <v>223.67308638302552</v>
      </c>
    </row>
    <row r="538" spans="14:18">
      <c r="N538">
        <v>106</v>
      </c>
      <c r="O538" s="977"/>
      <c r="R538" s="977">
        <f t="shared" si="72"/>
        <v>223.67308638302552</v>
      </c>
    </row>
    <row r="539" spans="14:18">
      <c r="N539">
        <v>106.5</v>
      </c>
      <c r="O539" s="977"/>
      <c r="R539" s="977">
        <f t="shared" si="72"/>
        <v>223.67308638302552</v>
      </c>
    </row>
    <row r="540" spans="14:18">
      <c r="N540">
        <v>107</v>
      </c>
      <c r="O540" s="977"/>
      <c r="R540" s="977">
        <f t="shared" si="72"/>
        <v>223.67308638302552</v>
      </c>
    </row>
    <row r="541" spans="14:18">
      <c r="N541">
        <v>107.5</v>
      </c>
      <c r="O541" s="977"/>
      <c r="R541" s="977">
        <f t="shared" si="72"/>
        <v>223.67308638302552</v>
      </c>
    </row>
    <row r="542" spans="14:18">
      <c r="N542">
        <v>108</v>
      </c>
      <c r="O542" s="977"/>
      <c r="R542" s="977">
        <f t="shared" si="72"/>
        <v>223.67308638302552</v>
      </c>
    </row>
    <row r="543" spans="14:18">
      <c r="N543">
        <v>108.5</v>
      </c>
      <c r="O543" s="977"/>
      <c r="R543" s="977">
        <f t="shared" si="72"/>
        <v>223.67308638302552</v>
      </c>
    </row>
    <row r="544" spans="14:18">
      <c r="N544">
        <v>109</v>
      </c>
      <c r="O544" s="977"/>
      <c r="R544" s="977">
        <f t="shared" si="72"/>
        <v>223.67308638302552</v>
      </c>
    </row>
    <row r="545" spans="14:19">
      <c r="N545">
        <v>109.5</v>
      </c>
      <c r="O545" s="977"/>
      <c r="R545" s="977">
        <f t="shared" si="72"/>
        <v>223.67308638302552</v>
      </c>
    </row>
    <row r="546" spans="14:19">
      <c r="N546">
        <v>110</v>
      </c>
      <c r="O546" s="977"/>
      <c r="R546" s="977">
        <f t="shared" si="72"/>
        <v>223.67308638302552</v>
      </c>
    </row>
    <row r="547" spans="14:19">
      <c r="N547">
        <v>110.5</v>
      </c>
      <c r="O547" s="977"/>
      <c r="R547" s="977">
        <f t="shared" si="72"/>
        <v>223.67308638302552</v>
      </c>
    </row>
    <row r="548" spans="14:19">
      <c r="N548">
        <v>111</v>
      </c>
      <c r="O548" s="977"/>
      <c r="R548" s="977">
        <f t="shared" si="72"/>
        <v>223.67308638302552</v>
      </c>
    </row>
    <row r="549" spans="14:19">
      <c r="N549">
        <v>111.5</v>
      </c>
      <c r="O549" s="977"/>
      <c r="R549" s="977">
        <f t="shared" si="72"/>
        <v>223.67308638302552</v>
      </c>
    </row>
    <row r="550" spans="14:19">
      <c r="N550">
        <v>112</v>
      </c>
      <c r="O550" s="977"/>
      <c r="R550" s="977">
        <f t="shared" si="72"/>
        <v>223.67308638302552</v>
      </c>
    </row>
    <row r="551" spans="14:19">
      <c r="N551">
        <v>112.5</v>
      </c>
      <c r="O551" s="977"/>
      <c r="R551" s="977">
        <f t="shared" si="72"/>
        <v>223.67308638302552</v>
      </c>
    </row>
    <row r="552" spans="14:19">
      <c r="N552">
        <v>113</v>
      </c>
      <c r="O552" s="977"/>
      <c r="R552" s="977">
        <f t="shared" si="72"/>
        <v>223.67308638302552</v>
      </c>
    </row>
    <row r="553" spans="14:19">
      <c r="N553">
        <v>113.5</v>
      </c>
      <c r="O553" s="977"/>
      <c r="R553" s="977">
        <f t="shared" si="72"/>
        <v>223.67308638302552</v>
      </c>
    </row>
    <row r="554" spans="14:19">
      <c r="N554">
        <v>114</v>
      </c>
      <c r="O554" s="977"/>
      <c r="R554" s="977">
        <f t="shared" si="72"/>
        <v>223.67308638302552</v>
      </c>
    </row>
    <row r="555" spans="14:19">
      <c r="N555">
        <v>114.5</v>
      </c>
      <c r="O555" s="977"/>
      <c r="R555" s="977">
        <f t="shared" si="72"/>
        <v>223.67308638302552</v>
      </c>
    </row>
    <row r="556" spans="14:19">
      <c r="N556">
        <v>115</v>
      </c>
      <c r="O556" s="977"/>
      <c r="R556" s="977">
        <f t="shared" si="72"/>
        <v>223.67308638302552</v>
      </c>
    </row>
    <row r="557" spans="14:19">
      <c r="N557">
        <v>115.5</v>
      </c>
      <c r="O557" s="977"/>
      <c r="R557" s="977">
        <f t="shared" si="72"/>
        <v>223.67308638302552</v>
      </c>
    </row>
    <row r="558" spans="14:19">
      <c r="N558">
        <v>116</v>
      </c>
      <c r="O558" s="977"/>
      <c r="R558" s="977">
        <f t="shared" si="72"/>
        <v>223.67308638302552</v>
      </c>
      <c r="S558" s="977"/>
    </row>
    <row r="559" spans="14:19">
      <c r="N559">
        <v>116.5</v>
      </c>
      <c r="O559" s="977"/>
      <c r="R559" s="977">
        <f t="shared" si="72"/>
        <v>223.67308638302552</v>
      </c>
      <c r="S559" s="977"/>
    </row>
    <row r="560" spans="14:19">
      <c r="N560">
        <v>117</v>
      </c>
      <c r="O560" s="977"/>
      <c r="R560" s="977">
        <f t="shared" si="72"/>
        <v>223.67308638302552</v>
      </c>
      <c r="S560" s="977"/>
    </row>
    <row r="561" spans="14:19">
      <c r="N561">
        <v>117.5</v>
      </c>
      <c r="O561" s="977"/>
      <c r="S561" s="977" t="e">
        <f>$G$296</f>
        <v>#REF!</v>
      </c>
    </row>
    <row r="562" spans="14:19">
      <c r="N562">
        <v>118</v>
      </c>
      <c r="O562" s="977"/>
      <c r="S562" s="977" t="e">
        <f t="shared" ref="S562:S617" si="73">$G$296</f>
        <v>#REF!</v>
      </c>
    </row>
    <row r="563" spans="14:19">
      <c r="N563">
        <v>118.5</v>
      </c>
      <c r="O563" s="977"/>
      <c r="S563" s="977" t="e">
        <f t="shared" si="73"/>
        <v>#REF!</v>
      </c>
    </row>
    <row r="564" spans="14:19">
      <c r="N564">
        <v>119</v>
      </c>
      <c r="O564" s="977"/>
      <c r="S564" s="977" t="e">
        <f t="shared" si="73"/>
        <v>#REF!</v>
      </c>
    </row>
    <row r="565" spans="14:19">
      <c r="N565">
        <v>119.5</v>
      </c>
      <c r="O565" s="977"/>
      <c r="S565" s="977" t="e">
        <f t="shared" si="73"/>
        <v>#REF!</v>
      </c>
    </row>
    <row r="566" spans="14:19">
      <c r="N566">
        <v>120</v>
      </c>
      <c r="O566" s="977"/>
      <c r="S566" s="977" t="e">
        <f t="shared" si="73"/>
        <v>#REF!</v>
      </c>
    </row>
    <row r="567" spans="14:19">
      <c r="N567">
        <v>120.5</v>
      </c>
      <c r="O567" s="977"/>
      <c r="S567" s="977" t="e">
        <f t="shared" si="73"/>
        <v>#REF!</v>
      </c>
    </row>
    <row r="568" spans="14:19">
      <c r="N568">
        <v>121</v>
      </c>
      <c r="O568" s="977"/>
      <c r="S568" s="977" t="e">
        <f t="shared" si="73"/>
        <v>#REF!</v>
      </c>
    </row>
    <row r="569" spans="14:19">
      <c r="N569">
        <v>121.5</v>
      </c>
      <c r="O569" s="977"/>
      <c r="S569" s="977" t="e">
        <f t="shared" si="73"/>
        <v>#REF!</v>
      </c>
    </row>
    <row r="570" spans="14:19">
      <c r="N570">
        <v>122</v>
      </c>
      <c r="O570" s="977"/>
      <c r="S570" s="977" t="e">
        <f t="shared" si="73"/>
        <v>#REF!</v>
      </c>
    </row>
    <row r="571" spans="14:19">
      <c r="N571">
        <v>122.5</v>
      </c>
      <c r="O571" s="977"/>
      <c r="S571" s="977" t="e">
        <f t="shared" si="73"/>
        <v>#REF!</v>
      </c>
    </row>
    <row r="572" spans="14:19">
      <c r="N572">
        <v>123</v>
      </c>
      <c r="O572" s="977"/>
      <c r="S572" s="977" t="e">
        <f t="shared" si="73"/>
        <v>#REF!</v>
      </c>
    </row>
    <row r="573" spans="14:19">
      <c r="N573">
        <v>123.5</v>
      </c>
      <c r="O573" s="977"/>
      <c r="S573" s="977" t="e">
        <f t="shared" si="73"/>
        <v>#REF!</v>
      </c>
    </row>
    <row r="574" spans="14:19">
      <c r="N574">
        <v>124</v>
      </c>
      <c r="O574" s="977"/>
      <c r="S574" s="977" t="e">
        <f t="shared" si="73"/>
        <v>#REF!</v>
      </c>
    </row>
    <row r="575" spans="14:19">
      <c r="N575">
        <v>124.5</v>
      </c>
      <c r="O575" s="977"/>
      <c r="S575" s="977" t="e">
        <f t="shared" si="73"/>
        <v>#REF!</v>
      </c>
    </row>
    <row r="576" spans="14:19">
      <c r="N576">
        <v>125</v>
      </c>
      <c r="O576" s="977"/>
      <c r="S576" s="977" t="e">
        <f t="shared" si="73"/>
        <v>#REF!</v>
      </c>
    </row>
    <row r="577" spans="14:19">
      <c r="N577">
        <v>125.5</v>
      </c>
      <c r="O577" s="977"/>
      <c r="S577" s="977" t="e">
        <f t="shared" si="73"/>
        <v>#REF!</v>
      </c>
    </row>
    <row r="578" spans="14:19">
      <c r="N578">
        <v>126</v>
      </c>
      <c r="O578" s="977"/>
      <c r="S578" s="977" t="e">
        <f t="shared" si="73"/>
        <v>#REF!</v>
      </c>
    </row>
    <row r="579" spans="14:19">
      <c r="N579">
        <v>126.5</v>
      </c>
      <c r="O579" s="977"/>
      <c r="S579" s="977" t="e">
        <f t="shared" si="73"/>
        <v>#REF!</v>
      </c>
    </row>
    <row r="580" spans="14:19">
      <c r="N580">
        <v>127</v>
      </c>
      <c r="O580" s="977"/>
      <c r="S580" s="977" t="e">
        <f t="shared" si="73"/>
        <v>#REF!</v>
      </c>
    </row>
    <row r="581" spans="14:19">
      <c r="N581">
        <v>127.5</v>
      </c>
      <c r="O581" s="977"/>
      <c r="S581" s="977" t="e">
        <f t="shared" si="73"/>
        <v>#REF!</v>
      </c>
    </row>
    <row r="582" spans="14:19">
      <c r="N582">
        <v>128</v>
      </c>
      <c r="O582" s="977"/>
      <c r="S582" s="977" t="e">
        <f t="shared" si="73"/>
        <v>#REF!</v>
      </c>
    </row>
    <row r="583" spans="14:19">
      <c r="N583">
        <v>128.5</v>
      </c>
      <c r="O583" s="977"/>
      <c r="S583" s="977" t="e">
        <f t="shared" si="73"/>
        <v>#REF!</v>
      </c>
    </row>
    <row r="584" spans="14:19">
      <c r="N584">
        <v>129</v>
      </c>
      <c r="O584" s="977"/>
      <c r="S584" s="977" t="e">
        <f t="shared" si="73"/>
        <v>#REF!</v>
      </c>
    </row>
    <row r="585" spans="14:19">
      <c r="N585">
        <v>129.5</v>
      </c>
      <c r="O585" s="977"/>
      <c r="S585" s="977" t="e">
        <f t="shared" si="73"/>
        <v>#REF!</v>
      </c>
    </row>
    <row r="586" spans="14:19">
      <c r="N586">
        <v>130</v>
      </c>
      <c r="O586" s="977"/>
      <c r="S586" s="977" t="e">
        <f t="shared" si="73"/>
        <v>#REF!</v>
      </c>
    </row>
    <row r="587" spans="14:19">
      <c r="N587">
        <v>130.5</v>
      </c>
      <c r="O587" s="977"/>
      <c r="S587" s="977" t="e">
        <f t="shared" si="73"/>
        <v>#REF!</v>
      </c>
    </row>
    <row r="588" spans="14:19">
      <c r="N588">
        <v>131</v>
      </c>
      <c r="O588" s="977"/>
      <c r="S588" s="977" t="e">
        <f t="shared" si="73"/>
        <v>#REF!</v>
      </c>
    </row>
    <row r="589" spans="14:19">
      <c r="N589">
        <v>131.5</v>
      </c>
      <c r="O589" s="977"/>
      <c r="S589" s="977" t="e">
        <f t="shared" si="73"/>
        <v>#REF!</v>
      </c>
    </row>
    <row r="590" spans="14:19">
      <c r="N590">
        <v>132</v>
      </c>
      <c r="O590" s="977"/>
      <c r="S590" s="977" t="e">
        <f t="shared" si="73"/>
        <v>#REF!</v>
      </c>
    </row>
    <row r="591" spans="14:19">
      <c r="N591">
        <v>132.5</v>
      </c>
      <c r="O591" s="977"/>
      <c r="S591" s="977" t="e">
        <f t="shared" si="73"/>
        <v>#REF!</v>
      </c>
    </row>
    <row r="592" spans="14:19">
      <c r="N592">
        <v>133</v>
      </c>
      <c r="O592" s="977"/>
      <c r="S592" s="977" t="e">
        <f t="shared" si="73"/>
        <v>#REF!</v>
      </c>
    </row>
    <row r="593" spans="14:19">
      <c r="N593">
        <v>133.5</v>
      </c>
      <c r="O593" s="977"/>
      <c r="S593" s="977" t="e">
        <f t="shared" si="73"/>
        <v>#REF!</v>
      </c>
    </row>
    <row r="594" spans="14:19">
      <c r="N594">
        <v>134</v>
      </c>
      <c r="O594" s="977"/>
      <c r="S594" s="977" t="e">
        <f t="shared" si="73"/>
        <v>#REF!</v>
      </c>
    </row>
    <row r="595" spans="14:19">
      <c r="N595">
        <v>134.5</v>
      </c>
      <c r="O595" s="977"/>
      <c r="S595" s="977" t="e">
        <f t="shared" si="73"/>
        <v>#REF!</v>
      </c>
    </row>
    <row r="596" spans="14:19">
      <c r="N596">
        <v>135</v>
      </c>
      <c r="O596" s="977"/>
      <c r="S596" s="977" t="e">
        <f t="shared" si="73"/>
        <v>#REF!</v>
      </c>
    </row>
    <row r="597" spans="14:19">
      <c r="N597">
        <v>135.5</v>
      </c>
      <c r="O597" s="977"/>
      <c r="S597" s="977" t="e">
        <f t="shared" si="73"/>
        <v>#REF!</v>
      </c>
    </row>
    <row r="598" spans="14:19">
      <c r="N598">
        <v>136</v>
      </c>
      <c r="O598" s="977"/>
      <c r="S598" s="977" t="e">
        <f t="shared" si="73"/>
        <v>#REF!</v>
      </c>
    </row>
    <row r="599" spans="14:19">
      <c r="N599">
        <v>136.5</v>
      </c>
      <c r="O599" s="977"/>
      <c r="S599" s="977" t="e">
        <f t="shared" si="73"/>
        <v>#REF!</v>
      </c>
    </row>
    <row r="600" spans="14:19">
      <c r="N600">
        <v>137</v>
      </c>
      <c r="O600" s="977"/>
      <c r="S600" s="977" t="e">
        <f t="shared" si="73"/>
        <v>#REF!</v>
      </c>
    </row>
    <row r="601" spans="14:19">
      <c r="N601">
        <v>137.5</v>
      </c>
      <c r="O601" s="977"/>
      <c r="S601" s="977" t="e">
        <f t="shared" si="73"/>
        <v>#REF!</v>
      </c>
    </row>
    <row r="602" spans="14:19">
      <c r="N602">
        <v>138</v>
      </c>
      <c r="O602" s="977"/>
      <c r="S602" s="977" t="e">
        <f t="shared" si="73"/>
        <v>#REF!</v>
      </c>
    </row>
    <row r="603" spans="14:19">
      <c r="N603">
        <v>138.5</v>
      </c>
      <c r="O603" s="977"/>
      <c r="S603" s="977" t="e">
        <f t="shared" si="73"/>
        <v>#REF!</v>
      </c>
    </row>
    <row r="604" spans="14:19">
      <c r="N604">
        <v>139</v>
      </c>
      <c r="O604" s="977"/>
      <c r="S604" s="977" t="e">
        <f t="shared" si="73"/>
        <v>#REF!</v>
      </c>
    </row>
    <row r="605" spans="14:19">
      <c r="N605">
        <v>139.5</v>
      </c>
      <c r="O605" s="977"/>
      <c r="S605" s="977" t="e">
        <f t="shared" si="73"/>
        <v>#REF!</v>
      </c>
    </row>
    <row r="606" spans="14:19">
      <c r="N606">
        <v>140</v>
      </c>
      <c r="O606" s="977"/>
      <c r="S606" s="977" t="e">
        <f t="shared" si="73"/>
        <v>#REF!</v>
      </c>
    </row>
    <row r="607" spans="14:19">
      <c r="N607">
        <v>140.5</v>
      </c>
      <c r="O607" s="977"/>
      <c r="S607" s="977" t="e">
        <f t="shared" si="73"/>
        <v>#REF!</v>
      </c>
    </row>
    <row r="608" spans="14:19">
      <c r="N608">
        <v>141</v>
      </c>
      <c r="O608" s="977"/>
      <c r="S608" s="977" t="e">
        <f t="shared" si="73"/>
        <v>#REF!</v>
      </c>
    </row>
    <row r="609" spans="14:20">
      <c r="N609">
        <v>141.5</v>
      </c>
      <c r="O609" s="977"/>
      <c r="S609" s="977" t="e">
        <f t="shared" si="73"/>
        <v>#REF!</v>
      </c>
    </row>
    <row r="610" spans="14:20">
      <c r="N610">
        <v>142</v>
      </c>
      <c r="O610" s="977"/>
      <c r="S610" s="977" t="e">
        <f t="shared" si="73"/>
        <v>#REF!</v>
      </c>
    </row>
    <row r="611" spans="14:20">
      <c r="N611">
        <v>142.5</v>
      </c>
      <c r="O611" s="977"/>
      <c r="S611" s="977" t="e">
        <f t="shared" si="73"/>
        <v>#REF!</v>
      </c>
    </row>
    <row r="612" spans="14:20">
      <c r="N612">
        <v>143</v>
      </c>
      <c r="O612" s="977"/>
      <c r="S612" s="977" t="e">
        <f t="shared" si="73"/>
        <v>#REF!</v>
      </c>
    </row>
    <row r="613" spans="14:20">
      <c r="N613">
        <v>143.5</v>
      </c>
      <c r="O613" s="977"/>
      <c r="S613" s="977" t="e">
        <f t="shared" si="73"/>
        <v>#REF!</v>
      </c>
    </row>
    <row r="614" spans="14:20">
      <c r="N614">
        <v>144</v>
      </c>
      <c r="O614" s="977"/>
      <c r="S614" s="977" t="e">
        <f t="shared" si="73"/>
        <v>#REF!</v>
      </c>
    </row>
    <row r="615" spans="14:20">
      <c r="N615">
        <v>144.5</v>
      </c>
      <c r="O615" s="977"/>
      <c r="S615" s="977" t="e">
        <f t="shared" si="73"/>
        <v>#REF!</v>
      </c>
    </row>
    <row r="616" spans="14:20">
      <c r="N616">
        <v>145</v>
      </c>
      <c r="O616" s="977"/>
      <c r="S616" s="977" t="e">
        <f t="shared" si="73"/>
        <v>#REF!</v>
      </c>
    </row>
    <row r="617" spans="14:20">
      <c r="N617">
        <v>145.5</v>
      </c>
      <c r="O617" s="977"/>
      <c r="S617" s="977" t="e">
        <f t="shared" si="73"/>
        <v>#REF!</v>
      </c>
    </row>
    <row r="618" spans="14:20">
      <c r="N618">
        <v>146</v>
      </c>
      <c r="O618" s="977"/>
      <c r="S618" s="977"/>
      <c r="T618" s="977" t="e">
        <f>$G$297</f>
        <v>#REF!</v>
      </c>
    </row>
    <row r="619" spans="14:20">
      <c r="N619">
        <v>146.5</v>
      </c>
      <c r="O619" s="977"/>
      <c r="S619" s="977"/>
      <c r="T619" s="977" t="e">
        <f t="shared" ref="T619:T682" si="74">$G$297</f>
        <v>#REF!</v>
      </c>
    </row>
    <row r="620" spans="14:20">
      <c r="N620">
        <v>147</v>
      </c>
      <c r="O620" s="977"/>
      <c r="S620" s="977"/>
      <c r="T620" s="977" t="e">
        <f t="shared" si="74"/>
        <v>#REF!</v>
      </c>
    </row>
    <row r="621" spans="14:20">
      <c r="N621">
        <v>147.5</v>
      </c>
      <c r="O621" s="977"/>
      <c r="S621" s="977"/>
      <c r="T621" s="977" t="e">
        <f t="shared" si="74"/>
        <v>#REF!</v>
      </c>
    </row>
    <row r="622" spans="14:20">
      <c r="N622">
        <v>148</v>
      </c>
      <c r="O622" s="977"/>
      <c r="S622" s="977"/>
      <c r="T622" s="977" t="e">
        <f t="shared" si="74"/>
        <v>#REF!</v>
      </c>
    </row>
    <row r="623" spans="14:20">
      <c r="N623">
        <v>148.5</v>
      </c>
      <c r="O623" s="977"/>
      <c r="S623" s="977"/>
      <c r="T623" s="977" t="e">
        <f t="shared" si="74"/>
        <v>#REF!</v>
      </c>
    </row>
    <row r="624" spans="14:20">
      <c r="N624">
        <v>149</v>
      </c>
      <c r="O624" s="977"/>
      <c r="S624" s="977"/>
      <c r="T624" s="977" t="e">
        <f t="shared" si="74"/>
        <v>#REF!</v>
      </c>
    </row>
    <row r="625" spans="14:20">
      <c r="N625">
        <v>149.5</v>
      </c>
      <c r="O625" s="977"/>
      <c r="S625" s="977"/>
      <c r="T625" s="977" t="e">
        <f t="shared" si="74"/>
        <v>#REF!</v>
      </c>
    </row>
    <row r="626" spans="14:20">
      <c r="N626">
        <v>150</v>
      </c>
      <c r="O626" s="977"/>
      <c r="S626" s="977"/>
      <c r="T626" s="977" t="e">
        <f t="shared" si="74"/>
        <v>#REF!</v>
      </c>
    </row>
    <row r="627" spans="14:20">
      <c r="N627">
        <v>150.5</v>
      </c>
      <c r="O627" s="977"/>
      <c r="S627" s="977"/>
      <c r="T627" s="977" t="e">
        <f t="shared" si="74"/>
        <v>#REF!</v>
      </c>
    </row>
    <row r="628" spans="14:20">
      <c r="N628">
        <v>151</v>
      </c>
      <c r="O628" s="977"/>
      <c r="S628" s="977"/>
      <c r="T628" s="977" t="e">
        <f t="shared" si="74"/>
        <v>#REF!</v>
      </c>
    </row>
    <row r="629" spans="14:20">
      <c r="N629">
        <v>151.5</v>
      </c>
      <c r="O629" s="977"/>
      <c r="S629" s="977"/>
      <c r="T629" s="977" t="e">
        <f t="shared" si="74"/>
        <v>#REF!</v>
      </c>
    </row>
    <row r="630" spans="14:20">
      <c r="N630">
        <v>152</v>
      </c>
      <c r="O630" s="977"/>
      <c r="S630" s="977"/>
      <c r="T630" s="977" t="e">
        <f t="shared" si="74"/>
        <v>#REF!</v>
      </c>
    </row>
    <row r="631" spans="14:20">
      <c r="N631">
        <v>152.5</v>
      </c>
      <c r="O631" s="977"/>
      <c r="S631" s="977"/>
      <c r="T631" s="977" t="e">
        <f t="shared" si="74"/>
        <v>#REF!</v>
      </c>
    </row>
    <row r="632" spans="14:20">
      <c r="N632">
        <v>153</v>
      </c>
      <c r="O632" s="977"/>
      <c r="S632" s="977"/>
      <c r="T632" s="977" t="e">
        <f t="shared" si="74"/>
        <v>#REF!</v>
      </c>
    </row>
    <row r="633" spans="14:20">
      <c r="N633">
        <v>153.5</v>
      </c>
      <c r="O633" s="977"/>
      <c r="S633" s="977"/>
      <c r="T633" s="977" t="e">
        <f t="shared" si="74"/>
        <v>#REF!</v>
      </c>
    </row>
    <row r="634" spans="14:20">
      <c r="N634">
        <v>154</v>
      </c>
      <c r="O634" s="977"/>
      <c r="S634" s="977"/>
      <c r="T634" s="977" t="e">
        <f t="shared" si="74"/>
        <v>#REF!</v>
      </c>
    </row>
    <row r="635" spans="14:20">
      <c r="N635">
        <v>154.5</v>
      </c>
      <c r="O635" s="977"/>
      <c r="S635" s="977"/>
      <c r="T635" s="977" t="e">
        <f t="shared" si="74"/>
        <v>#REF!</v>
      </c>
    </row>
    <row r="636" spans="14:20">
      <c r="N636">
        <v>155</v>
      </c>
      <c r="O636" s="977"/>
      <c r="S636" s="977"/>
      <c r="T636" s="977" t="e">
        <f t="shared" si="74"/>
        <v>#REF!</v>
      </c>
    </row>
    <row r="637" spans="14:20">
      <c r="N637">
        <v>155.5</v>
      </c>
      <c r="O637" s="977"/>
      <c r="S637" s="977"/>
      <c r="T637" s="977" t="e">
        <f t="shared" si="74"/>
        <v>#REF!</v>
      </c>
    </row>
    <row r="638" spans="14:20">
      <c r="N638">
        <v>156</v>
      </c>
      <c r="O638" s="977"/>
      <c r="S638" s="977"/>
      <c r="T638" s="977" t="e">
        <f t="shared" si="74"/>
        <v>#REF!</v>
      </c>
    </row>
    <row r="639" spans="14:20">
      <c r="N639">
        <v>156.5</v>
      </c>
      <c r="O639" s="977"/>
      <c r="S639" s="977"/>
      <c r="T639" s="977" t="e">
        <f t="shared" si="74"/>
        <v>#REF!</v>
      </c>
    </row>
    <row r="640" spans="14:20">
      <c r="N640">
        <v>157</v>
      </c>
      <c r="O640" s="977"/>
      <c r="S640" s="977"/>
      <c r="T640" s="977" t="e">
        <f t="shared" si="74"/>
        <v>#REF!</v>
      </c>
    </row>
    <row r="641" spans="14:20">
      <c r="N641">
        <v>157.5</v>
      </c>
      <c r="O641" s="977"/>
      <c r="S641" s="977"/>
      <c r="T641" s="977" t="e">
        <f t="shared" si="74"/>
        <v>#REF!</v>
      </c>
    </row>
    <row r="642" spans="14:20">
      <c r="N642">
        <v>158</v>
      </c>
      <c r="O642" s="977"/>
      <c r="S642" s="977"/>
      <c r="T642" s="977" t="e">
        <f t="shared" si="74"/>
        <v>#REF!</v>
      </c>
    </row>
    <row r="643" spans="14:20">
      <c r="N643">
        <v>158.5</v>
      </c>
      <c r="O643" s="977"/>
      <c r="S643" s="977"/>
      <c r="T643" s="977" t="e">
        <f t="shared" si="74"/>
        <v>#REF!</v>
      </c>
    </row>
    <row r="644" spans="14:20">
      <c r="N644">
        <v>159</v>
      </c>
      <c r="O644" s="977"/>
      <c r="S644" s="977"/>
      <c r="T644" s="977" t="e">
        <f t="shared" si="74"/>
        <v>#REF!</v>
      </c>
    </row>
    <row r="645" spans="14:20">
      <c r="N645">
        <v>159.5</v>
      </c>
      <c r="O645" s="977"/>
      <c r="S645" s="977"/>
      <c r="T645" s="977" t="e">
        <f t="shared" si="74"/>
        <v>#REF!</v>
      </c>
    </row>
    <row r="646" spans="14:20">
      <c r="N646">
        <v>160</v>
      </c>
      <c r="O646" s="977"/>
      <c r="S646" s="977"/>
      <c r="T646" s="977" t="e">
        <f t="shared" si="74"/>
        <v>#REF!</v>
      </c>
    </row>
    <row r="647" spans="14:20">
      <c r="N647">
        <v>160.5</v>
      </c>
      <c r="O647" s="977"/>
      <c r="S647" s="977"/>
      <c r="T647" s="977" t="e">
        <f t="shared" si="74"/>
        <v>#REF!</v>
      </c>
    </row>
    <row r="648" spans="14:20">
      <c r="N648">
        <v>161</v>
      </c>
      <c r="O648" s="977"/>
      <c r="S648" s="977"/>
      <c r="T648" s="977" t="e">
        <f t="shared" si="74"/>
        <v>#REF!</v>
      </c>
    </row>
    <row r="649" spans="14:20">
      <c r="N649">
        <v>161.5</v>
      </c>
      <c r="O649" s="977"/>
      <c r="S649" s="977"/>
      <c r="T649" s="977" t="e">
        <f t="shared" si="74"/>
        <v>#REF!</v>
      </c>
    </row>
    <row r="650" spans="14:20">
      <c r="N650">
        <v>162</v>
      </c>
      <c r="O650" s="977"/>
      <c r="S650" s="977"/>
      <c r="T650" s="977" t="e">
        <f t="shared" si="74"/>
        <v>#REF!</v>
      </c>
    </row>
    <row r="651" spans="14:20">
      <c r="N651">
        <v>162.5</v>
      </c>
      <c r="O651" s="977"/>
      <c r="S651" s="977"/>
      <c r="T651" s="977" t="e">
        <f t="shared" si="74"/>
        <v>#REF!</v>
      </c>
    </row>
    <row r="652" spans="14:20">
      <c r="N652">
        <v>163</v>
      </c>
      <c r="O652" s="977"/>
      <c r="S652" s="977"/>
      <c r="T652" s="977" t="e">
        <f t="shared" si="74"/>
        <v>#REF!</v>
      </c>
    </row>
    <row r="653" spans="14:20">
      <c r="N653">
        <v>163.5</v>
      </c>
      <c r="O653" s="977"/>
      <c r="S653" s="977"/>
      <c r="T653" s="977" t="e">
        <f t="shared" si="74"/>
        <v>#REF!</v>
      </c>
    </row>
    <row r="654" spans="14:20">
      <c r="N654">
        <v>164</v>
      </c>
      <c r="O654" s="977"/>
      <c r="S654" s="977"/>
      <c r="T654" s="977" t="e">
        <f t="shared" si="74"/>
        <v>#REF!</v>
      </c>
    </row>
    <row r="655" spans="14:20">
      <c r="N655">
        <v>164.5</v>
      </c>
      <c r="O655" s="977"/>
      <c r="S655" s="977"/>
      <c r="T655" s="977" t="e">
        <f t="shared" si="74"/>
        <v>#REF!</v>
      </c>
    </row>
    <row r="656" spans="14:20">
      <c r="N656">
        <v>165</v>
      </c>
      <c r="O656" s="977"/>
      <c r="S656" s="977"/>
      <c r="T656" s="977" t="e">
        <f t="shared" si="74"/>
        <v>#REF!</v>
      </c>
    </row>
    <row r="657" spans="14:20">
      <c r="N657">
        <v>165.5</v>
      </c>
      <c r="O657" s="977"/>
      <c r="S657" s="977"/>
      <c r="T657" s="977" t="e">
        <f t="shared" si="74"/>
        <v>#REF!</v>
      </c>
    </row>
    <row r="658" spans="14:20">
      <c r="N658">
        <v>166</v>
      </c>
      <c r="O658" s="977"/>
      <c r="S658" s="977"/>
      <c r="T658" s="977" t="e">
        <f t="shared" si="74"/>
        <v>#REF!</v>
      </c>
    </row>
    <row r="659" spans="14:20">
      <c r="N659">
        <v>166.5</v>
      </c>
      <c r="O659" s="977"/>
      <c r="S659" s="977"/>
      <c r="T659" s="977" t="e">
        <f t="shared" si="74"/>
        <v>#REF!</v>
      </c>
    </row>
    <row r="660" spans="14:20">
      <c r="N660">
        <v>167</v>
      </c>
      <c r="O660" s="977"/>
      <c r="S660" s="977"/>
      <c r="T660" s="977" t="e">
        <f t="shared" si="74"/>
        <v>#REF!</v>
      </c>
    </row>
    <row r="661" spans="14:20">
      <c r="N661">
        <v>167.5</v>
      </c>
      <c r="O661" s="977"/>
      <c r="S661" s="977"/>
      <c r="T661" s="977" t="e">
        <f t="shared" si="74"/>
        <v>#REF!</v>
      </c>
    </row>
    <row r="662" spans="14:20">
      <c r="N662">
        <v>168</v>
      </c>
      <c r="O662" s="977"/>
      <c r="S662" s="977"/>
      <c r="T662" s="977" t="e">
        <f t="shared" si="74"/>
        <v>#REF!</v>
      </c>
    </row>
    <row r="663" spans="14:20">
      <c r="N663">
        <v>168.5</v>
      </c>
      <c r="O663" s="977"/>
      <c r="S663" s="977"/>
      <c r="T663" s="977" t="e">
        <f t="shared" si="74"/>
        <v>#REF!</v>
      </c>
    </row>
    <row r="664" spans="14:20">
      <c r="N664">
        <v>169</v>
      </c>
      <c r="O664" s="977"/>
      <c r="S664" s="977"/>
      <c r="T664" s="977" t="e">
        <f t="shared" si="74"/>
        <v>#REF!</v>
      </c>
    </row>
    <row r="665" spans="14:20">
      <c r="N665">
        <v>169.5</v>
      </c>
      <c r="O665" s="977"/>
      <c r="S665" s="977"/>
      <c r="T665" s="977" t="e">
        <f t="shared" si="74"/>
        <v>#REF!</v>
      </c>
    </row>
    <row r="666" spans="14:20">
      <c r="N666">
        <v>170</v>
      </c>
      <c r="O666" s="977"/>
      <c r="S666" s="977"/>
      <c r="T666" s="977" t="e">
        <f t="shared" si="74"/>
        <v>#REF!</v>
      </c>
    </row>
    <row r="667" spans="14:20">
      <c r="N667">
        <v>170.5</v>
      </c>
      <c r="O667" s="977"/>
      <c r="S667" s="977"/>
      <c r="T667" s="977" t="e">
        <f t="shared" si="74"/>
        <v>#REF!</v>
      </c>
    </row>
    <row r="668" spans="14:20">
      <c r="N668">
        <v>171</v>
      </c>
      <c r="O668" s="977"/>
      <c r="S668" s="977"/>
      <c r="T668" s="977" t="e">
        <f t="shared" si="74"/>
        <v>#REF!</v>
      </c>
    </row>
    <row r="669" spans="14:20">
      <c r="N669">
        <v>171.5</v>
      </c>
      <c r="O669" s="977"/>
      <c r="S669" s="977"/>
      <c r="T669" s="977" t="e">
        <f t="shared" si="74"/>
        <v>#REF!</v>
      </c>
    </row>
    <row r="670" spans="14:20">
      <c r="N670">
        <v>172</v>
      </c>
      <c r="O670" s="977"/>
      <c r="S670" s="977"/>
      <c r="T670" s="977" t="e">
        <f t="shared" si="74"/>
        <v>#REF!</v>
      </c>
    </row>
    <row r="671" spans="14:20">
      <c r="N671">
        <v>172.5</v>
      </c>
      <c r="O671" s="977"/>
      <c r="S671" s="977"/>
      <c r="T671" s="977" t="e">
        <f t="shared" si="74"/>
        <v>#REF!</v>
      </c>
    </row>
    <row r="672" spans="14:20">
      <c r="N672">
        <v>173</v>
      </c>
      <c r="O672" s="977"/>
      <c r="S672" s="977"/>
      <c r="T672" s="977" t="e">
        <f t="shared" si="74"/>
        <v>#REF!</v>
      </c>
    </row>
    <row r="673" spans="14:20">
      <c r="N673">
        <v>173.5</v>
      </c>
      <c r="O673" s="977"/>
      <c r="S673" s="977"/>
      <c r="T673" s="977" t="e">
        <f t="shared" si="74"/>
        <v>#REF!</v>
      </c>
    </row>
    <row r="674" spans="14:20">
      <c r="N674">
        <v>174</v>
      </c>
      <c r="O674" s="977"/>
      <c r="S674" s="977"/>
      <c r="T674" s="977" t="e">
        <f t="shared" si="74"/>
        <v>#REF!</v>
      </c>
    </row>
    <row r="675" spans="14:20">
      <c r="N675">
        <v>174.5</v>
      </c>
      <c r="O675" s="977"/>
      <c r="S675" s="977"/>
      <c r="T675" s="977" t="e">
        <f t="shared" si="74"/>
        <v>#REF!</v>
      </c>
    </row>
    <row r="676" spans="14:20">
      <c r="N676">
        <v>175</v>
      </c>
      <c r="O676" s="977"/>
      <c r="S676" s="977"/>
      <c r="T676" s="977" t="e">
        <f t="shared" si="74"/>
        <v>#REF!</v>
      </c>
    </row>
    <row r="677" spans="14:20">
      <c r="N677">
        <v>175.5</v>
      </c>
      <c r="O677" s="977"/>
      <c r="S677" s="977"/>
      <c r="T677" s="977" t="e">
        <f t="shared" si="74"/>
        <v>#REF!</v>
      </c>
    </row>
    <row r="678" spans="14:20">
      <c r="N678">
        <v>176</v>
      </c>
      <c r="O678" s="977"/>
      <c r="S678" s="977"/>
      <c r="T678" s="977" t="e">
        <f t="shared" si="74"/>
        <v>#REF!</v>
      </c>
    </row>
    <row r="679" spans="14:20">
      <c r="N679">
        <v>176.5</v>
      </c>
      <c r="O679" s="977"/>
      <c r="S679" s="977"/>
      <c r="T679" s="977" t="e">
        <f t="shared" si="74"/>
        <v>#REF!</v>
      </c>
    </row>
    <row r="680" spans="14:20">
      <c r="N680">
        <v>177</v>
      </c>
      <c r="O680" s="977"/>
      <c r="S680" s="977"/>
      <c r="T680" s="977" t="e">
        <f t="shared" si="74"/>
        <v>#REF!</v>
      </c>
    </row>
    <row r="681" spans="14:20">
      <c r="N681">
        <v>177.5</v>
      </c>
      <c r="O681" s="977"/>
      <c r="S681" s="977"/>
      <c r="T681" s="977" t="e">
        <f t="shared" si="74"/>
        <v>#REF!</v>
      </c>
    </row>
    <row r="682" spans="14:20">
      <c r="N682">
        <v>178</v>
      </c>
      <c r="O682" s="977"/>
      <c r="S682" s="977"/>
      <c r="T682" s="977" t="e">
        <f t="shared" si="74"/>
        <v>#REF!</v>
      </c>
    </row>
    <row r="683" spans="14:20">
      <c r="N683">
        <v>178.5</v>
      </c>
      <c r="O683" s="977"/>
      <c r="S683" s="977"/>
      <c r="T683" s="977" t="e">
        <f t="shared" ref="T683:T746" si="75">$G$297</f>
        <v>#REF!</v>
      </c>
    </row>
    <row r="684" spans="14:20">
      <c r="N684">
        <v>179</v>
      </c>
      <c r="O684" s="977"/>
      <c r="S684" s="977"/>
      <c r="T684" s="977" t="e">
        <f t="shared" si="75"/>
        <v>#REF!</v>
      </c>
    </row>
    <row r="685" spans="14:20">
      <c r="N685">
        <v>179.5</v>
      </c>
      <c r="O685" s="977"/>
      <c r="S685" s="977"/>
      <c r="T685" s="977" t="e">
        <f t="shared" si="75"/>
        <v>#REF!</v>
      </c>
    </row>
    <row r="686" spans="14:20">
      <c r="N686">
        <v>180</v>
      </c>
      <c r="O686" s="977"/>
      <c r="S686" s="977"/>
      <c r="T686" s="977" t="e">
        <f t="shared" si="75"/>
        <v>#REF!</v>
      </c>
    </row>
    <row r="687" spans="14:20">
      <c r="N687">
        <v>180.5</v>
      </c>
      <c r="O687" s="977"/>
      <c r="S687" s="977"/>
      <c r="T687" s="977" t="e">
        <f t="shared" si="75"/>
        <v>#REF!</v>
      </c>
    </row>
    <row r="688" spans="14:20">
      <c r="N688">
        <v>181</v>
      </c>
      <c r="O688" s="977"/>
      <c r="T688" s="977" t="e">
        <f t="shared" si="75"/>
        <v>#REF!</v>
      </c>
    </row>
    <row r="689" spans="14:20">
      <c r="N689">
        <v>181.5</v>
      </c>
      <c r="O689" s="977"/>
      <c r="T689" s="977" t="e">
        <f t="shared" si="75"/>
        <v>#REF!</v>
      </c>
    </row>
    <row r="690" spans="14:20">
      <c r="N690">
        <v>182</v>
      </c>
      <c r="O690" s="977"/>
      <c r="T690" s="977" t="e">
        <f t="shared" si="75"/>
        <v>#REF!</v>
      </c>
    </row>
    <row r="691" spans="14:20">
      <c r="N691">
        <v>182.5</v>
      </c>
      <c r="O691" s="977"/>
      <c r="T691" s="977" t="e">
        <f t="shared" si="75"/>
        <v>#REF!</v>
      </c>
    </row>
    <row r="692" spans="14:20">
      <c r="N692">
        <v>183</v>
      </c>
      <c r="O692" s="977"/>
      <c r="T692" s="977" t="e">
        <f t="shared" si="75"/>
        <v>#REF!</v>
      </c>
    </row>
    <row r="693" spans="14:20">
      <c r="N693">
        <v>183.5</v>
      </c>
      <c r="O693" s="977"/>
      <c r="T693" s="977" t="e">
        <f t="shared" si="75"/>
        <v>#REF!</v>
      </c>
    </row>
    <row r="694" spans="14:20">
      <c r="N694">
        <v>184</v>
      </c>
      <c r="O694" s="977"/>
      <c r="T694" s="977" t="e">
        <f t="shared" si="75"/>
        <v>#REF!</v>
      </c>
    </row>
    <row r="695" spans="14:20">
      <c r="N695">
        <v>184.5</v>
      </c>
      <c r="O695" s="977"/>
      <c r="T695" s="977" t="e">
        <f t="shared" si="75"/>
        <v>#REF!</v>
      </c>
    </row>
    <row r="696" spans="14:20">
      <c r="N696">
        <v>185</v>
      </c>
      <c r="O696" s="977"/>
      <c r="T696" s="977" t="e">
        <f t="shared" si="75"/>
        <v>#REF!</v>
      </c>
    </row>
    <row r="697" spans="14:20">
      <c r="N697">
        <v>185.5</v>
      </c>
      <c r="O697" s="977"/>
      <c r="T697" s="977" t="e">
        <f t="shared" si="75"/>
        <v>#REF!</v>
      </c>
    </row>
    <row r="698" spans="14:20">
      <c r="N698">
        <v>186</v>
      </c>
      <c r="O698" s="977"/>
      <c r="T698" s="977" t="e">
        <f t="shared" si="75"/>
        <v>#REF!</v>
      </c>
    </row>
    <row r="699" spans="14:20">
      <c r="N699">
        <v>186.5</v>
      </c>
      <c r="O699" s="977"/>
      <c r="T699" s="977" t="e">
        <f t="shared" si="75"/>
        <v>#REF!</v>
      </c>
    </row>
    <row r="700" spans="14:20">
      <c r="N700">
        <v>187</v>
      </c>
      <c r="O700" s="977"/>
      <c r="T700" s="977" t="e">
        <f t="shared" si="75"/>
        <v>#REF!</v>
      </c>
    </row>
    <row r="701" spans="14:20">
      <c r="N701">
        <v>187.5</v>
      </c>
      <c r="O701" s="977"/>
      <c r="T701" s="977" t="e">
        <f t="shared" si="75"/>
        <v>#REF!</v>
      </c>
    </row>
    <row r="702" spans="14:20">
      <c r="N702">
        <v>188</v>
      </c>
      <c r="O702" s="977"/>
      <c r="T702" s="977" t="e">
        <f t="shared" si="75"/>
        <v>#REF!</v>
      </c>
    </row>
    <row r="703" spans="14:20">
      <c r="N703">
        <v>188.5</v>
      </c>
      <c r="O703" s="977"/>
      <c r="T703" s="977" t="e">
        <f t="shared" si="75"/>
        <v>#REF!</v>
      </c>
    </row>
    <row r="704" spans="14:20">
      <c r="N704">
        <v>189</v>
      </c>
      <c r="O704" s="977"/>
      <c r="T704" s="977" t="e">
        <f t="shared" si="75"/>
        <v>#REF!</v>
      </c>
    </row>
    <row r="705" spans="14:20">
      <c r="N705">
        <v>189.5</v>
      </c>
      <c r="O705" s="977"/>
      <c r="T705" s="977" t="e">
        <f t="shared" si="75"/>
        <v>#REF!</v>
      </c>
    </row>
    <row r="706" spans="14:20">
      <c r="N706">
        <v>190</v>
      </c>
      <c r="O706" s="977"/>
      <c r="T706" s="977" t="e">
        <f t="shared" si="75"/>
        <v>#REF!</v>
      </c>
    </row>
    <row r="707" spans="14:20">
      <c r="N707">
        <v>190.5</v>
      </c>
      <c r="O707" s="977"/>
      <c r="T707" s="977" t="e">
        <f t="shared" si="75"/>
        <v>#REF!</v>
      </c>
    </row>
    <row r="708" spans="14:20">
      <c r="N708">
        <v>191</v>
      </c>
      <c r="O708" s="977"/>
      <c r="T708" s="977" t="e">
        <f t="shared" si="75"/>
        <v>#REF!</v>
      </c>
    </row>
    <row r="709" spans="14:20">
      <c r="N709">
        <v>191.5</v>
      </c>
      <c r="O709" s="977"/>
      <c r="T709" s="977" t="e">
        <f t="shared" si="75"/>
        <v>#REF!</v>
      </c>
    </row>
    <row r="710" spans="14:20">
      <c r="N710">
        <v>192</v>
      </c>
      <c r="O710" s="977"/>
      <c r="T710" s="977" t="e">
        <f t="shared" si="75"/>
        <v>#REF!</v>
      </c>
    </row>
    <row r="711" spans="14:20">
      <c r="N711">
        <v>192.5</v>
      </c>
      <c r="O711" s="977"/>
      <c r="T711" s="977" t="e">
        <f t="shared" si="75"/>
        <v>#REF!</v>
      </c>
    </row>
    <row r="712" spans="14:20">
      <c r="N712">
        <v>193</v>
      </c>
      <c r="O712" s="977"/>
      <c r="T712" s="977" t="e">
        <f t="shared" si="75"/>
        <v>#REF!</v>
      </c>
    </row>
    <row r="713" spans="14:20">
      <c r="N713">
        <v>193.5</v>
      </c>
      <c r="O713" s="977"/>
      <c r="T713" s="977" t="e">
        <f t="shared" si="75"/>
        <v>#REF!</v>
      </c>
    </row>
    <row r="714" spans="14:20">
      <c r="N714">
        <v>194</v>
      </c>
      <c r="O714" s="977"/>
      <c r="T714" s="977" t="e">
        <f t="shared" si="75"/>
        <v>#REF!</v>
      </c>
    </row>
    <row r="715" spans="14:20">
      <c r="N715">
        <v>194.5</v>
      </c>
      <c r="O715" s="977"/>
      <c r="T715" s="977" t="e">
        <f t="shared" si="75"/>
        <v>#REF!</v>
      </c>
    </row>
    <row r="716" spans="14:20">
      <c r="N716">
        <v>195</v>
      </c>
      <c r="O716" s="977"/>
      <c r="T716" s="977" t="e">
        <f t="shared" si="75"/>
        <v>#REF!</v>
      </c>
    </row>
    <row r="717" spans="14:20">
      <c r="N717">
        <v>195.5</v>
      </c>
      <c r="O717" s="977"/>
      <c r="T717" s="977" t="e">
        <f t="shared" si="75"/>
        <v>#REF!</v>
      </c>
    </row>
    <row r="718" spans="14:20">
      <c r="N718">
        <v>196</v>
      </c>
      <c r="O718" s="977"/>
      <c r="T718" s="977" t="e">
        <f t="shared" si="75"/>
        <v>#REF!</v>
      </c>
    </row>
    <row r="719" spans="14:20">
      <c r="N719">
        <v>196.5</v>
      </c>
      <c r="O719" s="977"/>
      <c r="T719" s="977" t="e">
        <f t="shared" si="75"/>
        <v>#REF!</v>
      </c>
    </row>
    <row r="720" spans="14:20">
      <c r="N720">
        <v>197</v>
      </c>
      <c r="O720" s="977"/>
      <c r="T720" s="977" t="e">
        <f t="shared" si="75"/>
        <v>#REF!</v>
      </c>
    </row>
    <row r="721" spans="14:20">
      <c r="N721">
        <v>197.5</v>
      </c>
      <c r="O721" s="977"/>
      <c r="T721" s="977" t="e">
        <f t="shared" si="75"/>
        <v>#REF!</v>
      </c>
    </row>
    <row r="722" spans="14:20">
      <c r="N722">
        <v>198</v>
      </c>
      <c r="O722" s="977"/>
      <c r="T722" s="977" t="e">
        <f t="shared" si="75"/>
        <v>#REF!</v>
      </c>
    </row>
    <row r="723" spans="14:20">
      <c r="N723">
        <v>198.5</v>
      </c>
      <c r="O723" s="977"/>
      <c r="T723" s="977" t="e">
        <f t="shared" si="75"/>
        <v>#REF!</v>
      </c>
    </row>
    <row r="724" spans="14:20">
      <c r="N724">
        <v>199</v>
      </c>
      <c r="O724" s="977"/>
      <c r="T724" s="977" t="e">
        <f t="shared" si="75"/>
        <v>#REF!</v>
      </c>
    </row>
    <row r="725" spans="14:20">
      <c r="N725">
        <v>199.5</v>
      </c>
      <c r="O725" s="977"/>
      <c r="T725" s="977" t="e">
        <f t="shared" si="75"/>
        <v>#REF!</v>
      </c>
    </row>
    <row r="726" spans="14:20">
      <c r="N726">
        <v>200</v>
      </c>
      <c r="O726" s="977"/>
      <c r="T726" s="977" t="e">
        <f t="shared" si="75"/>
        <v>#REF!</v>
      </c>
    </row>
    <row r="727" spans="14:20">
      <c r="N727">
        <v>200.5</v>
      </c>
      <c r="O727" s="977"/>
      <c r="T727" s="977" t="e">
        <f t="shared" si="75"/>
        <v>#REF!</v>
      </c>
    </row>
    <row r="728" spans="14:20">
      <c r="N728">
        <v>201</v>
      </c>
      <c r="O728" s="977"/>
      <c r="T728" s="977" t="e">
        <f t="shared" si="75"/>
        <v>#REF!</v>
      </c>
    </row>
    <row r="729" spans="14:20">
      <c r="N729">
        <v>201.5</v>
      </c>
      <c r="O729" s="977"/>
      <c r="T729" s="977" t="e">
        <f t="shared" si="75"/>
        <v>#REF!</v>
      </c>
    </row>
    <row r="730" spans="14:20">
      <c r="N730">
        <v>202</v>
      </c>
      <c r="O730" s="977"/>
      <c r="T730" s="977" t="e">
        <f t="shared" si="75"/>
        <v>#REF!</v>
      </c>
    </row>
    <row r="731" spans="14:20">
      <c r="N731">
        <v>202.5</v>
      </c>
      <c r="T731" s="977" t="e">
        <f t="shared" si="75"/>
        <v>#REF!</v>
      </c>
    </row>
    <row r="732" spans="14:20">
      <c r="N732">
        <v>203</v>
      </c>
      <c r="T732" s="977" t="e">
        <f t="shared" si="75"/>
        <v>#REF!</v>
      </c>
    </row>
    <row r="733" spans="14:20">
      <c r="N733">
        <v>203.5</v>
      </c>
      <c r="T733" s="977" t="e">
        <f t="shared" si="75"/>
        <v>#REF!</v>
      </c>
    </row>
    <row r="734" spans="14:20">
      <c r="N734">
        <v>204</v>
      </c>
      <c r="T734" s="977" t="e">
        <f t="shared" si="75"/>
        <v>#REF!</v>
      </c>
    </row>
    <row r="735" spans="14:20">
      <c r="N735">
        <v>204.5</v>
      </c>
      <c r="T735" s="977" t="e">
        <f t="shared" si="75"/>
        <v>#REF!</v>
      </c>
    </row>
    <row r="736" spans="14:20">
      <c r="N736">
        <v>205</v>
      </c>
      <c r="T736" s="977" t="e">
        <f t="shared" si="75"/>
        <v>#REF!</v>
      </c>
    </row>
    <row r="737" spans="14:20">
      <c r="N737">
        <v>205.5</v>
      </c>
      <c r="T737" s="977" t="e">
        <f t="shared" si="75"/>
        <v>#REF!</v>
      </c>
    </row>
    <row r="738" spans="14:20">
      <c r="N738">
        <v>206</v>
      </c>
      <c r="T738" s="977" t="e">
        <f t="shared" si="75"/>
        <v>#REF!</v>
      </c>
    </row>
    <row r="739" spans="14:20">
      <c r="N739">
        <v>206.5</v>
      </c>
      <c r="T739" s="977" t="e">
        <f t="shared" si="75"/>
        <v>#REF!</v>
      </c>
    </row>
    <row r="740" spans="14:20">
      <c r="N740">
        <v>207</v>
      </c>
      <c r="T740" s="977" t="e">
        <f t="shared" si="75"/>
        <v>#REF!</v>
      </c>
    </row>
    <row r="741" spans="14:20">
      <c r="N741">
        <v>207.5</v>
      </c>
      <c r="T741" s="977" t="e">
        <f t="shared" si="75"/>
        <v>#REF!</v>
      </c>
    </row>
    <row r="742" spans="14:20">
      <c r="N742">
        <v>208</v>
      </c>
      <c r="T742" s="977" t="e">
        <f t="shared" si="75"/>
        <v>#REF!</v>
      </c>
    </row>
    <row r="743" spans="14:20">
      <c r="N743">
        <v>208.5</v>
      </c>
      <c r="T743" s="977" t="e">
        <f t="shared" si="75"/>
        <v>#REF!</v>
      </c>
    </row>
    <row r="744" spans="14:20">
      <c r="N744">
        <v>209</v>
      </c>
      <c r="T744" s="977" t="e">
        <f t="shared" si="75"/>
        <v>#REF!</v>
      </c>
    </row>
    <row r="745" spans="14:20">
      <c r="N745">
        <v>209.5</v>
      </c>
      <c r="T745" s="977" t="e">
        <f t="shared" si="75"/>
        <v>#REF!</v>
      </c>
    </row>
    <row r="746" spans="14:20">
      <c r="N746">
        <v>210</v>
      </c>
      <c r="T746" s="977" t="e">
        <f t="shared" si="75"/>
        <v>#REF!</v>
      </c>
    </row>
    <row r="747" spans="14:20">
      <c r="N747">
        <v>210.5</v>
      </c>
      <c r="T747" s="977" t="e">
        <f t="shared" ref="T747" si="76">$G$297</f>
        <v>#REF!</v>
      </c>
    </row>
  </sheetData>
  <hyperlinks>
    <hyperlink ref="F90" r:id="rId1" xr:uid="{3CEB3F04-37DD-448E-8831-950984012751}"/>
  </hyperlinks>
  <pageMargins left="0.7" right="0.7" top="0.75" bottom="0.75" header="0.3" footer="0.3"/>
  <pageSetup orientation="portrait" r:id="rId2"/>
  <headerFooter>
    <oddFooter>&amp;R_x000D_&amp;1#&amp;"Aptos"&amp;10&amp;K000000 Official Use Only</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58925-600A-4DD2-813D-586E553F42B9}">
  <dimension ref="A1:G75"/>
  <sheetViews>
    <sheetView zoomScale="84" zoomScaleNormal="84" workbookViewId="0">
      <selection activeCell="B28" sqref="B28"/>
    </sheetView>
  </sheetViews>
  <sheetFormatPr defaultRowHeight="15"/>
  <cols>
    <col min="1" max="1" width="52" customWidth="1"/>
    <col min="2" max="3" width="23.7109375" customWidth="1"/>
    <col min="4" max="4" width="24.5703125" customWidth="1"/>
    <col min="5" max="5" width="22" customWidth="1"/>
  </cols>
  <sheetData>
    <row r="1" spans="1:5">
      <c r="A1" s="23" t="s">
        <v>17</v>
      </c>
    </row>
    <row r="2" spans="1:5">
      <c r="A2" t="s">
        <v>1612</v>
      </c>
    </row>
    <row r="3" spans="1:5">
      <c r="A3" s="588"/>
      <c r="B3" s="589" t="s">
        <v>1613</v>
      </c>
      <c r="C3" s="590" t="s">
        <v>1614</v>
      </c>
    </row>
    <row r="4" spans="1:5">
      <c r="A4" s="22">
        <v>2022</v>
      </c>
      <c r="B4" s="591">
        <f>'Cement Cost Model-China'!I13</f>
        <v>1849.1028947368422</v>
      </c>
      <c r="C4" s="592">
        <f>'Cement Cost Model-China'!I36</f>
        <v>1849.1028947368422</v>
      </c>
    </row>
    <row r="5" spans="1:5">
      <c r="A5" s="22">
        <v>2030</v>
      </c>
      <c r="B5" s="591">
        <f>'Cement Cost Model-China'!I14</f>
        <v>1715.773753462604</v>
      </c>
      <c r="C5" s="592">
        <f>'Cement Cost Model-China'!I37</f>
        <v>1715.773753462604</v>
      </c>
    </row>
    <row r="6" spans="1:5">
      <c r="A6" s="31">
        <v>2060</v>
      </c>
      <c r="B6" s="593">
        <f>'Cement Cost Model-China'!I15</f>
        <v>1215.7894736842104</v>
      </c>
      <c r="C6" s="594">
        <f>'Cement Cost Model-China'!I38</f>
        <v>1013.1578947368422</v>
      </c>
    </row>
    <row r="8" spans="1:5" ht="30">
      <c r="A8" s="588"/>
      <c r="B8" s="589" t="s">
        <v>1615</v>
      </c>
      <c r="C8" s="589"/>
      <c r="D8" s="589" t="s">
        <v>1616</v>
      </c>
      <c r="E8" s="590" t="s">
        <v>1617</v>
      </c>
    </row>
    <row r="9" spans="1:5">
      <c r="A9" s="22"/>
      <c r="B9" t="s">
        <v>1618</v>
      </c>
      <c r="C9" t="s">
        <v>1619</v>
      </c>
      <c r="D9" t="s">
        <v>1620</v>
      </c>
      <c r="E9" s="595" t="s">
        <v>1621</v>
      </c>
    </row>
    <row r="10" spans="1:5">
      <c r="A10" s="22" t="s">
        <v>1622</v>
      </c>
      <c r="B10" t="s">
        <v>1623</v>
      </c>
      <c r="C10" t="s">
        <v>1624</v>
      </c>
      <c r="D10" t="s">
        <v>1625</v>
      </c>
      <c r="E10" s="595" t="s">
        <v>1626</v>
      </c>
    </row>
    <row r="11" spans="1:5" ht="30">
      <c r="A11" s="596" t="s">
        <v>1627</v>
      </c>
      <c r="C11" s="597">
        <f>(107-100)/107</f>
        <v>6.5420560747663545E-2</v>
      </c>
      <c r="D11" s="597">
        <f>(117-107)/117</f>
        <v>8.5470085470085472E-2</v>
      </c>
      <c r="E11" s="595"/>
    </row>
    <row r="12" spans="1:5" ht="30">
      <c r="A12" s="598" t="s">
        <v>1628</v>
      </c>
      <c r="B12" s="523"/>
      <c r="C12" s="593">
        <v>7</v>
      </c>
      <c r="D12" s="593">
        <v>10</v>
      </c>
      <c r="E12" s="599"/>
    </row>
    <row r="13" spans="1:5">
      <c r="A13" s="33"/>
      <c r="C13" s="591"/>
      <c r="D13" s="591"/>
      <c r="E13" s="600"/>
    </row>
    <row r="14" spans="1:5" ht="30">
      <c r="A14" s="601"/>
      <c r="B14" s="589" t="s">
        <v>1615</v>
      </c>
      <c r="C14" s="589"/>
      <c r="D14" s="589" t="s">
        <v>1616</v>
      </c>
      <c r="E14" s="590" t="s">
        <v>1617</v>
      </c>
    </row>
    <row r="15" spans="1:5">
      <c r="A15" s="22"/>
      <c r="B15" t="s">
        <v>1618</v>
      </c>
      <c r="C15" t="s">
        <v>1619</v>
      </c>
      <c r="D15" t="s">
        <v>1620</v>
      </c>
      <c r="E15" s="595" t="s">
        <v>1621</v>
      </c>
    </row>
    <row r="16" spans="1:5">
      <c r="A16" s="22"/>
      <c r="B16" t="s">
        <v>1623</v>
      </c>
      <c r="C16" t="s">
        <v>1624</v>
      </c>
      <c r="D16" t="s">
        <v>1625</v>
      </c>
      <c r="E16" s="595" t="s">
        <v>1626</v>
      </c>
    </row>
    <row r="17" spans="1:5">
      <c r="A17" s="22" t="s">
        <v>1629</v>
      </c>
      <c r="B17" s="46">
        <v>0.05</v>
      </c>
      <c r="C17" s="544">
        <v>0.35</v>
      </c>
      <c r="D17" s="544">
        <v>0.36</v>
      </c>
      <c r="E17" s="602">
        <v>0.24</v>
      </c>
    </row>
    <row r="18" spans="1:5">
      <c r="A18" s="22" t="s">
        <v>1630</v>
      </c>
      <c r="B18" s="46">
        <v>0.3</v>
      </c>
      <c r="C18" s="544">
        <v>0.4</v>
      </c>
      <c r="D18" s="544">
        <v>0.4</v>
      </c>
      <c r="E18" s="602">
        <v>0</v>
      </c>
    </row>
    <row r="19" spans="1:5">
      <c r="A19" s="22" t="s">
        <v>1631</v>
      </c>
      <c r="B19" s="544">
        <v>0.5</v>
      </c>
      <c r="C19" s="544">
        <v>0.5</v>
      </c>
      <c r="D19" s="537"/>
      <c r="E19" s="595"/>
    </row>
    <row r="20" spans="1:5">
      <c r="A20" s="31" t="s">
        <v>1632</v>
      </c>
      <c r="B20" s="603">
        <v>0.9</v>
      </c>
      <c r="C20" s="603">
        <v>0.1</v>
      </c>
      <c r="D20" s="604"/>
      <c r="E20" s="605"/>
    </row>
    <row r="21" spans="1:5">
      <c r="B21" s="46"/>
      <c r="C21" s="46"/>
    </row>
    <row r="22" spans="1:5">
      <c r="A22" s="606" t="s">
        <v>1633</v>
      </c>
      <c r="B22" s="607"/>
      <c r="C22" s="607"/>
      <c r="D22" s="608"/>
      <c r="E22" s="608"/>
    </row>
    <row r="23" spans="1:5" ht="30">
      <c r="A23" s="609" t="s">
        <v>1525</v>
      </c>
      <c r="B23" s="610" t="s">
        <v>1615</v>
      </c>
      <c r="C23" s="610"/>
      <c r="D23" s="610" t="s">
        <v>1616</v>
      </c>
      <c r="E23" s="611" t="s">
        <v>1617</v>
      </c>
    </row>
    <row r="24" spans="1:5">
      <c r="A24" s="612" t="s">
        <v>1634</v>
      </c>
      <c r="B24" s="613">
        <f>B17*$B$4</f>
        <v>92.455144736842115</v>
      </c>
      <c r="C24" s="613">
        <f>C17*$B$4</f>
        <v>647.18601315789476</v>
      </c>
      <c r="D24" s="613">
        <f>D17*$B$4</f>
        <v>665.67704210526324</v>
      </c>
      <c r="E24" s="614">
        <f>E17*$B$4</f>
        <v>443.78469473684214</v>
      </c>
    </row>
    <row r="25" spans="1:5">
      <c r="A25" s="612" t="s">
        <v>1635</v>
      </c>
      <c r="B25" s="615"/>
      <c r="C25" s="613"/>
      <c r="D25" s="613"/>
      <c r="E25" s="614"/>
    </row>
    <row r="26" spans="1:5">
      <c r="A26" s="612" t="s">
        <v>1636</v>
      </c>
      <c r="B26" s="613">
        <f>B19*$B$5</f>
        <v>857.88687673130198</v>
      </c>
      <c r="C26" s="613">
        <f>C19*$B$5</f>
        <v>857.88687673130198</v>
      </c>
      <c r="D26" s="613"/>
      <c r="E26" s="614"/>
    </row>
    <row r="27" spans="1:5">
      <c r="A27" s="616" t="s">
        <v>1637</v>
      </c>
      <c r="B27" s="617">
        <f>B26-B24</f>
        <v>765.43173199445982</v>
      </c>
      <c r="C27" s="618" t="s">
        <v>1638</v>
      </c>
      <c r="D27" s="618"/>
      <c r="E27" s="619"/>
    </row>
    <row r="28" spans="1:5">
      <c r="A28" s="616" t="s">
        <v>1639</v>
      </c>
      <c r="B28" s="620">
        <f>B20*$B$6</f>
        <v>1094.2105263157894</v>
      </c>
      <c r="C28" s="621">
        <f>C20*$B$6</f>
        <v>121.57894736842104</v>
      </c>
      <c r="D28" s="618"/>
      <c r="E28" s="619"/>
    </row>
    <row r="29" spans="1:5">
      <c r="A29" s="608"/>
      <c r="B29" s="622"/>
      <c r="C29" s="623"/>
      <c r="D29" s="623"/>
      <c r="E29" s="623"/>
    </row>
    <row r="30" spans="1:5" ht="30">
      <c r="A30" s="609" t="s">
        <v>1526</v>
      </c>
      <c r="B30" s="610" t="s">
        <v>1615</v>
      </c>
      <c r="C30" s="610"/>
      <c r="D30" s="610" t="s">
        <v>1616</v>
      </c>
      <c r="E30" s="611" t="s">
        <v>1617</v>
      </c>
    </row>
    <row r="31" spans="1:5">
      <c r="A31" s="612" t="s">
        <v>1634</v>
      </c>
      <c r="B31" s="613">
        <f>B17*$C$4</f>
        <v>92.455144736842115</v>
      </c>
      <c r="C31" s="613">
        <f>C17*$C$4</f>
        <v>647.18601315789476</v>
      </c>
      <c r="D31" s="613">
        <f>D17*$C$4</f>
        <v>665.67704210526324</v>
      </c>
      <c r="E31" s="614">
        <f>E17*$C$4</f>
        <v>443.78469473684214</v>
      </c>
    </row>
    <row r="32" spans="1:5">
      <c r="A32" s="612" t="s">
        <v>1635</v>
      </c>
      <c r="B32" s="613"/>
      <c r="C32" s="613"/>
      <c r="D32" s="613"/>
      <c r="E32" s="614"/>
    </row>
    <row r="33" spans="1:7">
      <c r="A33" s="612" t="s">
        <v>1636</v>
      </c>
      <c r="B33" s="613">
        <f>B19*$C$5</f>
        <v>857.88687673130198</v>
      </c>
      <c r="C33" s="613">
        <f>C19*$C$5</f>
        <v>857.88687673130198</v>
      </c>
      <c r="D33" s="613"/>
      <c r="E33" s="614"/>
    </row>
    <row r="34" spans="1:7">
      <c r="A34" s="616" t="s">
        <v>1637</v>
      </c>
      <c r="B34" s="617">
        <f>B33-B31</f>
        <v>765.43173199445982</v>
      </c>
      <c r="C34" s="618" t="s">
        <v>1638</v>
      </c>
      <c r="D34" s="624"/>
      <c r="E34" s="625"/>
    </row>
    <row r="35" spans="1:7">
      <c r="A35" s="616" t="s">
        <v>1639</v>
      </c>
      <c r="B35" s="621">
        <f>B20*$C$6</f>
        <v>911.84210526315803</v>
      </c>
      <c r="C35" s="621">
        <f>C20*$C$6</f>
        <v>101.31578947368422</v>
      </c>
      <c r="D35" s="624"/>
      <c r="E35" s="625"/>
    </row>
    <row r="38" spans="1:7">
      <c r="A38" s="52" t="s">
        <v>1640</v>
      </c>
    </row>
    <row r="39" spans="1:7" ht="30">
      <c r="A39" s="626" t="s">
        <v>1525</v>
      </c>
      <c r="B39" s="589" t="s">
        <v>1615</v>
      </c>
      <c r="C39" s="589"/>
      <c r="D39" s="589" t="s">
        <v>1616</v>
      </c>
      <c r="E39" s="590" t="s">
        <v>1617</v>
      </c>
    </row>
    <row r="40" spans="1:7">
      <c r="A40" s="627"/>
      <c r="B40" s="33" t="s">
        <v>1618</v>
      </c>
      <c r="C40" s="33" t="s">
        <v>1619</v>
      </c>
      <c r="D40" s="33" t="s">
        <v>1620</v>
      </c>
      <c r="E40" s="628" t="s">
        <v>1641</v>
      </c>
    </row>
    <row r="41" spans="1:7">
      <c r="A41" s="22" t="s">
        <v>1634</v>
      </c>
      <c r="B41" s="499">
        <f>$B$4*B17</f>
        <v>92.455144736842115</v>
      </c>
      <c r="C41" s="499">
        <f>$B$4*C17</f>
        <v>647.18601315789476</v>
      </c>
      <c r="D41" s="499">
        <f>$B$4*D17</f>
        <v>665.67704210526324</v>
      </c>
      <c r="E41" s="629">
        <f>$B$4*E17</f>
        <v>443.78469473684214</v>
      </c>
    </row>
    <row r="42" spans="1:7">
      <c r="A42" s="22" t="s">
        <v>1635</v>
      </c>
      <c r="B42" s="499"/>
      <c r="C42" s="499"/>
      <c r="D42" s="499"/>
      <c r="E42" s="629"/>
    </row>
    <row r="43" spans="1:7">
      <c r="A43" s="22" t="s">
        <v>1636</v>
      </c>
      <c r="B43" s="499">
        <f>(B45-B41)/40*10+B41</f>
        <v>342.8939901315789</v>
      </c>
      <c r="C43" s="499"/>
      <c r="D43" s="499"/>
      <c r="E43" s="629"/>
    </row>
    <row r="44" spans="1:7">
      <c r="A44" s="31" t="s">
        <v>1642</v>
      </c>
      <c r="B44" s="630">
        <f>B43-B41</f>
        <v>250.4388453947368</v>
      </c>
      <c r="C44" s="631"/>
      <c r="D44" s="631"/>
      <c r="E44" s="632"/>
      <c r="G44" s="498">
        <f>B44/1.5</f>
        <v>166.95923026315788</v>
      </c>
    </row>
    <row r="45" spans="1:7">
      <c r="A45" s="22" t="s">
        <v>1639</v>
      </c>
      <c r="B45" s="499">
        <f>B20*$B$6</f>
        <v>1094.2105263157894</v>
      </c>
      <c r="C45" s="499">
        <f>C20*$B$6</f>
        <v>121.57894736842104</v>
      </c>
      <c r="D45" s="499"/>
      <c r="E45" s="629"/>
    </row>
    <row r="46" spans="1:7">
      <c r="A46" s="31" t="s">
        <v>1643</v>
      </c>
      <c r="B46" s="630">
        <f>B45-B43</f>
        <v>751.31653618421046</v>
      </c>
      <c r="C46" s="523"/>
      <c r="D46" s="523"/>
      <c r="E46" s="605"/>
    </row>
    <row r="47" spans="1:7">
      <c r="B47" s="498"/>
      <c r="C47" s="498"/>
    </row>
    <row r="48" spans="1:7" ht="30">
      <c r="A48" s="626" t="s">
        <v>1526</v>
      </c>
      <c r="B48" s="589" t="s">
        <v>1615</v>
      </c>
      <c r="C48" s="589"/>
      <c r="D48" s="589" t="s">
        <v>1616</v>
      </c>
      <c r="E48" s="590" t="s">
        <v>1617</v>
      </c>
    </row>
    <row r="49" spans="1:5">
      <c r="A49" s="627"/>
      <c r="B49" s="33" t="s">
        <v>1618</v>
      </c>
      <c r="C49" s="33" t="s">
        <v>1619</v>
      </c>
      <c r="D49" s="33" t="s">
        <v>1620</v>
      </c>
      <c r="E49" s="628" t="s">
        <v>1641</v>
      </c>
    </row>
    <row r="50" spans="1:5">
      <c r="A50" s="22" t="s">
        <v>1634</v>
      </c>
      <c r="B50" s="591">
        <f>$C$4*B17</f>
        <v>92.455144736842115</v>
      </c>
      <c r="C50" s="499">
        <f>$C$4*C17</f>
        <v>647.18601315789476</v>
      </c>
      <c r="D50" s="499">
        <f>$C$4*D17</f>
        <v>665.67704210526324</v>
      </c>
      <c r="E50" s="629">
        <f>$C$4*E17</f>
        <v>443.78469473684214</v>
      </c>
    </row>
    <row r="51" spans="1:5">
      <c r="A51" s="22" t="s">
        <v>1635</v>
      </c>
      <c r="B51" s="591"/>
      <c r="C51" s="499"/>
      <c r="D51" s="499"/>
      <c r="E51" s="629"/>
    </row>
    <row r="52" spans="1:5">
      <c r="A52" s="22" t="s">
        <v>1636</v>
      </c>
      <c r="B52" s="633">
        <f>(B54-B50)/40*10+B50</f>
        <v>297.3018848684211</v>
      </c>
      <c r="C52" s="499"/>
      <c r="D52" s="499"/>
      <c r="E52" s="629"/>
    </row>
    <row r="53" spans="1:5">
      <c r="A53" s="22" t="s">
        <v>1642</v>
      </c>
      <c r="B53" s="634">
        <f>B52-B50</f>
        <v>204.846740131579</v>
      </c>
      <c r="C53" s="499"/>
      <c r="D53" s="499"/>
      <c r="E53" s="629"/>
    </row>
    <row r="54" spans="1:5">
      <c r="A54" s="601" t="s">
        <v>1639</v>
      </c>
      <c r="B54" s="635">
        <f>B20*$C$6</f>
        <v>911.84210526315803</v>
      </c>
      <c r="C54" s="636">
        <f>C20*$C$6</f>
        <v>101.31578947368422</v>
      </c>
      <c r="D54" s="636"/>
      <c r="E54" s="637"/>
    </row>
    <row r="55" spans="1:5">
      <c r="A55" s="31" t="s">
        <v>1643</v>
      </c>
      <c r="B55" s="638">
        <f>B54-B52</f>
        <v>614.54022039473693</v>
      </c>
      <c r="C55" s="523"/>
      <c r="D55" s="523"/>
      <c r="E55" s="605"/>
    </row>
    <row r="58" spans="1:5">
      <c r="A58" s="601" t="s">
        <v>1644</v>
      </c>
      <c r="B58" s="639"/>
    </row>
    <row r="59" spans="1:5">
      <c r="A59" s="640" t="s">
        <v>1525</v>
      </c>
      <c r="B59" s="628" t="s">
        <v>1483</v>
      </c>
      <c r="C59" s="33"/>
      <c r="D59" s="33"/>
      <c r="E59" s="33"/>
    </row>
    <row r="60" spans="1:5">
      <c r="A60" s="22">
        <v>2020</v>
      </c>
      <c r="B60" s="602">
        <v>0</v>
      </c>
    </row>
    <row r="61" spans="1:5">
      <c r="A61" s="22">
        <v>2030</v>
      </c>
      <c r="B61" s="602">
        <f>'Cement Cost Model-China'!D22</f>
        <v>0.08</v>
      </c>
    </row>
    <row r="62" spans="1:5">
      <c r="A62" s="22">
        <v>2060</v>
      </c>
      <c r="B62" s="602">
        <f>'Cement Cost Model-China'!H22</f>
        <v>0.4</v>
      </c>
    </row>
    <row r="63" spans="1:5">
      <c r="A63" s="596" t="s">
        <v>1645</v>
      </c>
      <c r="B63" s="592">
        <f>B64/40*10</f>
        <v>121.57894736842104</v>
      </c>
      <c r="D63" s="498"/>
    </row>
    <row r="64" spans="1:5">
      <c r="A64" s="596" t="s">
        <v>1646</v>
      </c>
      <c r="B64" s="592">
        <f>B62*B6</f>
        <v>486.31578947368416</v>
      </c>
      <c r="D64" s="498"/>
    </row>
    <row r="65" spans="1:4">
      <c r="A65" s="22" t="s">
        <v>1642</v>
      </c>
      <c r="B65" s="641">
        <f>B63-0</f>
        <v>121.57894736842104</v>
      </c>
      <c r="D65" s="498"/>
    </row>
    <row r="66" spans="1:4">
      <c r="A66" s="596" t="s">
        <v>1647</v>
      </c>
      <c r="B66" s="641">
        <f>B64-B63</f>
        <v>364.73684210526312</v>
      </c>
      <c r="D66" s="498"/>
    </row>
    <row r="67" spans="1:4">
      <c r="A67" s="22"/>
      <c r="B67" s="602"/>
      <c r="D67" s="498"/>
    </row>
    <row r="68" spans="1:4">
      <c r="A68" s="627" t="s">
        <v>1526</v>
      </c>
      <c r="B68" s="595"/>
    </row>
    <row r="69" spans="1:4">
      <c r="A69" s="22">
        <v>2020</v>
      </c>
      <c r="B69" s="602">
        <v>0</v>
      </c>
    </row>
    <row r="70" spans="1:4">
      <c r="A70" s="22">
        <v>2030</v>
      </c>
      <c r="B70" s="602">
        <f>'Cement Cost Model-China'!D45</f>
        <v>0.2</v>
      </c>
    </row>
    <row r="71" spans="1:4">
      <c r="A71" s="22">
        <v>2060</v>
      </c>
      <c r="B71" s="602">
        <f>'Cement Cost Model-China'!H45</f>
        <v>0.6</v>
      </c>
    </row>
    <row r="72" spans="1:4">
      <c r="A72" s="596" t="s">
        <v>1645</v>
      </c>
      <c r="B72" s="592">
        <f>B73/40*10</f>
        <v>151.97368421052633</v>
      </c>
    </row>
    <row r="73" spans="1:4">
      <c r="A73" s="596" t="s">
        <v>1646</v>
      </c>
      <c r="B73" s="592">
        <f>B71*C6</f>
        <v>607.89473684210532</v>
      </c>
    </row>
    <row r="74" spans="1:4">
      <c r="A74" s="22" t="s">
        <v>1642</v>
      </c>
      <c r="B74" s="641">
        <f>B72-0</f>
        <v>151.97368421052633</v>
      </c>
    </row>
    <row r="75" spans="1:4">
      <c r="A75" s="598" t="s">
        <v>1647</v>
      </c>
      <c r="B75" s="642">
        <f>B73-B72</f>
        <v>455.92105263157896</v>
      </c>
    </row>
  </sheetData>
  <pageMargins left="0.7" right="0.7" top="0.75" bottom="0.75" header="0.3" footer="0.3"/>
  <headerFooter>
    <oddFooter>&amp;R_x000D_&amp;1#&amp;"Aptos"&amp;10&amp;K000000 Official Use Only</oddFooter>
  </headerFooter>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3793-EC89-4D66-AE93-587C750D5298}">
  <dimension ref="A1:T557"/>
  <sheetViews>
    <sheetView topLeftCell="A334" zoomScale="62" zoomScaleNormal="44" workbookViewId="0">
      <selection activeCell="B28" sqref="B28"/>
    </sheetView>
  </sheetViews>
  <sheetFormatPr defaultRowHeight="15"/>
  <cols>
    <col min="1" max="1" width="36.140625" customWidth="1"/>
    <col min="2" max="2" width="28.42578125" customWidth="1"/>
    <col min="3" max="8" width="18.140625" customWidth="1"/>
    <col min="9" max="9" width="18.85546875" customWidth="1"/>
    <col min="10" max="11" width="18.140625" customWidth="1"/>
    <col min="12" max="12" width="22.42578125" customWidth="1"/>
    <col min="13" max="13" width="10.7109375" customWidth="1"/>
    <col min="14" max="16" width="18.140625" customWidth="1"/>
    <col min="17" max="17" width="33.42578125" customWidth="1"/>
    <col min="18" max="19" width="18.140625" customWidth="1"/>
    <col min="20" max="20" width="28.140625" customWidth="1"/>
    <col min="21" max="21" width="40.85546875" customWidth="1"/>
  </cols>
  <sheetData>
    <row r="1" spans="1:16" ht="15.75">
      <c r="A1" s="575" t="s">
        <v>1206</v>
      </c>
      <c r="B1" s="575"/>
      <c r="C1" s="575"/>
    </row>
    <row r="2" spans="1:16" ht="15.75">
      <c r="A2" s="575" t="s">
        <v>163</v>
      </c>
      <c r="B2" s="23" t="s">
        <v>142</v>
      </c>
      <c r="C2" s="23"/>
    </row>
    <row r="3" spans="1:16" ht="15.75">
      <c r="A3" s="575" t="s">
        <v>1207</v>
      </c>
      <c r="B3" s="23" t="s">
        <v>465</v>
      </c>
      <c r="C3" s="23"/>
    </row>
    <row r="4" spans="1:16" ht="15.75">
      <c r="A4" s="575"/>
    </row>
    <row r="5" spans="1:16" ht="18">
      <c r="A5" s="601" t="s">
        <v>1280</v>
      </c>
      <c r="B5" s="521" t="s">
        <v>1470</v>
      </c>
      <c r="C5" s="521">
        <v>6000</v>
      </c>
      <c r="D5" s="639" t="s">
        <v>1471</v>
      </c>
    </row>
    <row r="6" spans="1:16">
      <c r="A6" s="22" t="s">
        <v>1283</v>
      </c>
      <c r="B6" t="s">
        <v>1472</v>
      </c>
      <c r="C6" s="46">
        <v>0.53</v>
      </c>
      <c r="D6" s="595" t="s">
        <v>1648</v>
      </c>
    </row>
    <row r="7" spans="1:16">
      <c r="A7" s="22"/>
      <c r="B7" t="s">
        <v>1474</v>
      </c>
      <c r="C7" s="46">
        <v>0.65</v>
      </c>
      <c r="D7" s="595" t="s">
        <v>614</v>
      </c>
    </row>
    <row r="8" spans="1:16">
      <c r="A8" s="22"/>
      <c r="B8" t="s">
        <v>1475</v>
      </c>
      <c r="C8" s="46">
        <v>0.75</v>
      </c>
      <c r="D8" s="595" t="s">
        <v>614</v>
      </c>
    </row>
    <row r="9" spans="1:16">
      <c r="A9" s="31" t="s">
        <v>1286</v>
      </c>
      <c r="B9" s="523" t="s">
        <v>1287</v>
      </c>
      <c r="C9" s="643">
        <v>30</v>
      </c>
      <c r="D9" s="605" t="s">
        <v>1134</v>
      </c>
    </row>
    <row r="10" spans="1:16" ht="15.75">
      <c r="A10" s="575"/>
    </row>
    <row r="11" spans="1:16">
      <c r="A11" s="644" t="s">
        <v>1649</v>
      </c>
      <c r="B11" s="521"/>
      <c r="C11" s="521"/>
      <c r="D11" s="521"/>
      <c r="E11" s="521"/>
      <c r="F11" s="521"/>
      <c r="G11" s="521"/>
      <c r="H11" s="521"/>
      <c r="I11" s="521"/>
      <c r="J11" s="521"/>
      <c r="K11" s="521"/>
      <c r="L11" s="521"/>
      <c r="M11" s="521"/>
      <c r="N11" s="521"/>
      <c r="O11" s="639"/>
    </row>
    <row r="12" spans="1:16">
      <c r="A12" s="645" t="s">
        <v>164</v>
      </c>
      <c r="B12" s="23" t="s">
        <v>1477</v>
      </c>
      <c r="C12" s="23" t="s">
        <v>116</v>
      </c>
      <c r="D12" s="23" t="s">
        <v>1289</v>
      </c>
      <c r="E12" s="23" t="s">
        <v>612</v>
      </c>
      <c r="F12" s="646" t="s">
        <v>1478</v>
      </c>
      <c r="G12" s="646" t="s">
        <v>116</v>
      </c>
      <c r="H12" s="23" t="s">
        <v>1479</v>
      </c>
      <c r="I12" s="23" t="s">
        <v>1480</v>
      </c>
      <c r="J12" s="23" t="s">
        <v>116</v>
      </c>
      <c r="L12" s="765" t="s">
        <v>1477</v>
      </c>
      <c r="M12" s="765" t="s">
        <v>116</v>
      </c>
      <c r="N12" s="765" t="s">
        <v>1289</v>
      </c>
      <c r="O12" s="766" t="s">
        <v>612</v>
      </c>
    </row>
    <row r="13" spans="1:16">
      <c r="A13" s="22">
        <v>2022</v>
      </c>
      <c r="B13" s="591">
        <v>63.3</v>
      </c>
      <c r="C13" t="s">
        <v>1290</v>
      </c>
      <c r="D13" t="s">
        <v>1291</v>
      </c>
      <c r="E13" t="s">
        <v>1648</v>
      </c>
      <c r="F13" s="647">
        <f>B13/$C$6</f>
        <v>119.43396226415094</v>
      </c>
      <c r="G13" s="608" t="s">
        <v>1290</v>
      </c>
      <c r="H13">
        <v>0.71</v>
      </c>
      <c r="I13" s="499">
        <f>B13*H13/0.57</f>
        <v>78.847368421052636</v>
      </c>
      <c r="J13" t="s">
        <v>1290</v>
      </c>
      <c r="K13" s="498">
        <f>I13*5%</f>
        <v>3.942368421052632</v>
      </c>
      <c r="L13" s="754">
        <v>63.3</v>
      </c>
      <c r="M13" s="584" t="s">
        <v>1290</v>
      </c>
      <c r="N13" s="584" t="s">
        <v>1291</v>
      </c>
      <c r="O13" s="719" t="s">
        <v>1648</v>
      </c>
    </row>
    <row r="14" spans="1:16">
      <c r="A14" s="22">
        <v>2030</v>
      </c>
      <c r="B14" s="591">
        <v>76.914874608959636</v>
      </c>
      <c r="C14" t="s">
        <v>1290</v>
      </c>
      <c r="D14" t="s">
        <v>1434</v>
      </c>
      <c r="E14" t="s">
        <v>1482</v>
      </c>
      <c r="F14" s="647">
        <f>B14/$C$7</f>
        <v>118.33057632147636</v>
      </c>
      <c r="G14" s="608" t="s">
        <v>1290</v>
      </c>
      <c r="H14">
        <f>H13</f>
        <v>0.71</v>
      </c>
      <c r="I14" s="499">
        <f>B14*H14/0.57</f>
        <v>95.806247319932183</v>
      </c>
      <c r="J14" t="s">
        <v>1290</v>
      </c>
      <c r="K14" s="498">
        <f>I13*24%</f>
        <v>18.923368421052633</v>
      </c>
      <c r="L14" s="754">
        <v>76.914874608959636</v>
      </c>
      <c r="M14" s="584" t="s">
        <v>1290</v>
      </c>
      <c r="N14" s="584" t="s">
        <v>1434</v>
      </c>
      <c r="O14" s="719" t="s">
        <v>1482</v>
      </c>
      <c r="P14" s="50"/>
    </row>
    <row r="15" spans="1:16">
      <c r="A15" s="22">
        <v>2060</v>
      </c>
      <c r="B15" s="591">
        <v>90</v>
      </c>
      <c r="C15" t="s">
        <v>1290</v>
      </c>
      <c r="D15" t="s">
        <v>1434</v>
      </c>
      <c r="E15" t="s">
        <v>1482</v>
      </c>
      <c r="F15" s="647">
        <f>B15/$C$8</f>
        <v>120</v>
      </c>
      <c r="G15" s="608" t="s">
        <v>1290</v>
      </c>
      <c r="H15">
        <f>H14</f>
        <v>0.71</v>
      </c>
      <c r="I15" s="499">
        <f>B15*H15/0.57</f>
        <v>112.10526315789474</v>
      </c>
      <c r="J15" t="s">
        <v>1290</v>
      </c>
      <c r="K15" s="499">
        <f>I13-I14</f>
        <v>-16.958878898879547</v>
      </c>
      <c r="L15" s="754">
        <v>88.94800787389471</v>
      </c>
      <c r="M15" s="584" t="s">
        <v>1290</v>
      </c>
      <c r="N15" s="584" t="s">
        <v>1434</v>
      </c>
      <c r="O15" s="719" t="s">
        <v>1482</v>
      </c>
      <c r="P15" s="50"/>
    </row>
    <row r="16" spans="1:16">
      <c r="A16" s="22"/>
      <c r="D16" s="591"/>
      <c r="I16" s="499"/>
      <c r="N16" s="648"/>
      <c r="O16" s="595"/>
      <c r="P16" s="50"/>
    </row>
    <row r="17" spans="1:20">
      <c r="A17" s="22"/>
      <c r="D17" s="591"/>
      <c r="I17" s="499"/>
      <c r="N17" s="648"/>
      <c r="O17" s="595"/>
      <c r="P17" s="50"/>
    </row>
    <row r="18" spans="1:20">
      <c r="A18" s="22"/>
      <c r="B18" s="650">
        <v>2022</v>
      </c>
      <c r="C18" s="650"/>
      <c r="D18" s="23">
        <v>2030</v>
      </c>
      <c r="H18" s="23">
        <v>2060</v>
      </c>
      <c r="O18" s="595"/>
      <c r="P18" s="50"/>
    </row>
    <row r="19" spans="1:20" ht="60">
      <c r="A19" s="22"/>
      <c r="B19" s="23" t="s">
        <v>1483</v>
      </c>
      <c r="C19" s="100" t="s">
        <v>1484</v>
      </c>
      <c r="D19" s="651" t="s">
        <v>1483</v>
      </c>
      <c r="E19" s="100" t="s">
        <v>1484</v>
      </c>
      <c r="F19" s="100" t="s">
        <v>1485</v>
      </c>
      <c r="G19" s="100" t="s">
        <v>1486</v>
      </c>
      <c r="H19" s="651" t="s">
        <v>1483</v>
      </c>
      <c r="I19" s="100" t="s">
        <v>1484</v>
      </c>
      <c r="J19" s="100" t="s">
        <v>1485</v>
      </c>
      <c r="K19" s="100" t="s">
        <v>1487</v>
      </c>
      <c r="L19" s="100" t="s">
        <v>1488</v>
      </c>
      <c r="M19" s="100"/>
      <c r="N19" s="652" t="s">
        <v>1489</v>
      </c>
      <c r="O19" s="653" t="s">
        <v>1490</v>
      </c>
      <c r="P19" s="50"/>
      <c r="Q19" s="654" t="s">
        <v>1491</v>
      </c>
      <c r="R19" s="655" t="s">
        <v>1492</v>
      </c>
      <c r="S19" s="655" t="s">
        <v>1485</v>
      </c>
      <c r="T19" s="1002" t="s">
        <v>1493</v>
      </c>
    </row>
    <row r="20" spans="1:20">
      <c r="A20" s="645" t="s">
        <v>1494</v>
      </c>
      <c r="B20" s="860"/>
      <c r="C20" s="863"/>
      <c r="D20" s="864"/>
      <c r="E20" s="913">
        <f>'Cement Capacity-Indonesia'!B28</f>
        <v>23.951561829983046</v>
      </c>
      <c r="F20" s="912">
        <f>S25*N20*N20</f>
        <v>29.483426388888883</v>
      </c>
      <c r="G20" s="913">
        <f>F20*E20</f>
        <v>706.17411011322588</v>
      </c>
      <c r="H20" s="864"/>
      <c r="I20" s="913">
        <f>'Cement Capacity-Indonesia'!B30</f>
        <v>65.732648696332745</v>
      </c>
      <c r="J20" s="868">
        <f>S25*O20*T25</f>
        <v>28.304089333333327</v>
      </c>
      <c r="K20" s="913">
        <f>J20*I20</f>
        <v>1860.5027608176185</v>
      </c>
      <c r="L20" s="717">
        <f>G20+K20</f>
        <v>2566.6768709308444</v>
      </c>
      <c r="M20" s="863"/>
      <c r="N20" s="943">
        <v>1</v>
      </c>
      <c r="O20" s="944">
        <v>1</v>
      </c>
      <c r="P20" s="50"/>
      <c r="Q20" s="22" t="s">
        <v>1495</v>
      </c>
      <c r="R20">
        <f>AVERAGE(4,5)</f>
        <v>4.5</v>
      </c>
      <c r="S20" s="663">
        <f>G59</f>
        <v>2.3299972222222221</v>
      </c>
      <c r="T20" s="999">
        <v>1</v>
      </c>
    </row>
    <row r="21" spans="1:20">
      <c r="A21" s="664" t="s">
        <v>1496</v>
      </c>
      <c r="B21" s="860"/>
      <c r="C21" s="863"/>
      <c r="D21" s="864"/>
      <c r="E21" s="863"/>
      <c r="F21" s="863"/>
      <c r="G21" s="863"/>
      <c r="H21" s="864"/>
      <c r="I21" s="863"/>
      <c r="J21" s="863"/>
      <c r="K21" s="863"/>
      <c r="L21" s="863"/>
      <c r="M21" s="863"/>
      <c r="N21" s="943"/>
      <c r="O21" s="944"/>
      <c r="P21" s="50"/>
      <c r="Q21" s="22" t="s">
        <v>1497</v>
      </c>
      <c r="R21">
        <f>AVERAGE(0.2, 0.5)</f>
        <v>0.35</v>
      </c>
      <c r="S21" s="663">
        <f>G60</f>
        <v>1.433844444444444</v>
      </c>
      <c r="T21" s="999">
        <v>1</v>
      </c>
    </row>
    <row r="22" spans="1:20">
      <c r="A22" s="665" t="s">
        <v>1498</v>
      </c>
      <c r="B22" s="852">
        <v>0</v>
      </c>
      <c r="C22" s="866">
        <v>0</v>
      </c>
      <c r="D22" s="852">
        <v>0.2</v>
      </c>
      <c r="E22" s="867">
        <f>'Cement Capacity-Indonesia'!B39</f>
        <v>19.161249463986437</v>
      </c>
      <c r="F22" s="868">
        <f>SUM(E43:E45)*N22</f>
        <v>10.399999999999999</v>
      </c>
      <c r="G22" s="867">
        <f>(E22-C22)*F22</f>
        <v>199.27699442545892</v>
      </c>
      <c r="H22" s="852">
        <v>0.65</v>
      </c>
      <c r="I22" s="867">
        <f>'Cement Capacity-Indonesia'!B40</f>
        <v>53.707171588645153</v>
      </c>
      <c r="J22" s="869">
        <f>SUM(E43:E45)*O22</f>
        <v>10.399999999999999</v>
      </c>
      <c r="K22" s="870">
        <f>J22*I22</f>
        <v>558.55458452190953</v>
      </c>
      <c r="L22" s="867">
        <f>G22+K22</f>
        <v>757.83157894736848</v>
      </c>
      <c r="M22" s="863"/>
      <c r="N22" s="912">
        <v>1</v>
      </c>
      <c r="O22" s="945">
        <f>N22</f>
        <v>1</v>
      </c>
      <c r="P22" s="50"/>
      <c r="Q22" s="22" t="s">
        <v>1499</v>
      </c>
      <c r="R22">
        <f>AVERAGE(2,4)</f>
        <v>3</v>
      </c>
      <c r="S22" s="663">
        <f>G62</f>
        <v>5.9146083333333319</v>
      </c>
      <c r="T22" s="999">
        <v>1</v>
      </c>
    </row>
    <row r="23" spans="1:20">
      <c r="A23" s="665" t="s">
        <v>1500</v>
      </c>
      <c r="B23" s="852">
        <f>B22</f>
        <v>0</v>
      </c>
      <c r="C23" s="866">
        <f>C22</f>
        <v>0</v>
      </c>
      <c r="D23" s="852">
        <f>D22</f>
        <v>0.2</v>
      </c>
      <c r="E23" s="867">
        <f>E22</f>
        <v>19.161249463986437</v>
      </c>
      <c r="F23" s="871">
        <f>F22</f>
        <v>10.399999999999999</v>
      </c>
      <c r="G23" s="867">
        <f>(E23-C23)*F23</f>
        <v>199.27699442545892</v>
      </c>
      <c r="H23" s="852">
        <f>H22</f>
        <v>0.65</v>
      </c>
      <c r="I23" s="867">
        <f>I22</f>
        <v>53.707171588645153</v>
      </c>
      <c r="J23" s="871">
        <f>J22</f>
        <v>10.399999999999999</v>
      </c>
      <c r="K23" s="870">
        <f>J23*I23</f>
        <v>558.55458452190953</v>
      </c>
      <c r="L23" s="867">
        <f>G23+K23</f>
        <v>757.83157894736848</v>
      </c>
      <c r="M23" s="863"/>
      <c r="N23" s="912">
        <f>N22</f>
        <v>1</v>
      </c>
      <c r="O23" s="945">
        <f>N23</f>
        <v>1</v>
      </c>
      <c r="P23" s="50"/>
      <c r="Q23" s="22" t="s">
        <v>1650</v>
      </c>
      <c r="R23">
        <v>1.8</v>
      </c>
      <c r="S23" s="663">
        <f>G63</f>
        <v>17.923055555555553</v>
      </c>
      <c r="T23" s="999">
        <v>0.8</v>
      </c>
    </row>
    <row r="24" spans="1:20">
      <c r="A24" s="645" t="s">
        <v>1502</v>
      </c>
      <c r="B24" s="587"/>
      <c r="C24" s="587"/>
      <c r="D24" s="587"/>
      <c r="E24" s="772"/>
      <c r="F24" s="587"/>
      <c r="G24" s="587"/>
      <c r="H24" s="587"/>
      <c r="I24" s="772"/>
      <c r="J24" s="872"/>
      <c r="K24" s="772"/>
      <c r="L24" s="587"/>
      <c r="M24" s="587"/>
      <c r="N24" s="872"/>
      <c r="O24" s="946"/>
      <c r="P24" s="50"/>
      <c r="Q24" s="22" t="s">
        <v>1501</v>
      </c>
      <c r="R24">
        <f>AVERAGE(1,3)</f>
        <v>2</v>
      </c>
      <c r="S24" s="663">
        <f>G64</f>
        <v>1.881920833333333</v>
      </c>
      <c r="T24" s="999">
        <v>1</v>
      </c>
    </row>
    <row r="25" spans="1:20">
      <c r="A25" s="665" t="s">
        <v>1504</v>
      </c>
      <c r="B25" s="852">
        <v>0.01</v>
      </c>
      <c r="C25" s="866">
        <f>B25*$I$13</f>
        <v>0.78847368421052633</v>
      </c>
      <c r="D25" s="852">
        <v>0.14250000000000002</v>
      </c>
      <c r="E25" s="866">
        <f>D25*$I$14</f>
        <v>13.652390243090338</v>
      </c>
      <c r="F25" s="872">
        <f>SUM(E48+E51)*N25</f>
        <v>7.7333333333333334</v>
      </c>
      <c r="G25" s="717">
        <f>(E25-C25)*F25</f>
        <v>99.480954722003872</v>
      </c>
      <c r="H25" s="873">
        <v>0.5</v>
      </c>
      <c r="I25" s="866">
        <f>H25*$I$15</f>
        <v>56.05263157894737</v>
      </c>
      <c r="J25" s="872">
        <f>SUM(E48+E51)*O25</f>
        <v>7.7333333333333334</v>
      </c>
      <c r="K25" s="717">
        <f>J25*(I25-E25)</f>
        <v>327.89519966396108</v>
      </c>
      <c r="L25" s="717">
        <f>G25+K25</f>
        <v>427.37615438596492</v>
      </c>
      <c r="M25" s="866"/>
      <c r="N25" s="872">
        <v>1</v>
      </c>
      <c r="O25" s="946">
        <f>N25</f>
        <v>1</v>
      </c>
      <c r="P25" s="50"/>
      <c r="Q25" s="645" t="s">
        <v>1651</v>
      </c>
      <c r="R25" s="671">
        <f>SUM(R20:R24)</f>
        <v>11.65</v>
      </c>
      <c r="S25" s="671">
        <f>SUM(S20:S24)</f>
        <v>29.483426388888883</v>
      </c>
      <c r="T25" s="602">
        <f>AVERAGE(T20:T24)</f>
        <v>0.96</v>
      </c>
    </row>
    <row r="26" spans="1:20" ht="13.9" customHeight="1">
      <c r="A26" s="665" t="s">
        <v>1506</v>
      </c>
      <c r="B26" s="852">
        <v>0.02</v>
      </c>
      <c r="C26" s="866">
        <v>0</v>
      </c>
      <c r="D26" s="852">
        <v>0.04</v>
      </c>
      <c r="E26" s="866">
        <f>D26*$I$14</f>
        <v>3.8322498927972872</v>
      </c>
      <c r="F26" s="872">
        <f>AVERAGE(E47)*N26</f>
        <v>6.666666666666667</v>
      </c>
      <c r="G26" s="717">
        <f>(E26-C26)*F26</f>
        <v>25.548332618648583</v>
      </c>
      <c r="H26" s="873">
        <v>0.1</v>
      </c>
      <c r="I26" s="866">
        <f>H26*$I$15</f>
        <v>11.210526315789474</v>
      </c>
      <c r="J26" s="872">
        <f>AVERAGE(E47)*O26</f>
        <v>6.666666666666667</v>
      </c>
      <c r="K26" s="717">
        <f>J26*(I26-E26)</f>
        <v>49.188509486614578</v>
      </c>
      <c r="L26" s="717">
        <f>G26+K26</f>
        <v>74.736842105263165</v>
      </c>
      <c r="M26" s="866"/>
      <c r="N26" s="872">
        <f>N25</f>
        <v>1</v>
      </c>
      <c r="O26" s="946">
        <f>N26</f>
        <v>1</v>
      </c>
      <c r="P26" s="50"/>
      <c r="Q26" s="672" t="s">
        <v>1652</v>
      </c>
      <c r="R26" s="1004">
        <f>R25*29.3/1000</f>
        <v>0.34134500000000001</v>
      </c>
      <c r="S26" s="673"/>
      <c r="T26" s="981"/>
    </row>
    <row r="27" spans="1:20">
      <c r="A27" s="665" t="s">
        <v>1507</v>
      </c>
      <c r="B27" s="852">
        <v>0</v>
      </c>
      <c r="C27" s="866">
        <v>0</v>
      </c>
      <c r="D27" s="852">
        <v>3.7499999999999999E-2</v>
      </c>
      <c r="E27" s="866">
        <f>D27*$I$14</f>
        <v>3.5927342744974569</v>
      </c>
      <c r="F27" s="769">
        <f>G58*N27</f>
        <v>2.4375355555555553</v>
      </c>
      <c r="G27" s="717">
        <f>(E27-C27)*F27</f>
        <v>8.7574175357506441</v>
      </c>
      <c r="H27" s="873">
        <v>0.15</v>
      </c>
      <c r="I27" s="866">
        <f>H27*$I$15</f>
        <v>16.815789473684209</v>
      </c>
      <c r="J27" s="872">
        <f>G58*O27</f>
        <v>4.8750711111111107</v>
      </c>
      <c r="K27" s="717">
        <f>J27*(I27-E27)</f>
        <v>64.463334402182909</v>
      </c>
      <c r="L27" s="717">
        <f>G27+K27</f>
        <v>73.220751937933557</v>
      </c>
      <c r="M27" s="587"/>
      <c r="N27" s="872">
        <v>1</v>
      </c>
      <c r="O27" s="946">
        <v>2</v>
      </c>
      <c r="P27" s="50"/>
    </row>
    <row r="28" spans="1:20">
      <c r="A28" s="665" t="s">
        <v>1508</v>
      </c>
      <c r="B28" s="852">
        <v>0</v>
      </c>
      <c r="C28" s="866">
        <v>0</v>
      </c>
      <c r="D28" s="852">
        <v>3.5000000000000003E-2</v>
      </c>
      <c r="E28" s="866">
        <f>D28*$I$14</f>
        <v>3.3532186561976269</v>
      </c>
      <c r="F28" s="874"/>
      <c r="G28" s="874"/>
      <c r="H28" s="873">
        <v>0.1</v>
      </c>
      <c r="I28" s="866">
        <f>H28*$I$15</f>
        <v>11.210526315789474</v>
      </c>
      <c r="J28" s="875"/>
      <c r="K28" s="876"/>
      <c r="L28" s="874"/>
      <c r="M28" s="587"/>
      <c r="N28" s="872">
        <v>1</v>
      </c>
      <c r="O28" s="946">
        <f>N28</f>
        <v>1</v>
      </c>
      <c r="P28" s="50"/>
    </row>
    <row r="29" spans="1:20" s="584" customFormat="1">
      <c r="A29" s="752" t="s">
        <v>1509</v>
      </c>
      <c r="B29" s="852"/>
      <c r="C29" s="866"/>
      <c r="D29" s="852"/>
      <c r="E29" s="717"/>
      <c r="F29" s="587"/>
      <c r="G29" s="772">
        <f>C81</f>
        <v>172.25438302385066</v>
      </c>
      <c r="H29" s="877"/>
      <c r="I29" s="867">
        <f>D81</f>
        <v>435.36770007209805</v>
      </c>
      <c r="J29" s="871"/>
      <c r="K29" s="772">
        <f>I29-G29</f>
        <v>263.11331704824738</v>
      </c>
      <c r="L29" s="717">
        <f>G29+K29</f>
        <v>435.36770007209805</v>
      </c>
      <c r="M29" s="587"/>
      <c r="N29" s="872"/>
      <c r="O29" s="946"/>
      <c r="P29" s="760"/>
      <c r="R29" s="585"/>
    </row>
    <row r="30" spans="1:20">
      <c r="A30" s="665" t="s">
        <v>1510</v>
      </c>
      <c r="B30" s="852"/>
      <c r="C30" s="866"/>
      <c r="D30" s="852"/>
      <c r="E30" s="717"/>
      <c r="F30" s="587"/>
      <c r="G30" s="772">
        <f>C82</f>
        <v>574.18127674616881</v>
      </c>
      <c r="H30" s="877"/>
      <c r="I30" s="867">
        <f>D82</f>
        <v>1451.2256669069932</v>
      </c>
      <c r="J30" s="871"/>
      <c r="K30" s="772">
        <f>I30-G30</f>
        <v>877.04439016082438</v>
      </c>
      <c r="L30" s="717">
        <f>G30+K30</f>
        <v>1451.2256669069932</v>
      </c>
      <c r="M30" s="587"/>
      <c r="N30" s="872"/>
      <c r="O30" s="946"/>
      <c r="P30" s="50"/>
    </row>
    <row r="31" spans="1:20">
      <c r="A31" s="687" t="s">
        <v>1511</v>
      </c>
      <c r="B31" s="879">
        <v>0</v>
      </c>
      <c r="C31" s="880">
        <v>0</v>
      </c>
      <c r="D31" s="879">
        <v>0.02</v>
      </c>
      <c r="E31" s="856">
        <f>D31*I14</f>
        <v>1.9161249463986436</v>
      </c>
      <c r="F31" s="881">
        <f>E52*N31</f>
        <v>366.66666666666669</v>
      </c>
      <c r="G31" s="882">
        <f>(E31-C31)*F31</f>
        <v>702.57914701283607</v>
      </c>
      <c r="H31" s="879">
        <v>0.5</v>
      </c>
      <c r="I31" s="882">
        <f>H31*F15</f>
        <v>60</v>
      </c>
      <c r="J31" s="882">
        <f>E52*O31</f>
        <v>330</v>
      </c>
      <c r="K31" s="882">
        <f>J31*(I31-E31)</f>
        <v>19167.678767688445</v>
      </c>
      <c r="L31" s="882">
        <f>G31+K31</f>
        <v>19870.25791470128</v>
      </c>
      <c r="M31" s="855"/>
      <c r="N31" s="901">
        <v>1</v>
      </c>
      <c r="O31" s="947">
        <v>0.9</v>
      </c>
      <c r="P31" s="50"/>
    </row>
    <row r="32" spans="1:20">
      <c r="A32" s="664"/>
      <c r="B32" s="46"/>
      <c r="C32" s="99"/>
      <c r="D32" s="46"/>
      <c r="E32" s="591"/>
      <c r="F32" s="499"/>
      <c r="G32" s="591"/>
      <c r="H32" s="46"/>
      <c r="I32" s="591"/>
      <c r="J32" s="498"/>
      <c r="K32" s="591"/>
      <c r="L32" s="591"/>
      <c r="N32" s="600"/>
      <c r="O32" s="680"/>
      <c r="P32" s="50"/>
    </row>
    <row r="33" spans="1:17">
      <c r="A33" s="665"/>
      <c r="B33" s="46"/>
      <c r="C33" s="99"/>
      <c r="D33" s="46"/>
      <c r="E33" s="591"/>
      <c r="F33" s="499"/>
      <c r="G33" s="591"/>
      <c r="H33" s="46"/>
      <c r="I33" s="591"/>
      <c r="J33" s="498"/>
      <c r="K33" s="600"/>
      <c r="L33" s="591"/>
      <c r="N33" s="600"/>
      <c r="O33" s="680"/>
      <c r="P33" s="50"/>
    </row>
    <row r="34" spans="1:17">
      <c r="A34" s="99"/>
      <c r="D34" s="794"/>
      <c r="G34" s="577"/>
      <c r="H34" s="46"/>
      <c r="I34" s="577"/>
      <c r="J34" s="498"/>
      <c r="K34" s="577"/>
      <c r="L34" s="577"/>
      <c r="N34" s="50"/>
      <c r="O34" s="50"/>
      <c r="P34" s="50"/>
    </row>
    <row r="35" spans="1:17" ht="60">
      <c r="A35" s="692" t="s">
        <v>1515</v>
      </c>
      <c r="B35" s="693" t="s">
        <v>1516</v>
      </c>
      <c r="C35" s="693" t="s">
        <v>1517</v>
      </c>
      <c r="D35" s="693" t="s">
        <v>1518</v>
      </c>
      <c r="E35" s="655" t="s">
        <v>1519</v>
      </c>
      <c r="F35" s="655" t="s">
        <v>1520</v>
      </c>
      <c r="G35" s="694" t="s">
        <v>1521</v>
      </c>
      <c r="H35" s="694" t="s">
        <v>1522</v>
      </c>
      <c r="I35" s="694" t="s">
        <v>1523</v>
      </c>
      <c r="J35" s="695" t="s">
        <v>1524</v>
      </c>
      <c r="K35" s="577"/>
      <c r="L35" s="577"/>
      <c r="N35" s="50"/>
      <c r="O35" s="50"/>
      <c r="P35" s="50"/>
    </row>
    <row r="36" spans="1:17">
      <c r="A36" s="698" t="s">
        <v>1434</v>
      </c>
      <c r="B36" s="688">
        <v>0.1</v>
      </c>
      <c r="C36" s="688">
        <f>D27</f>
        <v>3.7499999999999999E-2</v>
      </c>
      <c r="D36" s="688">
        <f>H27</f>
        <v>0.15</v>
      </c>
      <c r="E36" s="643">
        <f>C36*I14</f>
        <v>3.5927342744974569</v>
      </c>
      <c r="F36" s="643">
        <f>D36*I15</f>
        <v>16.815789473684209</v>
      </c>
      <c r="G36" s="643">
        <v>2.8000000000000001E-2</v>
      </c>
      <c r="H36" s="643">
        <f>G36*E36*0.6</f>
        <v>6.0357935811557267E-2</v>
      </c>
      <c r="I36" s="643">
        <f>G36*F36*0.6</f>
        <v>0.2825052631578947</v>
      </c>
      <c r="J36" s="699">
        <f>I36-H36</f>
        <v>0.22214732734633744</v>
      </c>
      <c r="K36" s="577"/>
      <c r="L36" s="577"/>
      <c r="N36" s="50"/>
      <c r="O36" s="50"/>
      <c r="P36" s="50"/>
    </row>
    <row r="37" spans="1:17">
      <c r="N37" s="50"/>
      <c r="O37" s="50"/>
      <c r="P37" s="50"/>
    </row>
    <row r="38" spans="1:17">
      <c r="A38" s="700" t="s">
        <v>1527</v>
      </c>
      <c r="B38" s="693"/>
      <c r="C38" s="693"/>
      <c r="D38" s="521"/>
      <c r="E38" s="521"/>
      <c r="F38" s="521"/>
      <c r="G38" s="521"/>
      <c r="H38" s="521"/>
      <c r="I38" s="521"/>
      <c r="J38" s="682"/>
      <c r="K38" s="683"/>
      <c r="L38" s="50"/>
      <c r="M38" s="50"/>
      <c r="N38" s="50"/>
      <c r="O38" s="50"/>
      <c r="P38" s="50"/>
    </row>
    <row r="39" spans="1:17">
      <c r="A39" s="22"/>
      <c r="B39" s="701" t="s">
        <v>595</v>
      </c>
      <c r="C39" s="701" t="s">
        <v>116</v>
      </c>
      <c r="E39" s="701" t="s">
        <v>595</v>
      </c>
      <c r="F39" s="701" t="s">
        <v>116</v>
      </c>
      <c r="G39" s="23" t="s">
        <v>612</v>
      </c>
      <c r="J39" s="648"/>
      <c r="K39" s="649"/>
      <c r="L39" s="50"/>
      <c r="M39" s="50"/>
      <c r="N39" s="50"/>
      <c r="O39" s="50"/>
      <c r="P39" s="50"/>
    </row>
    <row r="40" spans="1:17">
      <c r="A40" s="22" t="s">
        <v>1528</v>
      </c>
      <c r="B40" s="702">
        <v>1.5</v>
      </c>
      <c r="C40" s="703" t="s">
        <v>1529</v>
      </c>
      <c r="D40" s="703" t="s">
        <v>1477</v>
      </c>
      <c r="E40" s="498">
        <f>B40*B41</f>
        <v>1.5</v>
      </c>
      <c r="F40" t="s">
        <v>1530</v>
      </c>
      <c r="G40" s="591"/>
      <c r="J40" s="648"/>
      <c r="K40" s="649"/>
      <c r="L40" s="50"/>
      <c r="M40" s="50"/>
      <c r="N40" s="50"/>
      <c r="O40" s="50"/>
      <c r="P40" s="50"/>
    </row>
    <row r="41" spans="1:17">
      <c r="A41" s="22" t="s">
        <v>1531</v>
      </c>
      <c r="B41" s="704">
        <v>1</v>
      </c>
      <c r="C41" s="705"/>
      <c r="D41" s="23"/>
      <c r="E41" s="23"/>
      <c r="F41" s="23"/>
      <c r="G41" s="23"/>
      <c r="J41" s="648"/>
      <c r="K41" s="649"/>
      <c r="L41" s="50"/>
      <c r="M41" s="50"/>
      <c r="N41" s="50"/>
      <c r="O41" s="50"/>
      <c r="P41" s="50"/>
    </row>
    <row r="42" spans="1:17">
      <c r="A42" s="645" t="s">
        <v>1496</v>
      </c>
      <c r="B42" s="704"/>
      <c r="C42" s="705"/>
      <c r="D42" s="23"/>
      <c r="E42" s="23"/>
      <c r="F42" s="23"/>
      <c r="G42" s="23"/>
      <c r="J42" s="648"/>
      <c r="K42" s="649"/>
      <c r="L42" s="50"/>
      <c r="M42" s="50"/>
      <c r="N42" s="50"/>
      <c r="O42" s="50"/>
      <c r="P42" s="50"/>
    </row>
    <row r="43" spans="1:17">
      <c r="A43" s="665" t="s">
        <v>1532</v>
      </c>
      <c r="B43" s="591">
        <v>6.6</v>
      </c>
      <c r="C43" s="703" t="s">
        <v>1533</v>
      </c>
      <c r="D43" s="23"/>
      <c r="E43" s="600">
        <f>B43/$B$40</f>
        <v>4.3999999999999995</v>
      </c>
      <c r="F43" t="s">
        <v>1334</v>
      </c>
      <c r="G43" s="705" t="s">
        <v>1534</v>
      </c>
      <c r="J43" s="648"/>
      <c r="K43" s="649"/>
      <c r="L43" s="50"/>
      <c r="M43" s="50"/>
      <c r="N43" s="50"/>
      <c r="O43" s="50"/>
      <c r="P43" s="50"/>
    </row>
    <row r="44" spans="1:17">
      <c r="A44" s="665" t="s">
        <v>1535</v>
      </c>
      <c r="B44" s="591">
        <v>8</v>
      </c>
      <c r="C44" s="703" t="s">
        <v>1533</v>
      </c>
      <c r="D44" s="23"/>
      <c r="E44" s="600">
        <f>B44/$B$40</f>
        <v>5.333333333333333</v>
      </c>
      <c r="F44" t="s">
        <v>1334</v>
      </c>
      <c r="G44" s="705" t="s">
        <v>1534</v>
      </c>
      <c r="J44" s="648"/>
      <c r="K44" s="649"/>
      <c r="L44" s="50"/>
      <c r="M44" s="50"/>
      <c r="N44" s="50"/>
      <c r="O44" s="50"/>
      <c r="P44" s="50"/>
    </row>
    <row r="45" spans="1:17">
      <c r="A45" s="665" t="s">
        <v>1536</v>
      </c>
      <c r="B45" s="591">
        <v>1</v>
      </c>
      <c r="C45" s="703" t="s">
        <v>1533</v>
      </c>
      <c r="D45" s="23"/>
      <c r="E45" s="600">
        <f>B45/$B$40</f>
        <v>0.66666666666666663</v>
      </c>
      <c r="F45" t="s">
        <v>1334</v>
      </c>
      <c r="G45" s="705" t="s">
        <v>1534</v>
      </c>
      <c r="J45" s="648"/>
      <c r="K45" s="649"/>
      <c r="L45" s="50"/>
      <c r="M45" s="50"/>
      <c r="N45" s="50"/>
      <c r="O45" s="50"/>
      <c r="P45" s="50"/>
    </row>
    <row r="46" spans="1:17">
      <c r="A46" s="645" t="s">
        <v>1537</v>
      </c>
      <c r="B46" s="23"/>
      <c r="C46" s="23"/>
      <c r="D46" s="23" t="s">
        <v>1537</v>
      </c>
      <c r="J46" s="648"/>
      <c r="K46" s="649"/>
      <c r="L46" s="50"/>
      <c r="M46" s="50"/>
      <c r="N46" s="50"/>
      <c r="O46" s="50"/>
      <c r="P46" s="50"/>
    </row>
    <row r="47" spans="1:17">
      <c r="A47" s="665" t="s">
        <v>1538</v>
      </c>
      <c r="B47" s="591">
        <v>10</v>
      </c>
      <c r="C47" s="703" t="s">
        <v>1533</v>
      </c>
      <c r="D47" s="706" t="s">
        <v>1538</v>
      </c>
      <c r="E47" s="600">
        <f t="shared" ref="E47:E52" si="0">B47/$B$40</f>
        <v>6.666666666666667</v>
      </c>
      <c r="F47" t="s">
        <v>1334</v>
      </c>
      <c r="G47" s="705" t="s">
        <v>1534</v>
      </c>
      <c r="J47" s="648"/>
      <c r="K47" s="649"/>
      <c r="L47" s="50"/>
      <c r="M47" s="50"/>
      <c r="N47" s="50"/>
      <c r="P47" s="50"/>
    </row>
    <row r="48" spans="1:17">
      <c r="A48" s="665" t="s">
        <v>1539</v>
      </c>
      <c r="B48" s="591">
        <v>10</v>
      </c>
      <c r="C48" s="703" t="s">
        <v>1533</v>
      </c>
      <c r="D48" s="706" t="s">
        <v>1539</v>
      </c>
      <c r="E48" s="600">
        <f t="shared" si="0"/>
        <v>6.666666666666667</v>
      </c>
      <c r="F48" t="s">
        <v>1334</v>
      </c>
      <c r="G48" s="705" t="s">
        <v>1534</v>
      </c>
      <c r="J48" s="648"/>
      <c r="K48" s="649"/>
      <c r="L48" s="50"/>
      <c r="M48" s="50"/>
      <c r="N48" s="50"/>
      <c r="O48" s="50"/>
      <c r="P48" s="50"/>
      <c r="Q48" s="50"/>
    </row>
    <row r="49" spans="1:17">
      <c r="A49" s="665" t="s">
        <v>1541</v>
      </c>
      <c r="B49" s="591">
        <v>1</v>
      </c>
      <c r="C49" s="703" t="s">
        <v>1533</v>
      </c>
      <c r="D49" s="706" t="s">
        <v>1541</v>
      </c>
      <c r="E49" s="600">
        <f t="shared" si="0"/>
        <v>0.66666666666666663</v>
      </c>
      <c r="F49" t="s">
        <v>1334</v>
      </c>
      <c r="G49" s="705" t="s">
        <v>1534</v>
      </c>
      <c r="J49" s="648"/>
      <c r="K49" s="649"/>
      <c r="L49" s="50"/>
      <c r="M49" s="50"/>
      <c r="N49" s="50"/>
      <c r="O49" s="50"/>
      <c r="P49" s="50"/>
      <c r="Q49" s="50"/>
    </row>
    <row r="50" spans="1:17">
      <c r="A50" s="665" t="s">
        <v>1542</v>
      </c>
      <c r="B50" s="591">
        <v>1.3</v>
      </c>
      <c r="C50" s="703" t="s">
        <v>1533</v>
      </c>
      <c r="D50" s="706" t="s">
        <v>1542</v>
      </c>
      <c r="E50" s="600">
        <f t="shared" si="0"/>
        <v>0.8666666666666667</v>
      </c>
      <c r="F50" t="s">
        <v>1334</v>
      </c>
      <c r="G50" s="705" t="s">
        <v>1534</v>
      </c>
      <c r="K50" s="595"/>
    </row>
    <row r="51" spans="1:17">
      <c r="A51" s="665" t="s">
        <v>1543</v>
      </c>
      <c r="B51" s="600">
        <v>1.6</v>
      </c>
      <c r="C51" s="703" t="s">
        <v>1533</v>
      </c>
      <c r="D51" s="706" t="s">
        <v>1543</v>
      </c>
      <c r="E51" s="600">
        <f t="shared" si="0"/>
        <v>1.0666666666666667</v>
      </c>
      <c r="F51" t="s">
        <v>1334</v>
      </c>
      <c r="G51" s="705" t="s">
        <v>1534</v>
      </c>
      <c r="K51" s="595"/>
    </row>
    <row r="52" spans="1:17">
      <c r="A52" s="664" t="s">
        <v>1514</v>
      </c>
      <c r="B52" s="591">
        <v>550</v>
      </c>
      <c r="C52" s="703" t="s">
        <v>1533</v>
      </c>
      <c r="D52" s="99" t="s">
        <v>1514</v>
      </c>
      <c r="E52" s="591">
        <f t="shared" si="0"/>
        <v>366.66666666666669</v>
      </c>
      <c r="F52" t="s">
        <v>1334</v>
      </c>
      <c r="G52" s="705" t="s">
        <v>1534</v>
      </c>
      <c r="K52" s="595"/>
    </row>
    <row r="53" spans="1:17">
      <c r="A53" s="22"/>
      <c r="E53" s="648"/>
      <c r="F53" s="648"/>
      <c r="G53" s="648"/>
      <c r="K53" s="595"/>
    </row>
    <row r="54" spans="1:17">
      <c r="A54" s="664" t="s">
        <v>1544</v>
      </c>
      <c r="K54" s="595"/>
    </row>
    <row r="55" spans="1:17">
      <c r="A55" s="22"/>
      <c r="B55" s="23" t="s">
        <v>595</v>
      </c>
      <c r="C55" s="23" t="s">
        <v>116</v>
      </c>
      <c r="D55" s="23"/>
      <c r="E55" s="23"/>
      <c r="F55" s="23"/>
      <c r="G55" s="23"/>
      <c r="H55" s="23"/>
      <c r="I55" s="23"/>
      <c r="K55" s="595"/>
    </row>
    <row r="56" spans="1:17">
      <c r="A56" s="22" t="s">
        <v>1470</v>
      </c>
      <c r="B56">
        <v>6000</v>
      </c>
      <c r="C56" t="s">
        <v>1471</v>
      </c>
      <c r="D56" t="s">
        <v>1470</v>
      </c>
      <c r="E56" s="591">
        <f>B56*300</f>
        <v>1800000</v>
      </c>
      <c r="F56" t="s">
        <v>1545</v>
      </c>
      <c r="G56" s="591" t="s">
        <v>1301</v>
      </c>
      <c r="K56" s="595"/>
    </row>
    <row r="57" spans="1:17">
      <c r="A57" s="645" t="s">
        <v>1546</v>
      </c>
      <c r="B57" s="23" t="s">
        <v>1547</v>
      </c>
      <c r="C57" s="23" t="s">
        <v>1548</v>
      </c>
      <c r="D57" s="701" t="s">
        <v>116</v>
      </c>
      <c r="E57" s="701" t="s">
        <v>612</v>
      </c>
      <c r="F57" s="701" t="s">
        <v>505</v>
      </c>
      <c r="G57" s="671" t="s">
        <v>595</v>
      </c>
      <c r="H57" s="701" t="s">
        <v>116</v>
      </c>
      <c r="I57" s="701" t="s">
        <v>612</v>
      </c>
      <c r="K57" s="595"/>
    </row>
    <row r="58" spans="1:17">
      <c r="A58" s="22" t="s">
        <v>1549</v>
      </c>
      <c r="B58">
        <v>2.2999999999999998</v>
      </c>
      <c r="C58">
        <v>4.5</v>
      </c>
      <c r="D58" s="591" t="s">
        <v>1550</v>
      </c>
      <c r="E58" s="591" t="s">
        <v>1551</v>
      </c>
      <c r="F58" s="591" t="s">
        <v>1552</v>
      </c>
      <c r="G58" s="663">
        <f>AVERAGE(B58:C58)*10^6/$E$56*$D$67*$D$68</f>
        <v>2.4375355555555553</v>
      </c>
      <c r="H58" t="s">
        <v>1334</v>
      </c>
      <c r="I58" s="591" t="s">
        <v>1553</v>
      </c>
      <c r="K58" s="595"/>
    </row>
    <row r="59" spans="1:17">
      <c r="A59" s="22" t="s">
        <v>1554</v>
      </c>
      <c r="B59">
        <f>5/2</f>
        <v>2.5</v>
      </c>
      <c r="C59">
        <f>8/2</f>
        <v>4</v>
      </c>
      <c r="D59" s="591" t="s">
        <v>1550</v>
      </c>
      <c r="E59" s="591" t="s">
        <v>1551</v>
      </c>
      <c r="F59" s="591" t="s">
        <v>1555</v>
      </c>
      <c r="G59" s="663">
        <f t="shared" ref="G59:G64" si="1">AVERAGE(B59:C59)*10^6/$E$56*$D$67*$D$68</f>
        <v>2.3299972222222221</v>
      </c>
      <c r="H59" t="s">
        <v>1334</v>
      </c>
      <c r="I59" s="591" t="s">
        <v>1553</v>
      </c>
      <c r="K59" s="595"/>
    </row>
    <row r="60" spans="1:17">
      <c r="A60" s="22" t="s">
        <v>1556</v>
      </c>
      <c r="B60">
        <v>1</v>
      </c>
      <c r="C60">
        <v>3</v>
      </c>
      <c r="D60" s="591" t="s">
        <v>1550</v>
      </c>
      <c r="E60" s="591" t="s">
        <v>1551</v>
      </c>
      <c r="F60" s="591" t="s">
        <v>1557</v>
      </c>
      <c r="G60" s="663">
        <f t="shared" si="1"/>
        <v>1.433844444444444</v>
      </c>
      <c r="H60" t="s">
        <v>1334</v>
      </c>
      <c r="I60" s="591" t="s">
        <v>1553</v>
      </c>
      <c r="K60" s="595"/>
    </row>
    <row r="61" spans="1:17">
      <c r="A61" s="22" t="s">
        <v>1558</v>
      </c>
      <c r="B61">
        <v>15</v>
      </c>
      <c r="C61">
        <v>20</v>
      </c>
      <c r="D61" s="591" t="s">
        <v>1550</v>
      </c>
      <c r="E61" s="591" t="s">
        <v>1551</v>
      </c>
      <c r="F61" s="591" t="s">
        <v>1559</v>
      </c>
      <c r="G61" s="663">
        <f t="shared" si="1"/>
        <v>12.546138888888885</v>
      </c>
      <c r="H61" t="s">
        <v>1334</v>
      </c>
      <c r="I61" s="591" t="s">
        <v>1553</v>
      </c>
      <c r="J61" s="707"/>
      <c r="K61" s="708"/>
      <c r="L61" s="707"/>
      <c r="M61" s="707"/>
    </row>
    <row r="62" spans="1:17">
      <c r="A62" s="22" t="s">
        <v>1499</v>
      </c>
      <c r="B62">
        <v>5.5</v>
      </c>
      <c r="C62">
        <v>11</v>
      </c>
      <c r="D62" s="591" t="s">
        <v>1550</v>
      </c>
      <c r="E62" s="591" t="s">
        <v>1551</v>
      </c>
      <c r="F62" s="591" t="s">
        <v>1560</v>
      </c>
      <c r="G62" s="663">
        <f t="shared" si="1"/>
        <v>5.9146083333333319</v>
      </c>
      <c r="H62" t="s">
        <v>1334</v>
      </c>
      <c r="I62" s="591" t="s">
        <v>1553</v>
      </c>
      <c r="J62" s="707"/>
      <c r="K62" s="708"/>
      <c r="L62" s="707"/>
      <c r="M62" s="707"/>
    </row>
    <row r="63" spans="1:17">
      <c r="A63" s="22" t="s">
        <v>1650</v>
      </c>
      <c r="B63">
        <v>20</v>
      </c>
      <c r="C63">
        <v>30</v>
      </c>
      <c r="D63" s="591" t="s">
        <v>1550</v>
      </c>
      <c r="E63" s="591" t="s">
        <v>1551</v>
      </c>
      <c r="F63" s="591" t="s">
        <v>1560</v>
      </c>
      <c r="G63" s="663">
        <f>AVERAGE(B63:C63)*10^6/$E$56*$D$67*$D$68</f>
        <v>17.923055555555553</v>
      </c>
      <c r="H63" t="s">
        <v>1334</v>
      </c>
      <c r="I63" s="591" t="s">
        <v>1653</v>
      </c>
      <c r="J63" s="707"/>
      <c r="K63" s="708"/>
      <c r="L63" s="707"/>
      <c r="M63" s="707"/>
    </row>
    <row r="64" spans="1:17">
      <c r="A64" s="31" t="s">
        <v>1501</v>
      </c>
      <c r="B64" s="523">
        <v>0.25</v>
      </c>
      <c r="C64" s="523">
        <v>5</v>
      </c>
      <c r="D64" s="593" t="s">
        <v>1550</v>
      </c>
      <c r="E64" s="593" t="s">
        <v>1551</v>
      </c>
      <c r="F64" s="593" t="s">
        <v>1560</v>
      </c>
      <c r="G64" s="709">
        <f t="shared" si="1"/>
        <v>1.881920833333333</v>
      </c>
      <c r="H64" s="523" t="s">
        <v>1334</v>
      </c>
      <c r="I64" s="593" t="s">
        <v>1553</v>
      </c>
      <c r="J64" s="710"/>
      <c r="K64" s="711"/>
      <c r="L64" s="28"/>
      <c r="M64" s="28"/>
    </row>
    <row r="66" spans="1:20">
      <c r="A66" s="700" t="s">
        <v>1561</v>
      </c>
      <c r="B66" s="635"/>
      <c r="C66" s="521"/>
      <c r="D66" s="521"/>
      <c r="E66" s="521"/>
      <c r="F66" s="521"/>
      <c r="G66" s="682"/>
      <c r="H66" s="639"/>
    </row>
    <row r="67" spans="1:20">
      <c r="A67" s="22">
        <v>1</v>
      </c>
      <c r="B67" t="s">
        <v>1562</v>
      </c>
      <c r="C67" t="s">
        <v>695</v>
      </c>
      <c r="D67" s="712">
        <v>1.1419999999999999</v>
      </c>
      <c r="E67" t="s">
        <v>1563</v>
      </c>
      <c r="F67" s="713" t="s">
        <v>1564</v>
      </c>
      <c r="G67" s="648"/>
      <c r="H67" s="595"/>
    </row>
    <row r="68" spans="1:20">
      <c r="A68" s="31">
        <v>1</v>
      </c>
      <c r="B68" s="523" t="s">
        <v>1563</v>
      </c>
      <c r="C68" s="523" t="s">
        <v>695</v>
      </c>
      <c r="D68" s="714">
        <v>1.1299999999999999</v>
      </c>
      <c r="E68" s="523" t="s">
        <v>1565</v>
      </c>
      <c r="F68" s="715" t="s">
        <v>1566</v>
      </c>
      <c r="G68" s="690"/>
      <c r="H68" s="605"/>
    </row>
    <row r="70" spans="1:20">
      <c r="A70" s="644" t="s">
        <v>1649</v>
      </c>
      <c r="B70" s="521"/>
      <c r="C70" s="521"/>
      <c r="D70" s="521"/>
      <c r="E70" s="521"/>
      <c r="F70" s="521"/>
      <c r="G70" s="521"/>
      <c r="H70" s="639"/>
    </row>
    <row r="71" spans="1:20">
      <c r="A71" s="645"/>
      <c r="B71" s="23">
        <v>2030</v>
      </c>
      <c r="C71" s="23">
        <v>2060</v>
      </c>
      <c r="D71" s="23" t="s">
        <v>116</v>
      </c>
      <c r="E71" s="23" t="s">
        <v>612</v>
      </c>
      <c r="H71" s="595"/>
    </row>
    <row r="72" spans="1:20">
      <c r="A72" s="22" t="s">
        <v>1567</v>
      </c>
      <c r="B72" s="498">
        <f>H36</f>
        <v>6.0357935811557267E-2</v>
      </c>
      <c r="C72" s="498">
        <f>I36</f>
        <v>0.2825052631578947</v>
      </c>
      <c r="D72" t="s">
        <v>1364</v>
      </c>
      <c r="E72" t="s">
        <v>1365</v>
      </c>
      <c r="H72" s="595"/>
    </row>
    <row r="73" spans="1:20">
      <c r="A73" s="22" t="s">
        <v>1368</v>
      </c>
      <c r="B73" s="498">
        <f>50</f>
        <v>50</v>
      </c>
      <c r="C73" s="498">
        <v>45</v>
      </c>
      <c r="D73" t="s">
        <v>1369</v>
      </c>
      <c r="E73" t="s">
        <v>1030</v>
      </c>
      <c r="F73" s="584"/>
      <c r="G73" s="584"/>
      <c r="H73" s="595"/>
    </row>
    <row r="74" spans="1:20" s="584" customFormat="1">
      <c r="A74" s="764" t="s">
        <v>1372</v>
      </c>
      <c r="B74" s="754">
        <f>8760</f>
        <v>8760</v>
      </c>
      <c r="C74" s="751">
        <f>B74</f>
        <v>8760</v>
      </c>
      <c r="D74" s="584" t="s">
        <v>1373</v>
      </c>
      <c r="E74" s="584" t="s">
        <v>1374</v>
      </c>
      <c r="H74" s="719"/>
    </row>
    <row r="75" spans="1:20">
      <c r="A75" s="716" t="s">
        <v>1375</v>
      </c>
      <c r="B75" s="717">
        <f>B74*30%</f>
        <v>2628</v>
      </c>
      <c r="C75" s="717">
        <f>B75</f>
        <v>2628</v>
      </c>
      <c r="D75" s="587" t="s">
        <v>1373</v>
      </c>
      <c r="E75" s="587" t="s">
        <v>1376</v>
      </c>
      <c r="F75" s="584"/>
      <c r="G75" s="584"/>
      <c r="H75" s="595"/>
    </row>
    <row r="76" spans="1:20" s="584" customFormat="1">
      <c r="A76" s="764" t="s">
        <v>1377</v>
      </c>
      <c r="B76" s="751">
        <f>B72/(B74/B73)*1000</f>
        <v>0.34450876604770131</v>
      </c>
      <c r="C76" s="751">
        <f>C72*C73/C74*1000</f>
        <v>1.4512256669069934</v>
      </c>
      <c r="D76" s="584" t="s">
        <v>1230</v>
      </c>
      <c r="H76" s="719"/>
    </row>
    <row r="77" spans="1:20">
      <c r="A77" s="22" t="s">
        <v>1378</v>
      </c>
      <c r="B77" s="499">
        <f>B72/(B75/B73)*1000</f>
        <v>1.1483625534923376</v>
      </c>
      <c r="C77" s="499">
        <f>C72/(C75/C73)*1000</f>
        <v>4.8374188896899772</v>
      </c>
      <c r="D77" t="s">
        <v>1230</v>
      </c>
      <c r="F77" s="584"/>
      <c r="G77" s="584"/>
      <c r="H77" s="595"/>
    </row>
    <row r="78" spans="1:20">
      <c r="A78" s="22"/>
      <c r="H78" s="595"/>
    </row>
    <row r="79" spans="1:20">
      <c r="A79" s="22"/>
      <c r="H79" s="595"/>
      <c r="N79" s="584"/>
      <c r="O79" s="584"/>
      <c r="P79" s="584"/>
      <c r="Q79" s="584"/>
      <c r="R79" s="584"/>
      <c r="S79" s="584"/>
      <c r="T79" s="584"/>
    </row>
    <row r="80" spans="1:20">
      <c r="A80" s="645" t="s">
        <v>1379</v>
      </c>
      <c r="B80" s="23">
        <v>2022</v>
      </c>
      <c r="C80" s="23">
        <v>2030</v>
      </c>
      <c r="D80" s="23">
        <v>2060</v>
      </c>
      <c r="E80" s="23" t="s">
        <v>116</v>
      </c>
      <c r="F80" s="23" t="s">
        <v>612</v>
      </c>
      <c r="H80" s="595"/>
    </row>
    <row r="81" spans="1:10" s="584" customFormat="1">
      <c r="A81" s="764" t="s">
        <v>1380</v>
      </c>
      <c r="C81" s="751">
        <f>B76*'H2 Production Cost'!$C$31</f>
        <v>172.25438302385066</v>
      </c>
      <c r="D81" s="754">
        <f>C76*'H2 Production Cost'!$D$31</f>
        <v>435.36770007209805</v>
      </c>
      <c r="E81" s="584" t="s">
        <v>1381</v>
      </c>
      <c r="F81" s="584" t="s">
        <v>1349</v>
      </c>
      <c r="H81" s="719"/>
    </row>
    <row r="82" spans="1:10">
      <c r="A82" s="22" t="s">
        <v>1382</v>
      </c>
      <c r="C82" s="499">
        <f>B77*'H2 Production Cost'!$C$31</f>
        <v>574.18127674616881</v>
      </c>
      <c r="D82" s="591">
        <f>C77*'H2 Production Cost'!$D$31</f>
        <v>1451.2256669069932</v>
      </c>
      <c r="E82" t="s">
        <v>1381</v>
      </c>
      <c r="F82" t="s">
        <v>1349</v>
      </c>
      <c r="H82" s="595"/>
    </row>
    <row r="83" spans="1:10">
      <c r="A83" s="22"/>
      <c r="C83" s="499"/>
      <c r="D83" s="591"/>
      <c r="H83" s="595"/>
    </row>
    <row r="84" spans="1:10">
      <c r="A84" s="645" t="s">
        <v>1383</v>
      </c>
      <c r="C84" s="23">
        <v>2030</v>
      </c>
      <c r="D84" s="23">
        <v>2060</v>
      </c>
      <c r="E84" s="23" t="s">
        <v>116</v>
      </c>
      <c r="F84" s="23" t="s">
        <v>612</v>
      </c>
      <c r="H84" s="595"/>
    </row>
    <row r="85" spans="1:10">
      <c r="A85" s="764" t="s">
        <v>1384</v>
      </c>
      <c r="B85" s="584"/>
      <c r="C85" s="751">
        <f>B76*'Power Sector CapEx Cost-Indones'!B$40</f>
        <v>626.51522313811972</v>
      </c>
      <c r="D85" s="751">
        <f>C76*'Power Sector CapEx Cost-Indones'!C$40</f>
        <v>2292.9518652578477</v>
      </c>
      <c r="E85" s="584" t="s">
        <v>1381</v>
      </c>
      <c r="F85" s="584" t="s">
        <v>1349</v>
      </c>
      <c r="H85" s="595"/>
    </row>
    <row r="86" spans="1:10">
      <c r="A86" s="31" t="s">
        <v>1385</v>
      </c>
      <c r="B86" s="523"/>
      <c r="C86" s="631">
        <f>B77*'Power Sector CapEx Cost-Indones'!B$40</f>
        <v>2088.3840771270657</v>
      </c>
      <c r="D86" s="631">
        <f>C77*'Power Sector CapEx Cost-Indones'!C$40</f>
        <v>7643.1728841928243</v>
      </c>
      <c r="E86" s="523" t="s">
        <v>1381</v>
      </c>
      <c r="F86" s="523" t="s">
        <v>1349</v>
      </c>
      <c r="G86" s="523"/>
      <c r="H86" s="605"/>
    </row>
    <row r="87" spans="1:10">
      <c r="A87" s="738"/>
      <c r="B87" s="737"/>
      <c r="C87" s="737"/>
      <c r="D87" s="737"/>
      <c r="E87" s="737"/>
      <c r="F87" s="737"/>
      <c r="G87" s="737"/>
      <c r="H87" s="768"/>
    </row>
    <row r="88" spans="1:10" ht="15.75">
      <c r="A88" s="575" t="s">
        <v>1389</v>
      </c>
      <c r="C88" s="499"/>
      <c r="D88" s="591"/>
      <c r="G88" s="23"/>
      <c r="H88" s="23"/>
      <c r="I88" s="23"/>
    </row>
    <row r="89" spans="1:10">
      <c r="A89" s="644" t="s">
        <v>1649</v>
      </c>
      <c r="B89" s="521"/>
      <c r="C89" s="521"/>
      <c r="D89" s="639"/>
      <c r="G89" s="23">
        <v>2022</v>
      </c>
      <c r="H89" s="23">
        <v>2030</v>
      </c>
      <c r="I89" s="23">
        <v>2060</v>
      </c>
    </row>
    <row r="90" spans="1:10">
      <c r="A90" s="645"/>
      <c r="B90" s="23">
        <v>2030</v>
      </c>
      <c r="C90" s="23">
        <v>2060</v>
      </c>
      <c r="D90" s="718" t="s">
        <v>116</v>
      </c>
      <c r="F90" t="s">
        <v>1568</v>
      </c>
      <c r="G90" s="576">
        <v>2.9620812658000006</v>
      </c>
      <c r="H90" s="576">
        <v>2.6443287876433157</v>
      </c>
      <c r="I90" s="576">
        <v>3.3556163535173682</v>
      </c>
      <c r="J90" t="s">
        <v>1569</v>
      </c>
    </row>
    <row r="91" spans="1:10">
      <c r="A91" s="645" t="s">
        <v>1494</v>
      </c>
      <c r="B91" s="674">
        <f>G20/1000</f>
        <v>0.70617411011322584</v>
      </c>
      <c r="C91" s="674">
        <f>L20/1000</f>
        <v>2.5666768709308445</v>
      </c>
      <c r="D91" s="595" t="s">
        <v>1416</v>
      </c>
      <c r="E91" s="1001"/>
      <c r="F91" s="1208" t="s">
        <v>1477</v>
      </c>
      <c r="G91" s="1245">
        <f>B13</f>
        <v>63.3</v>
      </c>
      <c r="H91" s="1245">
        <f>B14</f>
        <v>76.914874608959636</v>
      </c>
      <c r="I91" s="1245">
        <f>B15</f>
        <v>90</v>
      </c>
      <c r="J91" t="s">
        <v>1570</v>
      </c>
    </row>
    <row r="92" spans="1:10">
      <c r="A92" s="664" t="s">
        <v>1496</v>
      </c>
      <c r="B92" s="674"/>
      <c r="C92" s="674"/>
      <c r="D92" s="595" t="s">
        <v>1416</v>
      </c>
      <c r="E92" s="577"/>
      <c r="F92" s="829" t="s">
        <v>1423</v>
      </c>
      <c r="G92" s="577">
        <f>G91*G90</f>
        <v>187.49974412514004</v>
      </c>
      <c r="H92" s="577">
        <f t="shared" ref="H92:I92" si="2">H91*H90</f>
        <v>203.38821712644787</v>
      </c>
      <c r="I92" s="577">
        <f t="shared" si="2"/>
        <v>302.00547181656316</v>
      </c>
      <c r="J92" t="s">
        <v>701</v>
      </c>
    </row>
    <row r="93" spans="1:10">
      <c r="A93" s="665" t="s">
        <v>1498</v>
      </c>
      <c r="B93" s="674">
        <f>G22/1000</f>
        <v>0.19927699442545893</v>
      </c>
      <c r="C93" s="674">
        <f>L22/1000</f>
        <v>0.75783157894736852</v>
      </c>
      <c r="D93" s="595" t="s">
        <v>1416</v>
      </c>
      <c r="E93" s="577"/>
      <c r="F93" s="578" t="s">
        <v>1424</v>
      </c>
      <c r="G93" s="23"/>
      <c r="H93" s="581">
        <f>B106*1000/H92</f>
        <v>22.634837798221568</v>
      </c>
      <c r="I93" s="581">
        <f>C106*1000/I92</f>
        <v>111.3302022007002</v>
      </c>
      <c r="J93" s="23" t="s">
        <v>1425</v>
      </c>
    </row>
    <row r="94" spans="1:10">
      <c r="A94" s="665" t="s">
        <v>1500</v>
      </c>
      <c r="B94" s="674">
        <f>G23/1000</f>
        <v>0.19927699442545893</v>
      </c>
      <c r="C94" s="674">
        <f>L23/1000</f>
        <v>0.75783157894736852</v>
      </c>
      <c r="D94" s="595" t="s">
        <v>1416</v>
      </c>
      <c r="E94" s="577"/>
      <c r="F94" s="577"/>
      <c r="G94" s="577"/>
    </row>
    <row r="95" spans="1:10">
      <c r="A95" s="645" t="s">
        <v>1502</v>
      </c>
      <c r="B95" s="674"/>
      <c r="C95" s="674"/>
      <c r="D95" s="595" t="s">
        <v>1416</v>
      </c>
      <c r="E95" s="577"/>
      <c r="F95" s="577"/>
      <c r="G95" s="577"/>
    </row>
    <row r="96" spans="1:10">
      <c r="A96" s="665" t="s">
        <v>1504</v>
      </c>
      <c r="B96" s="674">
        <f>G25/1000</f>
        <v>9.948095472200387E-2</v>
      </c>
      <c r="C96" s="674">
        <f>L25/1000</f>
        <v>0.42737615438596493</v>
      </c>
      <c r="D96" s="595" t="s">
        <v>1416</v>
      </c>
      <c r="E96" s="577"/>
      <c r="F96" s="577"/>
      <c r="G96" s="577"/>
    </row>
    <row r="97" spans="1:12">
      <c r="A97" s="665" t="s">
        <v>1506</v>
      </c>
      <c r="B97" s="674">
        <f>G26/1000</f>
        <v>2.5548332618648584E-2</v>
      </c>
      <c r="C97" s="674">
        <f>L26/1000</f>
        <v>7.4736842105263171E-2</v>
      </c>
      <c r="D97" s="595" t="s">
        <v>1416</v>
      </c>
      <c r="E97" s="577"/>
      <c r="F97" s="1248"/>
      <c r="G97" s="1227" t="s">
        <v>1390</v>
      </c>
      <c r="H97" s="1227" t="s">
        <v>1390</v>
      </c>
      <c r="I97" s="23" t="s">
        <v>1569</v>
      </c>
      <c r="J97" s="23" t="s">
        <v>1569</v>
      </c>
      <c r="K97" s="1227" t="s">
        <v>1391</v>
      </c>
      <c r="L97" s="1227" t="s">
        <v>1391</v>
      </c>
    </row>
    <row r="98" spans="1:12">
      <c r="A98" s="665" t="s">
        <v>1572</v>
      </c>
      <c r="B98" s="674">
        <f>G27/1000</f>
        <v>8.7574175357506435E-3</v>
      </c>
      <c r="C98" s="674">
        <f>L27/1000</f>
        <v>7.3220751937933551E-2</v>
      </c>
      <c r="D98" s="595" t="s">
        <v>1416</v>
      </c>
      <c r="E98" s="577"/>
      <c r="G98" s="23">
        <v>2030</v>
      </c>
      <c r="H98" s="23">
        <v>2060</v>
      </c>
      <c r="I98" s="23" t="s">
        <v>1394</v>
      </c>
      <c r="J98" s="23" t="s">
        <v>1395</v>
      </c>
      <c r="K98" s="23">
        <v>2030</v>
      </c>
      <c r="L98" s="23">
        <v>2060</v>
      </c>
    </row>
    <row r="99" spans="1:12">
      <c r="A99" s="665" t="s">
        <v>1508</v>
      </c>
      <c r="B99" s="674"/>
      <c r="C99" s="674"/>
      <c r="D99" s="595" t="s">
        <v>1416</v>
      </c>
      <c r="E99" s="577"/>
      <c r="F99" s="829" t="s">
        <v>1494</v>
      </c>
      <c r="G99" s="577">
        <f>E20</f>
        <v>23.951561829983046</v>
      </c>
      <c r="H99" s="577">
        <f>I20</f>
        <v>65.732648696332745</v>
      </c>
      <c r="I99" s="498">
        <f>$H$90</f>
        <v>2.6443287876433157</v>
      </c>
      <c r="J99" s="498">
        <f>$I$90</f>
        <v>3.3556163535173682</v>
      </c>
      <c r="K99" s="941">
        <f>B91/(G99*I99)*1000</f>
        <v>11.149682492835986</v>
      </c>
      <c r="L99" s="941">
        <f>C91/(H99*J99)*1000</f>
        <v>11.636376438436232</v>
      </c>
    </row>
    <row r="100" spans="1:12" s="584" customFormat="1">
      <c r="A100" s="752" t="s">
        <v>1509</v>
      </c>
      <c r="B100" s="1016">
        <f>G29/1000</f>
        <v>0.17225438302385065</v>
      </c>
      <c r="C100" s="1016">
        <f>L29/1000</f>
        <v>0.43536770007209802</v>
      </c>
      <c r="D100" s="719" t="s">
        <v>1416</v>
      </c>
      <c r="E100" s="750"/>
      <c r="F100" s="829" t="s">
        <v>1496</v>
      </c>
      <c r="G100" s="577">
        <f>E22</f>
        <v>19.161249463986437</v>
      </c>
      <c r="H100" s="577">
        <f>I22</f>
        <v>53.707171588645153</v>
      </c>
      <c r="I100" s="498">
        <f t="shared" ref="I100:I105" si="3">$H$90</f>
        <v>2.6443287876433157</v>
      </c>
      <c r="J100" s="498">
        <f t="shared" ref="J100:J105" si="4">$I$90</f>
        <v>3.3556163535173682</v>
      </c>
      <c r="K100" s="941">
        <f>(B93+B94)/(G100*I100)*1000</f>
        <v>7.8658902392154566</v>
      </c>
      <c r="L100" s="941">
        <f>(C93+C94)/(H100*J100)*1000</f>
        <v>8.4100409480022194</v>
      </c>
    </row>
    <row r="101" spans="1:12">
      <c r="A101" s="665" t="s">
        <v>1510</v>
      </c>
      <c r="B101" s="674">
        <f>G30/1000</f>
        <v>0.57418127674616881</v>
      </c>
      <c r="C101" s="674">
        <f>L30/1000</f>
        <v>1.4512256669069932</v>
      </c>
      <c r="D101" s="595" t="s">
        <v>1416</v>
      </c>
      <c r="E101" s="577"/>
      <c r="F101" s="829" t="s">
        <v>1573</v>
      </c>
      <c r="G101" s="499">
        <f>E25</f>
        <v>13.652390243090338</v>
      </c>
      <c r="H101" s="499">
        <f>I25</f>
        <v>56.05263157894737</v>
      </c>
      <c r="I101" s="498">
        <f t="shared" si="3"/>
        <v>2.6443287876433157</v>
      </c>
      <c r="J101" s="498">
        <f t="shared" si="4"/>
        <v>3.3556163535173682</v>
      </c>
      <c r="K101" s="941">
        <f t="shared" ref="K101:L103" si="5">B96/(G101*I101)*1000</f>
        <v>2.7555975997981599</v>
      </c>
      <c r="L101" s="941">
        <f t="shared" si="5"/>
        <v>2.2721760498988606</v>
      </c>
    </row>
    <row r="102" spans="1:12">
      <c r="A102" s="752" t="s">
        <v>1384</v>
      </c>
      <c r="B102" s="1016">
        <f>C85/1000</f>
        <v>0.62651522313811969</v>
      </c>
      <c r="C102" s="1016">
        <f>D85/1000</f>
        <v>2.2929518652578476</v>
      </c>
      <c r="D102" s="719" t="s">
        <v>1416</v>
      </c>
      <c r="E102" s="577"/>
      <c r="F102" s="829" t="s">
        <v>1574</v>
      </c>
      <c r="G102" s="499">
        <f t="shared" ref="G102" si="6">E26</f>
        <v>3.8322498927972872</v>
      </c>
      <c r="H102" s="499">
        <f>I26</f>
        <v>11.210526315789474</v>
      </c>
      <c r="I102" s="498">
        <f t="shared" si="3"/>
        <v>2.6443287876433157</v>
      </c>
      <c r="J102" s="498">
        <f t="shared" si="4"/>
        <v>3.3556163535173682</v>
      </c>
      <c r="K102" s="941">
        <f t="shared" si="5"/>
        <v>2.521118666415211</v>
      </c>
      <c r="L102" s="941">
        <f t="shared" si="5"/>
        <v>1.9867189703252712</v>
      </c>
    </row>
    <row r="103" spans="1:12">
      <c r="A103" s="665" t="s">
        <v>1385</v>
      </c>
      <c r="B103" s="769">
        <f>C86/1000</f>
        <v>2.0883840771270656</v>
      </c>
      <c r="C103" s="769">
        <f>D86/1000</f>
        <v>7.6431728841928246</v>
      </c>
      <c r="D103" s="720" t="s">
        <v>1416</v>
      </c>
      <c r="E103" s="577"/>
      <c r="F103" s="829" t="s">
        <v>1575</v>
      </c>
      <c r="G103" s="499">
        <f>E27</f>
        <v>3.5927342744974569</v>
      </c>
      <c r="H103" s="499">
        <f>I27</f>
        <v>16.815789473684209</v>
      </c>
      <c r="I103" s="498">
        <f t="shared" si="3"/>
        <v>2.6443287876433157</v>
      </c>
      <c r="J103" s="498">
        <f t="shared" si="4"/>
        <v>3.3556163535173682</v>
      </c>
      <c r="K103" s="941">
        <f t="shared" si="5"/>
        <v>0.92179745837428229</v>
      </c>
      <c r="L103" s="941">
        <f t="shared" si="5"/>
        <v>1.2976113056501859</v>
      </c>
    </row>
    <row r="104" spans="1:12" ht="13.5" customHeight="1">
      <c r="A104" s="645" t="s">
        <v>1514</v>
      </c>
      <c r="B104" s="674">
        <f>G31/1000</f>
        <v>0.70257914701283608</v>
      </c>
      <c r="C104" s="674">
        <f>L31/1000</f>
        <v>19.870257914701281</v>
      </c>
      <c r="D104" s="595" t="s">
        <v>1416</v>
      </c>
      <c r="E104" s="577"/>
      <c r="F104" s="829" t="s">
        <v>1577</v>
      </c>
      <c r="G104" s="577"/>
      <c r="H104" s="577"/>
      <c r="I104" s="498">
        <f t="shared" si="3"/>
        <v>2.6443287876433157</v>
      </c>
      <c r="J104" s="498">
        <f t="shared" si="4"/>
        <v>3.3556163535173682</v>
      </c>
      <c r="K104" s="941">
        <f>(B98+B101+B103)/(G103*I104)*1000</f>
        <v>281.18089963505201</v>
      </c>
      <c r="L104" s="941">
        <f>(C98+C101+C103)/(H103*J104)*1000</f>
        <v>162.46769035645053</v>
      </c>
    </row>
    <row r="105" spans="1:12" s="584" customFormat="1">
      <c r="A105" s="767" t="s">
        <v>1579</v>
      </c>
      <c r="B105" s="758">
        <f>SUM(B91:B100)+B104+B102</f>
        <v>2.7398635570153536</v>
      </c>
      <c r="C105" s="758">
        <f>SUM(C91:C100)+C104+C102</f>
        <v>27.256251257285971</v>
      </c>
      <c r="D105" s="595" t="s">
        <v>1416</v>
      </c>
      <c r="E105" s="750"/>
      <c r="F105" s="829" t="s">
        <v>1514</v>
      </c>
      <c r="G105" s="582">
        <f>E31</f>
        <v>1.9161249463986436</v>
      </c>
      <c r="H105" s="582">
        <f>I31</f>
        <v>60</v>
      </c>
      <c r="I105" s="498">
        <f t="shared" si="3"/>
        <v>2.6443287876433157</v>
      </c>
      <c r="J105" s="498">
        <f t="shared" si="4"/>
        <v>3.3556163535173682</v>
      </c>
      <c r="K105" s="941">
        <f>B104/(G105*I105)*1000</f>
        <v>138.66152665283659</v>
      </c>
      <c r="L105" s="941">
        <f>C104/(H105*J105)*1000</f>
        <v>98.691545860982245</v>
      </c>
    </row>
    <row r="106" spans="1:12">
      <c r="A106" s="664" t="s">
        <v>1580</v>
      </c>
      <c r="B106" s="674">
        <f>SUM(B91:B99)+B101+B104+B103</f>
        <v>4.6036593047266177</v>
      </c>
      <c r="C106" s="674">
        <f>SUM(C91:C99)+C101+C104+C103</f>
        <v>33.622330243055842</v>
      </c>
      <c r="D106" s="595" t="s">
        <v>1416</v>
      </c>
      <c r="E106" s="577"/>
      <c r="F106" s="577"/>
      <c r="G106" s="577"/>
    </row>
    <row r="107" spans="1:12">
      <c r="A107" s="672" t="s">
        <v>1581</v>
      </c>
      <c r="B107" s="689">
        <f>B106-B103</f>
        <v>2.515275227599552</v>
      </c>
      <c r="C107" s="689">
        <f>C106-C103</f>
        <v>25.979157358863016</v>
      </c>
      <c r="D107" s="605" t="s">
        <v>1416</v>
      </c>
    </row>
    <row r="109" spans="1:12">
      <c r="F109" s="498"/>
      <c r="G109" s="23">
        <v>2030</v>
      </c>
      <c r="H109" s="23">
        <v>2060</v>
      </c>
      <c r="I109" s="23" t="s">
        <v>116</v>
      </c>
      <c r="J109" s="23" t="s">
        <v>505</v>
      </c>
    </row>
    <row r="110" spans="1:12">
      <c r="F110" t="s">
        <v>1412</v>
      </c>
      <c r="G110" s="576">
        <v>1.1100000000000001</v>
      </c>
      <c r="H110">
        <v>29.68</v>
      </c>
      <c r="I110" t="s">
        <v>1413</v>
      </c>
      <c r="J110" t="s">
        <v>1654</v>
      </c>
    </row>
    <row r="111" spans="1:12">
      <c r="F111" t="s">
        <v>1415</v>
      </c>
      <c r="G111" s="499">
        <f>B104</f>
        <v>0.70257914701283608</v>
      </c>
      <c r="H111" s="499">
        <f>C104</f>
        <v>19.870257914701281</v>
      </c>
      <c r="I111" t="s">
        <v>1416</v>
      </c>
    </row>
    <row r="112" spans="1:12">
      <c r="F112" t="s">
        <v>1418</v>
      </c>
      <c r="G112" s="499">
        <f>G111/G110*1000</f>
        <v>632.95418649805049</v>
      </c>
      <c r="H112" s="499">
        <f>H111/H110*1000</f>
        <v>669.48308337942319</v>
      </c>
      <c r="I112" t="s">
        <v>1419</v>
      </c>
      <c r="J112" t="s">
        <v>1420</v>
      </c>
    </row>
    <row r="115" spans="6:17" ht="45">
      <c r="G115" s="100" t="s">
        <v>1584</v>
      </c>
      <c r="H115" s="100" t="s">
        <v>1584</v>
      </c>
      <c r="I115" s="100" t="s">
        <v>1585</v>
      </c>
      <c r="J115" s="100" t="s">
        <v>1585</v>
      </c>
      <c r="K115" s="100" t="s">
        <v>1586</v>
      </c>
      <c r="L115" s="100" t="s">
        <v>1586</v>
      </c>
      <c r="N115" s="100" t="s">
        <v>1587</v>
      </c>
      <c r="O115" s="100" t="s">
        <v>1587</v>
      </c>
      <c r="P115" s="100" t="s">
        <v>1588</v>
      </c>
      <c r="Q115" s="100" t="s">
        <v>1588</v>
      </c>
    </row>
    <row r="116" spans="6:17">
      <c r="G116">
        <v>2030</v>
      </c>
      <c r="H116">
        <v>2060</v>
      </c>
      <c r="I116">
        <v>2030</v>
      </c>
      <c r="J116">
        <v>2060</v>
      </c>
      <c r="K116">
        <v>2030</v>
      </c>
      <c r="L116">
        <v>2060</v>
      </c>
      <c r="N116">
        <v>2030</v>
      </c>
      <c r="O116">
        <v>2060</v>
      </c>
      <c r="P116">
        <v>2030</v>
      </c>
      <c r="Q116">
        <v>2060</v>
      </c>
    </row>
    <row r="117" spans="6:17">
      <c r="F117" s="829" t="s">
        <v>1494</v>
      </c>
      <c r="G117" s="724">
        <f>1.14*2</f>
        <v>2.2799999999999998</v>
      </c>
      <c r="H117" s="724">
        <f>1.45*3</f>
        <v>4.3499999999999996</v>
      </c>
      <c r="I117" s="942">
        <f>B91*$G$128*1000</f>
        <v>56.908031786684283</v>
      </c>
      <c r="J117" s="942">
        <f>C91*$G$128*1000</f>
        <v>206.8392580034693</v>
      </c>
      <c r="K117">
        <v>-0.19</v>
      </c>
      <c r="L117">
        <f>-0.54</f>
        <v>-0.54</v>
      </c>
      <c r="N117" s="942" t="e">
        <f>K117*H161</f>
        <v>#REF!</v>
      </c>
      <c r="O117" s="942" t="e">
        <f>L117*I161</f>
        <v>#REF!</v>
      </c>
      <c r="P117" s="942" t="e">
        <f>(I117+N117)/G117</f>
        <v>#REF!</v>
      </c>
      <c r="Q117" s="942" t="e">
        <f>(J117+O117)/H117</f>
        <v>#REF!</v>
      </c>
    </row>
    <row r="118" spans="6:17">
      <c r="F118" s="829" t="s">
        <v>1496</v>
      </c>
      <c r="G118" s="576">
        <v>2.04</v>
      </c>
      <c r="H118" s="576">
        <v>8.7100000000000009</v>
      </c>
      <c r="I118" s="942">
        <f>(B93+B94)*$G$128*1000</f>
        <v>32.118032566502983</v>
      </c>
      <c r="J118" s="942">
        <f>(C93+C94)*$G$128*1000</f>
        <v>122.14184282903032</v>
      </c>
      <c r="K118">
        <f>-0.18</f>
        <v>-0.18</v>
      </c>
      <c r="L118">
        <f>-0.68</f>
        <v>-0.68</v>
      </c>
      <c r="N118" s="942" t="e">
        <f>K118*H161</f>
        <v>#REF!</v>
      </c>
      <c r="O118" s="942" t="e">
        <f>L118*I161</f>
        <v>#REF!</v>
      </c>
      <c r="P118" s="942" t="e">
        <f t="shared" ref="P118:Q120" si="7">(I118+N118)/G118</f>
        <v>#REF!</v>
      </c>
      <c r="Q118" s="942" t="e">
        <f t="shared" si="7"/>
        <v>#REF!</v>
      </c>
    </row>
    <row r="119" spans="6:17">
      <c r="F119" s="829" t="s">
        <v>1573</v>
      </c>
      <c r="G119" s="576">
        <f>1.89*30%</f>
        <v>0.56699999999999995</v>
      </c>
      <c r="H119" s="576">
        <f>7.34*30%</f>
        <v>2.202</v>
      </c>
      <c r="I119" s="942">
        <f t="shared" ref="I119:J121" si="8">B96*$G$128*1000</f>
        <v>8.0168123588979867</v>
      </c>
      <c r="J119" s="942">
        <f t="shared" si="8"/>
        <v>34.440707228374329</v>
      </c>
      <c r="K119" s="576">
        <v>0</v>
      </c>
      <c r="L119" s="576">
        <v>0</v>
      </c>
      <c r="N119" s="942">
        <f>$G$90*(H135-G135)*H153*G101</f>
        <v>18.076832441110376</v>
      </c>
      <c r="O119" s="942">
        <f>$G$90*(I135-H135)*I153*H101</f>
        <v>232.45188682043408</v>
      </c>
      <c r="P119" s="942">
        <f t="shared" si="7"/>
        <v>46.020537566152321</v>
      </c>
      <c r="Q119" s="942">
        <f t="shared" si="7"/>
        <v>121.2046294499584</v>
      </c>
    </row>
    <row r="120" spans="6:17">
      <c r="F120" s="829" t="s">
        <v>1574</v>
      </c>
      <c r="G120" s="576">
        <f>1.89*5%</f>
        <v>9.4500000000000001E-2</v>
      </c>
      <c r="H120" s="576">
        <f>7.34*5%</f>
        <v>0.36699999999999999</v>
      </c>
      <c r="I120" s="942">
        <f t="shared" si="8"/>
        <v>2.0588482414424991</v>
      </c>
      <c r="J120" s="942">
        <f t="shared" si="8"/>
        <v>6.0227733150409435</v>
      </c>
      <c r="K120" s="576">
        <v>0</v>
      </c>
      <c r="L120" s="576">
        <v>0</v>
      </c>
      <c r="N120" s="942">
        <f>$G$90*(H136-G136)*H154*G102</f>
        <v>0.78064593537858562</v>
      </c>
      <c r="O120" s="942">
        <f>$G$90*(I136-H136)*I154*H102</f>
        <v>7.7483962273478051</v>
      </c>
      <c r="P120" s="942">
        <f t="shared" si="7"/>
        <v>30.047557426678143</v>
      </c>
      <c r="Q120" s="942">
        <f t="shared" si="7"/>
        <v>37.523622731304492</v>
      </c>
    </row>
    <row r="121" spans="6:17">
      <c r="F121" s="829" t="s">
        <v>1575</v>
      </c>
      <c r="G121" s="979">
        <f>1.89*65%</f>
        <v>1.2284999999999999</v>
      </c>
      <c r="H121" s="979">
        <f>7.34*65%</f>
        <v>4.7709999999999999</v>
      </c>
      <c r="I121" s="978">
        <f t="shared" si="8"/>
        <v>0.70572878325128241</v>
      </c>
      <c r="J121" s="978">
        <f t="shared" si="8"/>
        <v>5.9005970610572902</v>
      </c>
      <c r="K121" s="576">
        <v>0</v>
      </c>
      <c r="L121" s="576">
        <v>0</v>
      </c>
      <c r="N121" s="978" t="e">
        <f>$G$90*(H138-G138)*H156*G103</f>
        <v>#REF!</v>
      </c>
      <c r="O121" s="978" t="e">
        <f>$G$90*(I138-H138)*I156*H103</f>
        <v>#REF!</v>
      </c>
      <c r="P121" s="978" t="e">
        <f t="shared" ref="P121" si="9">(I121+N121)/G121</f>
        <v>#REF!</v>
      </c>
      <c r="Q121" s="978" t="e">
        <f t="shared" ref="Q121:Q122" si="10">(J121+O121)/H121</f>
        <v>#REF!</v>
      </c>
    </row>
    <row r="122" spans="6:17">
      <c r="F122" s="829" t="s">
        <v>1577</v>
      </c>
      <c r="G122" s="576">
        <f>G121</f>
        <v>1.2284999999999999</v>
      </c>
      <c r="H122" s="576">
        <f>H121</f>
        <v>4.7709999999999999</v>
      </c>
      <c r="I122" s="942">
        <f>(B98+B101+B103)*$G$128*1000</f>
        <v>215.27229476518434</v>
      </c>
      <c r="J122" s="942">
        <f>(C98+C101+C103)*$G$128*1000</f>
        <v>738.7854683908522</v>
      </c>
      <c r="K122" s="576">
        <v>0</v>
      </c>
      <c r="L122" s="576">
        <v>0</v>
      </c>
      <c r="N122" s="942" t="e">
        <f>$G$90*(H138-G138)*H156*G103</f>
        <v>#REF!</v>
      </c>
      <c r="O122" s="942" t="e">
        <f>$G$90*(I138-H138)*I156*H103</f>
        <v>#REF!</v>
      </c>
      <c r="P122" s="942" t="e">
        <f>(I122+N122)/G122</f>
        <v>#REF!</v>
      </c>
      <c r="Q122" s="942" t="e">
        <f t="shared" si="10"/>
        <v>#REF!</v>
      </c>
    </row>
    <row r="123" spans="6:17">
      <c r="F123" s="829" t="s">
        <v>1514</v>
      </c>
      <c r="G123" s="576">
        <v>0.28000000000000003</v>
      </c>
      <c r="H123" s="576">
        <v>16.37</v>
      </c>
      <c r="I123" s="942">
        <f>B104*$G$128*1000</f>
        <v>56.618326639668723</v>
      </c>
      <c r="J123" s="942">
        <f>C104*$G$128*1000</f>
        <v>1601.2726221839685</v>
      </c>
      <c r="N123" s="942" t="e">
        <f>I105*G105*G160*50%</f>
        <v>#REF!</v>
      </c>
      <c r="O123" s="942" t="e">
        <f>I105*H105*G160*50%</f>
        <v>#REF!</v>
      </c>
      <c r="P123" s="942" t="e">
        <f>(I123+N123)/G123</f>
        <v>#REF!</v>
      </c>
      <c r="Q123" s="942" t="e">
        <f t="shared" ref="Q123" si="11">(J123+O123)/H123</f>
        <v>#REF!</v>
      </c>
    </row>
    <row r="124" spans="6:17">
      <c r="I124" s="498"/>
      <c r="J124" s="498"/>
    </row>
    <row r="126" spans="6:17">
      <c r="F126" s="601" t="s">
        <v>25</v>
      </c>
      <c r="G126" s="975" t="str">
        <f>Graphs!H5</f>
        <v>7%</v>
      </c>
      <c r="H126" s="639"/>
    </row>
    <row r="127" spans="6:17">
      <c r="F127" s="22" t="s">
        <v>1287</v>
      </c>
      <c r="G127">
        <f>Calculations!B577</f>
        <v>30</v>
      </c>
      <c r="H127" s="595" t="s">
        <v>1134</v>
      </c>
    </row>
    <row r="128" spans="6:17">
      <c r="F128" s="31" t="s">
        <v>1589</v>
      </c>
      <c r="G128" s="690">
        <f>(G126/(1-(1+G126)^(-G127)))</f>
        <v>8.0586403511111196E-2</v>
      </c>
      <c r="H128" s="605"/>
    </row>
    <row r="129" spans="5:12">
      <c r="F129" s="595" t="s">
        <v>1590</v>
      </c>
      <c r="G129" s="595">
        <f>I133-G133</f>
        <v>37</v>
      </c>
      <c r="H129" t="s">
        <v>1591</v>
      </c>
    </row>
    <row r="132" spans="5:12">
      <c r="E132" s="601"/>
      <c r="F132" s="521"/>
      <c r="G132" s="521"/>
      <c r="H132" s="521"/>
      <c r="I132" s="521"/>
      <c r="J132" s="521"/>
      <c r="K132" s="639"/>
    </row>
    <row r="133" spans="5:12">
      <c r="E133" s="22"/>
      <c r="G133" s="23">
        <v>2023</v>
      </c>
      <c r="H133" s="23">
        <v>2030</v>
      </c>
      <c r="I133" s="23">
        <v>2060</v>
      </c>
      <c r="K133" s="718"/>
      <c r="L133" s="23"/>
    </row>
    <row r="134" spans="5:12">
      <c r="E134" s="22" t="s">
        <v>1592</v>
      </c>
      <c r="F134" t="s">
        <v>40</v>
      </c>
      <c r="G134" s="648">
        <v>0.92</v>
      </c>
      <c r="H134" s="648">
        <v>0.75</v>
      </c>
      <c r="I134" s="46">
        <v>0.15</v>
      </c>
      <c r="K134" s="649"/>
      <c r="L134" s="46"/>
    </row>
    <row r="135" spans="5:12">
      <c r="E135" s="22"/>
      <c r="F135" t="s">
        <v>1593</v>
      </c>
      <c r="G135" s="648">
        <v>0.01</v>
      </c>
      <c r="H135" s="648">
        <v>0.14000000000000001</v>
      </c>
      <c r="I135" s="46">
        <v>0.5</v>
      </c>
      <c r="K135" s="595"/>
    </row>
    <row r="136" spans="5:12">
      <c r="E136" s="22"/>
      <c r="F136" t="s">
        <v>1242</v>
      </c>
      <c r="G136" s="648">
        <v>0.02</v>
      </c>
      <c r="H136" s="648">
        <v>0.04</v>
      </c>
      <c r="I136" s="46">
        <v>0.1</v>
      </c>
      <c r="K136" s="595"/>
    </row>
    <row r="137" spans="5:12">
      <c r="E137" s="22"/>
      <c r="F137" t="s">
        <v>1594</v>
      </c>
      <c r="G137" s="648">
        <v>0.05</v>
      </c>
      <c r="H137" s="648">
        <v>0</v>
      </c>
      <c r="I137" s="46">
        <v>0</v>
      </c>
      <c r="K137" s="595"/>
    </row>
    <row r="138" spans="5:12">
      <c r="E138" s="22"/>
      <c r="F138" t="s">
        <v>1595</v>
      </c>
      <c r="G138" s="648">
        <v>0</v>
      </c>
      <c r="H138" s="648">
        <v>0.04</v>
      </c>
      <c r="I138" s="46">
        <v>0.15</v>
      </c>
      <c r="K138" s="595"/>
    </row>
    <row r="139" spans="5:12">
      <c r="E139" s="22"/>
      <c r="F139" t="s">
        <v>1596</v>
      </c>
      <c r="G139" s="648">
        <v>0</v>
      </c>
      <c r="H139" s="46">
        <v>0.04</v>
      </c>
      <c r="I139" s="46">
        <v>0.1</v>
      </c>
      <c r="K139" s="595"/>
    </row>
    <row r="140" spans="5:12">
      <c r="E140" s="22"/>
      <c r="F140" t="s">
        <v>141</v>
      </c>
      <c r="G140" s="46">
        <v>1</v>
      </c>
      <c r="H140" s="648">
        <v>1</v>
      </c>
      <c r="I140" s="46">
        <v>1</v>
      </c>
      <c r="K140" s="595"/>
    </row>
    <row r="141" spans="5:12">
      <c r="E141" s="22"/>
      <c r="K141" s="595"/>
    </row>
    <row r="142" spans="5:12">
      <c r="E142" s="22" t="s">
        <v>540</v>
      </c>
      <c r="F142" t="s">
        <v>40</v>
      </c>
      <c r="G142" s="976">
        <f>'Other Country-Specific Data'!C105*1000</f>
        <v>3.3334259280000005</v>
      </c>
      <c r="H142" s="977">
        <f t="shared" ref="H142:H150" si="12">G142+(I142-G142)/$G$129*7</f>
        <v>3.4385339527567571</v>
      </c>
      <c r="I142" s="976">
        <f>'Other Country-Specific Data'!C114*1000</f>
        <v>3.8889969160000004</v>
      </c>
      <c r="J142" t="s">
        <v>1425</v>
      </c>
      <c r="K142" s="595"/>
    </row>
    <row r="143" spans="5:12">
      <c r="E143" s="22"/>
      <c r="F143" t="s">
        <v>41</v>
      </c>
      <c r="G143" s="976">
        <f>'Other Country-Specific Data'!C106*1000</f>
        <v>3.3334259280000005</v>
      </c>
      <c r="H143" s="977">
        <f t="shared" si="12"/>
        <v>3.4385339527567571</v>
      </c>
      <c r="I143" s="976">
        <f>'Other Country-Specific Data'!C115*1000</f>
        <v>3.8889969160000004</v>
      </c>
      <c r="J143" t="s">
        <v>1425</v>
      </c>
      <c r="K143" s="595"/>
    </row>
    <row r="144" spans="5:12">
      <c r="E144" s="22"/>
      <c r="F144" t="s">
        <v>42</v>
      </c>
      <c r="G144" s="976">
        <f>'Other Country-Specific Data'!C107*1000</f>
        <v>3.3334259280000005</v>
      </c>
      <c r="H144" s="977">
        <f t="shared" si="12"/>
        <v>3.4385339527567571</v>
      </c>
      <c r="I144" s="976">
        <f>'Other Country-Specific Data'!C116*1000</f>
        <v>3.8889969160000004</v>
      </c>
      <c r="J144" t="s">
        <v>1425</v>
      </c>
      <c r="K144" s="595"/>
    </row>
    <row r="145" spans="5:11">
      <c r="E145" s="22"/>
      <c r="F145" t="s">
        <v>43</v>
      </c>
      <c r="G145" s="976">
        <f>'Other Country-Specific Data'!C108*1000</f>
        <v>15.000416676000002</v>
      </c>
      <c r="H145" s="977">
        <f t="shared" si="12"/>
        <v>15.788726861675677</v>
      </c>
      <c r="I145" s="976">
        <f>'Other Country-Specific Data'!C117*1000</f>
        <v>19.167199086</v>
      </c>
      <c r="J145" t="s">
        <v>1425</v>
      </c>
      <c r="K145" s="595"/>
    </row>
    <row r="146" spans="5:11">
      <c r="E146" s="22"/>
      <c r="F146" t="s">
        <v>44</v>
      </c>
      <c r="G146" s="976">
        <f>'Other Country-Specific Data'!C109*1000</f>
        <v>12.500347230000001</v>
      </c>
      <c r="H146" s="977">
        <f t="shared" si="12"/>
        <v>13.341211428054054</v>
      </c>
      <c r="I146" s="976">
        <f>'Other Country-Specific Data'!C118*1000</f>
        <v>16.944915133999999</v>
      </c>
      <c r="J146" t="s">
        <v>1425</v>
      </c>
      <c r="K146" s="595"/>
    </row>
    <row r="147" spans="5:11">
      <c r="E147" s="22"/>
      <c r="F147" t="s">
        <v>45</v>
      </c>
      <c r="G147" s="976">
        <f>'Other Country-Specific Data'!C110*1000</f>
        <v>3.3334259280000005</v>
      </c>
      <c r="H147" s="977">
        <f t="shared" si="12"/>
        <v>3.4385339527567571</v>
      </c>
      <c r="I147" s="976">
        <f>'Other Country-Specific Data'!C119*1000</f>
        <v>3.8889969160000004</v>
      </c>
      <c r="J147" t="s">
        <v>1425</v>
      </c>
      <c r="K147" s="595"/>
    </row>
    <row r="148" spans="5:11">
      <c r="E148" s="22"/>
      <c r="F148" t="s">
        <v>46</v>
      </c>
      <c r="G148" s="976">
        <f>'Other Country-Specific Data'!C111*1000</f>
        <v>17.433764747983076</v>
      </c>
      <c r="H148" s="977">
        <f t="shared" si="12"/>
        <v>17.983478050847406</v>
      </c>
      <c r="I148" s="976">
        <f>'Other Country-Specific Data'!C120*1000</f>
        <v>20.339392205980253</v>
      </c>
      <c r="J148" t="s">
        <v>1425</v>
      </c>
      <c r="K148" s="595"/>
    </row>
    <row r="149" spans="5:11">
      <c r="E149" s="22"/>
      <c r="F149" t="s">
        <v>141</v>
      </c>
      <c r="G149" s="976">
        <f>'Other Country-Specific Data'!C112*1000</f>
        <v>26.805278134063236</v>
      </c>
      <c r="H149" s="977">
        <f t="shared" si="12"/>
        <v>27.147072572862083</v>
      </c>
      <c r="I149" s="976">
        <f>'Other Country-Specific Data'!C121*1000</f>
        <v>28.611905882000002</v>
      </c>
      <c r="J149" t="s">
        <v>1425</v>
      </c>
      <c r="K149" s="595"/>
    </row>
    <row r="150" spans="5:11">
      <c r="E150" s="22"/>
      <c r="F150" t="s">
        <v>1597</v>
      </c>
      <c r="G150" s="976" t="e">
        <f>'Other Country-Specific Data'!#REF!*1000</f>
        <v>#REF!</v>
      </c>
      <c r="H150" s="977" t="e">
        <f t="shared" si="12"/>
        <v>#REF!</v>
      </c>
      <c r="I150" s="976" t="e">
        <f>'Other Country-Specific Data'!#REF!*1000</f>
        <v>#REF!</v>
      </c>
      <c r="J150" t="s">
        <v>1425</v>
      </c>
      <c r="K150" s="595"/>
    </row>
    <row r="151" spans="5:11">
      <c r="E151" s="22" t="s">
        <v>1598</v>
      </c>
      <c r="K151" s="595"/>
    </row>
    <row r="152" spans="5:11">
      <c r="E152" s="22" t="s">
        <v>540</v>
      </c>
      <c r="F152" t="s">
        <v>40</v>
      </c>
      <c r="G152" s="977">
        <f>G142</f>
        <v>3.3334259280000005</v>
      </c>
      <c r="H152" s="977">
        <f t="shared" ref="H152:I152" si="13">H142</f>
        <v>3.4385339527567571</v>
      </c>
      <c r="I152" s="977">
        <f t="shared" si="13"/>
        <v>3.8889969160000004</v>
      </c>
      <c r="J152" t="s">
        <v>1425</v>
      </c>
      <c r="K152" s="595"/>
    </row>
    <row r="153" spans="5:11">
      <c r="E153" s="22"/>
      <c r="F153" t="s">
        <v>1593</v>
      </c>
      <c r="G153" s="977">
        <f>G147</f>
        <v>3.3334259280000005</v>
      </c>
      <c r="H153" s="977">
        <f t="shared" ref="H153:I153" si="14">H147</f>
        <v>3.4385339527567571</v>
      </c>
      <c r="I153" s="977">
        <f t="shared" si="14"/>
        <v>3.8889969160000004</v>
      </c>
      <c r="J153" t="s">
        <v>1425</v>
      </c>
      <c r="K153" s="595"/>
    </row>
    <row r="154" spans="5:11">
      <c r="E154" s="22"/>
      <c r="F154" t="s">
        <v>1242</v>
      </c>
      <c r="G154" s="977">
        <f>G147</f>
        <v>3.3334259280000005</v>
      </c>
      <c r="H154" s="977">
        <f t="shared" ref="H154:I154" si="15">H147</f>
        <v>3.4385339527567571</v>
      </c>
      <c r="I154" s="977">
        <f t="shared" si="15"/>
        <v>3.8889969160000004</v>
      </c>
      <c r="J154" t="s">
        <v>1425</v>
      </c>
      <c r="K154" s="595"/>
    </row>
    <row r="155" spans="5:11">
      <c r="E155" s="22"/>
      <c r="F155" t="s">
        <v>1594</v>
      </c>
      <c r="G155" s="977">
        <f>G145</f>
        <v>15.000416676000002</v>
      </c>
      <c r="H155" s="977">
        <f t="shared" ref="H155:I155" si="16">H145</f>
        <v>15.788726861675677</v>
      </c>
      <c r="I155" s="977">
        <f t="shared" si="16"/>
        <v>19.167199086</v>
      </c>
      <c r="J155" t="s">
        <v>1425</v>
      </c>
      <c r="K155" s="595"/>
    </row>
    <row r="156" spans="5:11">
      <c r="E156" s="22"/>
      <c r="F156" t="s">
        <v>1595</v>
      </c>
      <c r="G156" s="977" t="e">
        <f>G150</f>
        <v>#REF!</v>
      </c>
      <c r="H156" s="977" t="e">
        <f t="shared" ref="H156:I156" si="17">H150</f>
        <v>#REF!</v>
      </c>
      <c r="I156" s="977" t="e">
        <f t="shared" si="17"/>
        <v>#REF!</v>
      </c>
      <c r="J156" t="s">
        <v>1425</v>
      </c>
      <c r="K156" s="595"/>
    </row>
    <row r="157" spans="5:11">
      <c r="E157" s="22"/>
      <c r="F157" t="s">
        <v>1596</v>
      </c>
      <c r="G157" s="977">
        <f>G148</f>
        <v>17.433764747983076</v>
      </c>
      <c r="H157" s="977">
        <f t="shared" ref="H157:I157" si="18">H148</f>
        <v>17.983478050847406</v>
      </c>
      <c r="I157" s="977">
        <f t="shared" si="18"/>
        <v>20.339392205980253</v>
      </c>
      <c r="J157" t="s">
        <v>1425</v>
      </c>
      <c r="K157" s="595"/>
    </row>
    <row r="158" spans="5:11">
      <c r="E158" s="22"/>
      <c r="F158" t="s">
        <v>141</v>
      </c>
      <c r="G158" s="977">
        <f>G149</f>
        <v>26.805278134063236</v>
      </c>
      <c r="H158" s="977">
        <f t="shared" ref="H158:I158" si="19">H149</f>
        <v>27.147072572862083</v>
      </c>
      <c r="I158" s="977">
        <f t="shared" si="19"/>
        <v>28.611905882000002</v>
      </c>
      <c r="J158" t="s">
        <v>1425</v>
      </c>
      <c r="K158" s="595"/>
    </row>
    <row r="159" spans="5:11">
      <c r="E159" s="22"/>
      <c r="K159" s="595"/>
    </row>
    <row r="160" spans="5:11">
      <c r="E160" s="22" t="s">
        <v>1599</v>
      </c>
      <c r="F160" t="s">
        <v>1600</v>
      </c>
      <c r="G160" s="976" t="e">
        <f>SUMPRODUCT(G134:G140,G152:G158)</f>
        <v>#REF!</v>
      </c>
      <c r="H160" s="976" t="e">
        <f t="shared" ref="H160:I160" si="20">SUMPRODUCT(H134:H140,H152:H158)</f>
        <v>#REF!</v>
      </c>
      <c r="I160" s="976" t="e">
        <f t="shared" si="20"/>
        <v>#REF!</v>
      </c>
      <c r="J160" t="s">
        <v>1425</v>
      </c>
      <c r="K160" s="595"/>
    </row>
    <row r="161" spans="1:13">
      <c r="E161" s="22" t="s">
        <v>1599</v>
      </c>
      <c r="F161" t="s">
        <v>1600</v>
      </c>
      <c r="G161" s="976" t="e">
        <f>G160/G90</f>
        <v>#REF!</v>
      </c>
      <c r="H161" s="976" t="e">
        <f>H160/I99</f>
        <v>#REF!</v>
      </c>
      <c r="I161" s="976" t="e">
        <f>I160/J99</f>
        <v>#REF!</v>
      </c>
      <c r="J161" t="s">
        <v>1601</v>
      </c>
      <c r="K161" s="595"/>
    </row>
    <row r="162" spans="1:13">
      <c r="E162" s="31"/>
      <c r="F162" s="523"/>
      <c r="G162" s="523"/>
      <c r="H162" s="523"/>
      <c r="I162" s="523"/>
      <c r="J162" s="523"/>
      <c r="K162" s="605"/>
    </row>
    <row r="166" spans="1:13">
      <c r="G166">
        <v>2030</v>
      </c>
      <c r="I166" t="s">
        <v>1602</v>
      </c>
      <c r="J166" t="s">
        <v>1603</v>
      </c>
      <c r="K166" t="s">
        <v>1604</v>
      </c>
      <c r="L166" t="s">
        <v>1605</v>
      </c>
      <c r="M166" t="s">
        <v>1606</v>
      </c>
    </row>
    <row r="167" spans="1:13" ht="45.75" customHeight="1">
      <c r="G167" s="100" t="s">
        <v>1584</v>
      </c>
      <c r="H167" s="100" t="s">
        <v>1588</v>
      </c>
      <c r="I167">
        <v>0</v>
      </c>
      <c r="J167" s="980" t="e">
        <f>H168</f>
        <v>#REF!</v>
      </c>
      <c r="L167" s="980" t="e">
        <f>J167</f>
        <v>#REF!</v>
      </c>
      <c r="M167" s="980" t="e">
        <f>H168-J167</f>
        <v>#REF!</v>
      </c>
    </row>
    <row r="168" spans="1:13">
      <c r="F168" s="829" t="s">
        <v>1496</v>
      </c>
      <c r="G168" s="576">
        <f>G118</f>
        <v>2.04</v>
      </c>
      <c r="H168" s="576" t="e">
        <f>P118</f>
        <v>#REF!</v>
      </c>
      <c r="I168" s="498">
        <f>G168+I167</f>
        <v>2.04</v>
      </c>
      <c r="J168" s="980" t="e">
        <f>H168</f>
        <v>#REF!</v>
      </c>
      <c r="K168" s="498">
        <f>I168-I167</f>
        <v>2.04</v>
      </c>
      <c r="L168" s="980" t="e">
        <f>J168</f>
        <v>#REF!</v>
      </c>
      <c r="M168" s="980" t="e">
        <f t="shared" ref="M168:M172" si="21">H169-J168</f>
        <v>#REF!</v>
      </c>
    </row>
    <row r="169" spans="1:13">
      <c r="F169" s="829" t="s">
        <v>1494</v>
      </c>
      <c r="G169" s="576">
        <f>G117</f>
        <v>2.2799999999999998</v>
      </c>
      <c r="H169" s="576" t="e">
        <f>P117</f>
        <v>#REF!</v>
      </c>
      <c r="I169" s="498">
        <f t="shared" ref="I169:I173" si="22">G169+I168</f>
        <v>4.32</v>
      </c>
      <c r="J169" s="980" t="e">
        <f>H169</f>
        <v>#REF!</v>
      </c>
      <c r="K169" s="498">
        <f t="shared" ref="K169:K173" si="23">I169-I168</f>
        <v>2.2800000000000002</v>
      </c>
      <c r="L169" s="980" t="e">
        <f t="shared" ref="L169:L173" si="24">J169</f>
        <v>#REF!</v>
      </c>
      <c r="M169" s="980" t="e">
        <f t="shared" si="21"/>
        <v>#REF!</v>
      </c>
    </row>
    <row r="170" spans="1:13">
      <c r="F170" s="829" t="s">
        <v>1574</v>
      </c>
      <c r="G170" s="576">
        <f>G120</f>
        <v>9.4500000000000001E-2</v>
      </c>
      <c r="H170" s="576">
        <f>P120</f>
        <v>30.047557426678143</v>
      </c>
      <c r="I170" s="498">
        <f t="shared" si="22"/>
        <v>4.4145000000000003</v>
      </c>
      <c r="J170" s="980">
        <f t="shared" ref="J170:J173" si="25">H170</f>
        <v>30.047557426678143</v>
      </c>
      <c r="K170" s="498">
        <f t="shared" si="23"/>
        <v>9.4500000000000028E-2</v>
      </c>
      <c r="L170" s="980">
        <f t="shared" si="24"/>
        <v>30.047557426678143</v>
      </c>
      <c r="M170" s="980">
        <f t="shared" si="21"/>
        <v>15.972980139474178</v>
      </c>
    </row>
    <row r="171" spans="1:13">
      <c r="F171" s="829" t="s">
        <v>1573</v>
      </c>
      <c r="G171" s="576">
        <f>G119</f>
        <v>0.56699999999999995</v>
      </c>
      <c r="H171" s="576">
        <f>P119</f>
        <v>46.020537566152321</v>
      </c>
      <c r="I171" s="498">
        <f t="shared" si="22"/>
        <v>4.9815000000000005</v>
      </c>
      <c r="J171" s="980">
        <f t="shared" si="25"/>
        <v>46.020537566152321</v>
      </c>
      <c r="K171" s="498">
        <f t="shared" si="23"/>
        <v>0.56700000000000017</v>
      </c>
      <c r="L171" s="980">
        <f t="shared" si="24"/>
        <v>46.020537566152321</v>
      </c>
      <c r="M171" s="980" t="e">
        <f t="shared" si="21"/>
        <v>#REF!</v>
      </c>
    </row>
    <row r="172" spans="1:13">
      <c r="F172" s="829" t="s">
        <v>1577</v>
      </c>
      <c r="G172" s="576">
        <f>G122</f>
        <v>1.2284999999999999</v>
      </c>
      <c r="H172" s="576" t="e">
        <f>P122</f>
        <v>#REF!</v>
      </c>
      <c r="I172" s="498">
        <f t="shared" si="22"/>
        <v>6.2100000000000009</v>
      </c>
      <c r="J172" s="980" t="e">
        <f t="shared" si="25"/>
        <v>#REF!</v>
      </c>
      <c r="K172" s="498">
        <f t="shared" si="23"/>
        <v>1.2285000000000004</v>
      </c>
      <c r="L172" s="980" t="e">
        <f t="shared" si="24"/>
        <v>#REF!</v>
      </c>
      <c r="M172" s="980" t="e">
        <f t="shared" si="21"/>
        <v>#REF!</v>
      </c>
    </row>
    <row r="173" spans="1:13">
      <c r="F173" s="829" t="s">
        <v>1514</v>
      </c>
      <c r="G173" s="576">
        <f>G123</f>
        <v>0.28000000000000003</v>
      </c>
      <c r="H173" s="576" t="e">
        <f>P123</f>
        <v>#REF!</v>
      </c>
      <c r="I173" s="498">
        <f t="shared" si="22"/>
        <v>6.4900000000000011</v>
      </c>
      <c r="J173" s="980" t="e">
        <f t="shared" si="25"/>
        <v>#REF!</v>
      </c>
      <c r="K173" s="498">
        <f t="shared" si="23"/>
        <v>0.28000000000000025</v>
      </c>
      <c r="L173" s="980" t="e">
        <f t="shared" si="24"/>
        <v>#REF!</v>
      </c>
      <c r="M173" s="980"/>
    </row>
    <row r="175" spans="1:13" ht="13.9" customHeight="1">
      <c r="A175" s="1140" t="s">
        <v>1655</v>
      </c>
      <c r="B175" s="1140"/>
      <c r="C175" s="1140"/>
      <c r="D175" s="1140"/>
    </row>
    <row r="176" spans="1:13">
      <c r="A176" s="1140"/>
      <c r="B176" s="1140"/>
      <c r="C176" s="1140"/>
      <c r="D176" s="1140"/>
      <c r="G176" s="498"/>
      <c r="H176" s="498"/>
    </row>
    <row r="177" spans="6:20">
      <c r="G177">
        <v>2060</v>
      </c>
      <c r="I177" t="s">
        <v>1602</v>
      </c>
      <c r="J177" t="s">
        <v>1603</v>
      </c>
      <c r="K177" t="s">
        <v>1604</v>
      </c>
      <c r="L177" t="s">
        <v>1605</v>
      </c>
      <c r="M177" t="s">
        <v>1606</v>
      </c>
    </row>
    <row r="178" spans="6:20" ht="45">
      <c r="G178" s="100" t="s">
        <v>1584</v>
      </c>
      <c r="H178" s="100" t="s">
        <v>1588</v>
      </c>
      <c r="I178">
        <v>0</v>
      </c>
      <c r="J178" s="980" t="e">
        <f>H179</f>
        <v>#REF!</v>
      </c>
      <c r="L178" s="980" t="e">
        <f>J178</f>
        <v>#REF!</v>
      </c>
      <c r="M178" s="980" t="e">
        <f>H179-J178</f>
        <v>#REF!</v>
      </c>
    </row>
    <row r="179" spans="6:20">
      <c r="F179" s="829" t="s">
        <v>1496</v>
      </c>
      <c r="G179" s="498">
        <f>H118</f>
        <v>8.7100000000000009</v>
      </c>
      <c r="H179" s="576" t="e">
        <f>Q118</f>
        <v>#REF!</v>
      </c>
      <c r="I179" s="498">
        <f>G179+I178</f>
        <v>8.7100000000000009</v>
      </c>
      <c r="J179" s="980" t="e">
        <f>H179</f>
        <v>#REF!</v>
      </c>
      <c r="K179" s="498">
        <f>I179-I178</f>
        <v>8.7100000000000009</v>
      </c>
      <c r="L179" s="980" t="e">
        <f>J179</f>
        <v>#REF!</v>
      </c>
      <c r="M179" s="980" t="e">
        <f t="shared" ref="M179:M183" si="26">H180-J179</f>
        <v>#REF!</v>
      </c>
    </row>
    <row r="180" spans="6:20">
      <c r="F180" s="829" t="s">
        <v>1574</v>
      </c>
      <c r="G180" s="498">
        <f>H120</f>
        <v>0.36699999999999999</v>
      </c>
      <c r="H180" s="576">
        <f>Q120</f>
        <v>37.523622731304492</v>
      </c>
      <c r="I180" s="498">
        <f t="shared" ref="I180:I184" si="27">G180+I179</f>
        <v>9.0770000000000017</v>
      </c>
      <c r="J180" s="980">
        <f t="shared" ref="J180:J184" si="28">H180</f>
        <v>37.523622731304492</v>
      </c>
      <c r="K180" s="498">
        <f t="shared" ref="K180:K184" si="29">I180-I179</f>
        <v>0.36700000000000088</v>
      </c>
      <c r="L180" s="980">
        <f t="shared" ref="L180:L184" si="30">J180</f>
        <v>37.523622731304492</v>
      </c>
      <c r="M180" s="980" t="e">
        <f t="shared" si="26"/>
        <v>#REF!</v>
      </c>
    </row>
    <row r="181" spans="6:20">
      <c r="F181" s="829" t="s">
        <v>1494</v>
      </c>
      <c r="G181" s="498">
        <f>H117</f>
        <v>4.3499999999999996</v>
      </c>
      <c r="H181" s="576" t="e">
        <f>Q117</f>
        <v>#REF!</v>
      </c>
      <c r="I181" s="498">
        <f t="shared" si="27"/>
        <v>13.427000000000001</v>
      </c>
      <c r="J181" s="980" t="e">
        <f t="shared" si="28"/>
        <v>#REF!</v>
      </c>
      <c r="K181" s="498">
        <f t="shared" si="29"/>
        <v>4.3499999999999996</v>
      </c>
      <c r="L181" s="980" t="e">
        <f t="shared" si="30"/>
        <v>#REF!</v>
      </c>
      <c r="M181" s="980" t="e">
        <f t="shared" si="26"/>
        <v>#REF!</v>
      </c>
    </row>
    <row r="182" spans="6:20">
      <c r="F182" s="829" t="s">
        <v>1573</v>
      </c>
      <c r="G182" s="498">
        <f>H119</f>
        <v>2.202</v>
      </c>
      <c r="H182" s="576">
        <f>Q119</f>
        <v>121.2046294499584</v>
      </c>
      <c r="I182" s="498">
        <f t="shared" si="27"/>
        <v>15.629000000000001</v>
      </c>
      <c r="J182" s="980">
        <f t="shared" si="28"/>
        <v>121.2046294499584</v>
      </c>
      <c r="K182" s="498">
        <f t="shared" si="29"/>
        <v>2.202</v>
      </c>
      <c r="L182" s="980">
        <f t="shared" si="30"/>
        <v>121.2046294499584</v>
      </c>
      <c r="M182" s="980" t="e">
        <f t="shared" si="26"/>
        <v>#REF!</v>
      </c>
    </row>
    <row r="183" spans="6:20">
      <c r="F183" s="829" t="s">
        <v>1577</v>
      </c>
      <c r="G183" s="498">
        <f>H122</f>
        <v>4.7709999999999999</v>
      </c>
      <c r="H183" s="576" t="e">
        <f>Q122</f>
        <v>#REF!</v>
      </c>
      <c r="I183" s="498">
        <f t="shared" si="27"/>
        <v>20.400000000000002</v>
      </c>
      <c r="J183" s="980" t="e">
        <f t="shared" si="28"/>
        <v>#REF!</v>
      </c>
      <c r="K183" s="498">
        <f t="shared" si="29"/>
        <v>4.7710000000000008</v>
      </c>
      <c r="L183" s="980" t="e">
        <f t="shared" si="30"/>
        <v>#REF!</v>
      </c>
      <c r="M183" s="980" t="e">
        <f t="shared" si="26"/>
        <v>#REF!</v>
      </c>
    </row>
    <row r="184" spans="6:20">
      <c r="F184" s="829" t="s">
        <v>1514</v>
      </c>
      <c r="G184" s="498">
        <f>H123</f>
        <v>16.37</v>
      </c>
      <c r="H184" s="576" t="e">
        <f>Q123</f>
        <v>#REF!</v>
      </c>
      <c r="I184" s="498">
        <f t="shared" si="27"/>
        <v>36.770000000000003</v>
      </c>
      <c r="J184" s="980" t="e">
        <f t="shared" si="28"/>
        <v>#REF!</v>
      </c>
      <c r="K184" s="498">
        <f t="shared" si="29"/>
        <v>16.37</v>
      </c>
      <c r="L184" s="980" t="e">
        <f t="shared" si="30"/>
        <v>#REF!</v>
      </c>
      <c r="M184" s="980"/>
    </row>
    <row r="187" spans="6:20">
      <c r="G187" s="498"/>
      <c r="H187" s="980"/>
    </row>
    <row r="188" spans="6:20">
      <c r="F188" t="s">
        <v>1609</v>
      </c>
      <c r="G188" s="498"/>
      <c r="H188" s="980"/>
      <c r="N188" t="s">
        <v>1610</v>
      </c>
    </row>
    <row r="189" spans="6:20">
      <c r="F189" t="s">
        <v>1611</v>
      </c>
      <c r="G189" s="829" t="s">
        <v>1496</v>
      </c>
      <c r="H189" s="829" t="s">
        <v>1494</v>
      </c>
      <c r="I189" s="829" t="s">
        <v>1574</v>
      </c>
      <c r="J189" s="829" t="s">
        <v>1573</v>
      </c>
      <c r="K189" s="829" t="s">
        <v>1577</v>
      </c>
      <c r="L189" s="829" t="s">
        <v>1514</v>
      </c>
      <c r="N189" t="s">
        <v>1611</v>
      </c>
      <c r="O189" s="829" t="s">
        <v>1496</v>
      </c>
      <c r="P189" s="829" t="s">
        <v>1574</v>
      </c>
      <c r="Q189" s="829" t="s">
        <v>1494</v>
      </c>
      <c r="R189" s="829" t="s">
        <v>1573</v>
      </c>
      <c r="S189" s="829" t="s">
        <v>1577</v>
      </c>
      <c r="T189" s="829" t="s">
        <v>1514</v>
      </c>
    </row>
    <row r="190" spans="6:20">
      <c r="F190">
        <v>0.1</v>
      </c>
      <c r="G190" s="498" t="e">
        <f>$H$168</f>
        <v>#REF!</v>
      </c>
      <c r="N190">
        <v>0.1</v>
      </c>
      <c r="O190" s="498" t="e">
        <f>$H$179</f>
        <v>#REF!</v>
      </c>
    </row>
    <row r="191" spans="6:20">
      <c r="F191">
        <v>0.15</v>
      </c>
      <c r="G191" s="498" t="e">
        <f t="shared" ref="G191:G229" si="31">$H$168</f>
        <v>#REF!</v>
      </c>
      <c r="H191" s="980"/>
      <c r="N191">
        <v>0.2</v>
      </c>
      <c r="O191" s="498" t="e">
        <f t="shared" ref="O191:O254" si="32">$H$179</f>
        <v>#REF!</v>
      </c>
    </row>
    <row r="192" spans="6:20">
      <c r="F192">
        <v>0.2</v>
      </c>
      <c r="G192" s="498" t="e">
        <f t="shared" si="31"/>
        <v>#REF!</v>
      </c>
      <c r="H192" s="980"/>
      <c r="N192">
        <v>0.3</v>
      </c>
      <c r="O192" s="498" t="e">
        <f t="shared" si="32"/>
        <v>#REF!</v>
      </c>
    </row>
    <row r="193" spans="6:15">
      <c r="F193">
        <v>0.25</v>
      </c>
      <c r="G193" s="498" t="e">
        <f t="shared" si="31"/>
        <v>#REF!</v>
      </c>
      <c r="N193">
        <v>0.4</v>
      </c>
      <c r="O193" s="498" t="e">
        <f t="shared" si="32"/>
        <v>#REF!</v>
      </c>
    </row>
    <row r="194" spans="6:15">
      <c r="F194">
        <v>0.3</v>
      </c>
      <c r="G194" s="498" t="e">
        <f t="shared" si="31"/>
        <v>#REF!</v>
      </c>
      <c r="N194">
        <v>0.5</v>
      </c>
      <c r="O194" s="498" t="e">
        <f t="shared" si="32"/>
        <v>#REF!</v>
      </c>
    </row>
    <row r="195" spans="6:15">
      <c r="F195">
        <v>0.35</v>
      </c>
      <c r="G195" s="498" t="e">
        <f t="shared" si="31"/>
        <v>#REF!</v>
      </c>
      <c r="N195">
        <v>0.6</v>
      </c>
      <c r="O195" s="498" t="e">
        <f t="shared" si="32"/>
        <v>#REF!</v>
      </c>
    </row>
    <row r="196" spans="6:15">
      <c r="F196">
        <v>0.4</v>
      </c>
      <c r="G196" s="498" t="e">
        <f t="shared" si="31"/>
        <v>#REF!</v>
      </c>
      <c r="N196">
        <v>0.7</v>
      </c>
      <c r="O196" s="498" t="e">
        <f t="shared" si="32"/>
        <v>#REF!</v>
      </c>
    </row>
    <row r="197" spans="6:15">
      <c r="F197">
        <v>0.45</v>
      </c>
      <c r="G197" s="498" t="e">
        <f t="shared" si="31"/>
        <v>#REF!</v>
      </c>
      <c r="N197">
        <v>0.8</v>
      </c>
      <c r="O197" s="498" t="e">
        <f t="shared" si="32"/>
        <v>#REF!</v>
      </c>
    </row>
    <row r="198" spans="6:15">
      <c r="F198">
        <v>0.5</v>
      </c>
      <c r="G198" s="498" t="e">
        <f t="shared" si="31"/>
        <v>#REF!</v>
      </c>
      <c r="N198">
        <v>0.9</v>
      </c>
      <c r="O198" s="498" t="e">
        <f t="shared" si="32"/>
        <v>#REF!</v>
      </c>
    </row>
    <row r="199" spans="6:15">
      <c r="F199">
        <v>0.55000000000000004</v>
      </c>
      <c r="G199" s="498" t="e">
        <f t="shared" si="31"/>
        <v>#REF!</v>
      </c>
      <c r="N199">
        <v>1</v>
      </c>
      <c r="O199" s="498" t="e">
        <f t="shared" si="32"/>
        <v>#REF!</v>
      </c>
    </row>
    <row r="200" spans="6:15">
      <c r="F200">
        <v>0.6</v>
      </c>
      <c r="G200" s="498" t="e">
        <f t="shared" si="31"/>
        <v>#REF!</v>
      </c>
      <c r="N200">
        <v>1.1000000000000001</v>
      </c>
      <c r="O200" s="498" t="e">
        <f t="shared" si="32"/>
        <v>#REF!</v>
      </c>
    </row>
    <row r="201" spans="6:15">
      <c r="F201">
        <v>0.65</v>
      </c>
      <c r="G201" s="498" t="e">
        <f t="shared" si="31"/>
        <v>#REF!</v>
      </c>
      <c r="H201" s="498"/>
      <c r="N201">
        <v>1.2</v>
      </c>
      <c r="O201" s="498" t="e">
        <f t="shared" si="32"/>
        <v>#REF!</v>
      </c>
    </row>
    <row r="202" spans="6:15">
      <c r="F202">
        <v>0.7</v>
      </c>
      <c r="G202" s="498" t="e">
        <f t="shared" si="31"/>
        <v>#REF!</v>
      </c>
      <c r="H202" s="498"/>
      <c r="N202">
        <v>1.3</v>
      </c>
      <c r="O202" s="498" t="e">
        <f t="shared" si="32"/>
        <v>#REF!</v>
      </c>
    </row>
    <row r="203" spans="6:15">
      <c r="F203">
        <v>0.75</v>
      </c>
      <c r="G203" s="498" t="e">
        <f t="shared" si="31"/>
        <v>#REF!</v>
      </c>
      <c r="H203" s="498"/>
      <c r="N203">
        <v>1.4</v>
      </c>
      <c r="O203" s="498" t="e">
        <f t="shared" si="32"/>
        <v>#REF!</v>
      </c>
    </row>
    <row r="204" spans="6:15">
      <c r="F204">
        <v>0.8</v>
      </c>
      <c r="G204" s="498" t="e">
        <f t="shared" si="31"/>
        <v>#REF!</v>
      </c>
      <c r="H204" s="498"/>
      <c r="N204">
        <v>1.5</v>
      </c>
      <c r="O204" s="498" t="e">
        <f t="shared" si="32"/>
        <v>#REF!</v>
      </c>
    </row>
    <row r="205" spans="6:15">
      <c r="F205">
        <v>0.85</v>
      </c>
      <c r="G205" s="498" t="e">
        <f t="shared" si="31"/>
        <v>#REF!</v>
      </c>
      <c r="H205" s="498"/>
      <c r="N205">
        <v>1.6</v>
      </c>
      <c r="O205" s="498" t="e">
        <f t="shared" si="32"/>
        <v>#REF!</v>
      </c>
    </row>
    <row r="206" spans="6:15">
      <c r="F206">
        <v>0.9</v>
      </c>
      <c r="G206" s="498" t="e">
        <f t="shared" si="31"/>
        <v>#REF!</v>
      </c>
      <c r="H206" s="498"/>
      <c r="N206">
        <v>1.7</v>
      </c>
      <c r="O206" s="498" t="e">
        <f t="shared" si="32"/>
        <v>#REF!</v>
      </c>
    </row>
    <row r="207" spans="6:15">
      <c r="F207">
        <v>0.95</v>
      </c>
      <c r="G207" s="498" t="e">
        <f t="shared" si="31"/>
        <v>#REF!</v>
      </c>
      <c r="I207" s="498"/>
      <c r="N207">
        <v>1.8</v>
      </c>
      <c r="O207" s="498" t="e">
        <f t="shared" si="32"/>
        <v>#REF!</v>
      </c>
    </row>
    <row r="208" spans="6:15">
      <c r="F208">
        <v>1</v>
      </c>
      <c r="G208" s="498" t="e">
        <f t="shared" si="31"/>
        <v>#REF!</v>
      </c>
      <c r="I208" s="498"/>
      <c r="N208">
        <v>1.9</v>
      </c>
      <c r="O208" s="498" t="e">
        <f t="shared" si="32"/>
        <v>#REF!</v>
      </c>
    </row>
    <row r="209" spans="6:15">
      <c r="F209">
        <v>1.05</v>
      </c>
      <c r="G209" s="498" t="e">
        <f t="shared" si="31"/>
        <v>#REF!</v>
      </c>
      <c r="I209" s="498"/>
      <c r="N209">
        <v>2</v>
      </c>
      <c r="O209" s="498" t="e">
        <f t="shared" si="32"/>
        <v>#REF!</v>
      </c>
    </row>
    <row r="210" spans="6:15">
      <c r="F210">
        <v>1.1000000000000001</v>
      </c>
      <c r="G210" s="498" t="e">
        <f t="shared" si="31"/>
        <v>#REF!</v>
      </c>
      <c r="I210" s="498"/>
      <c r="N210">
        <v>2.1</v>
      </c>
      <c r="O210" s="498" t="e">
        <f t="shared" si="32"/>
        <v>#REF!</v>
      </c>
    </row>
    <row r="211" spans="6:15">
      <c r="F211">
        <v>1.1499999999999999</v>
      </c>
      <c r="G211" s="498" t="e">
        <f t="shared" si="31"/>
        <v>#REF!</v>
      </c>
      <c r="I211" s="498"/>
      <c r="N211">
        <v>2.2000000000000002</v>
      </c>
      <c r="O211" s="498" t="e">
        <f t="shared" si="32"/>
        <v>#REF!</v>
      </c>
    </row>
    <row r="212" spans="6:15">
      <c r="F212">
        <v>1.2</v>
      </c>
      <c r="G212" s="498" t="e">
        <f t="shared" si="31"/>
        <v>#REF!</v>
      </c>
      <c r="H212" s="498"/>
      <c r="I212" s="498"/>
      <c r="N212">
        <v>2.2999999999999998</v>
      </c>
      <c r="O212" s="498" t="e">
        <f t="shared" si="32"/>
        <v>#REF!</v>
      </c>
    </row>
    <row r="213" spans="6:15">
      <c r="F213">
        <v>1.25</v>
      </c>
      <c r="G213" s="498" t="e">
        <f t="shared" si="31"/>
        <v>#REF!</v>
      </c>
      <c r="H213" s="498"/>
      <c r="I213" s="498"/>
      <c r="N213">
        <v>2.4</v>
      </c>
      <c r="O213" s="498" t="e">
        <f t="shared" si="32"/>
        <v>#REF!</v>
      </c>
    </row>
    <row r="214" spans="6:15">
      <c r="F214">
        <v>1.3</v>
      </c>
      <c r="G214" s="498" t="e">
        <f t="shared" si="31"/>
        <v>#REF!</v>
      </c>
      <c r="H214" s="498"/>
      <c r="I214" s="498"/>
      <c r="N214">
        <v>2.5</v>
      </c>
      <c r="O214" s="498" t="e">
        <f t="shared" si="32"/>
        <v>#REF!</v>
      </c>
    </row>
    <row r="215" spans="6:15">
      <c r="F215">
        <v>1.35</v>
      </c>
      <c r="G215" s="498" t="e">
        <f t="shared" si="31"/>
        <v>#REF!</v>
      </c>
      <c r="H215" s="498"/>
      <c r="I215" s="498"/>
      <c r="N215">
        <v>2.6</v>
      </c>
      <c r="O215" s="498" t="e">
        <f t="shared" si="32"/>
        <v>#REF!</v>
      </c>
    </row>
    <row r="216" spans="6:15">
      <c r="F216">
        <v>1.4</v>
      </c>
      <c r="G216" s="498" t="e">
        <f t="shared" si="31"/>
        <v>#REF!</v>
      </c>
      <c r="H216" s="498"/>
      <c r="I216" s="498"/>
      <c r="N216">
        <v>2.7</v>
      </c>
      <c r="O216" s="498" t="e">
        <f t="shared" si="32"/>
        <v>#REF!</v>
      </c>
    </row>
    <row r="217" spans="6:15">
      <c r="F217">
        <v>1.45</v>
      </c>
      <c r="G217" s="498" t="e">
        <f t="shared" si="31"/>
        <v>#REF!</v>
      </c>
      <c r="H217" s="498"/>
      <c r="I217" s="498"/>
      <c r="N217">
        <v>2.8</v>
      </c>
      <c r="O217" s="498" t="e">
        <f t="shared" si="32"/>
        <v>#REF!</v>
      </c>
    </row>
    <row r="218" spans="6:15">
      <c r="F218">
        <v>1.5</v>
      </c>
      <c r="G218" s="498" t="e">
        <f t="shared" si="31"/>
        <v>#REF!</v>
      </c>
      <c r="H218" s="498"/>
      <c r="I218" s="498"/>
      <c r="N218">
        <v>2.9</v>
      </c>
      <c r="O218" s="498" t="e">
        <f t="shared" si="32"/>
        <v>#REF!</v>
      </c>
    </row>
    <row r="219" spans="6:15">
      <c r="F219">
        <v>1.55</v>
      </c>
      <c r="G219" s="498" t="e">
        <f t="shared" si="31"/>
        <v>#REF!</v>
      </c>
      <c r="H219" s="498"/>
      <c r="I219" s="498"/>
      <c r="N219">
        <v>3</v>
      </c>
      <c r="O219" s="498" t="e">
        <f t="shared" si="32"/>
        <v>#REF!</v>
      </c>
    </row>
    <row r="220" spans="6:15">
      <c r="F220">
        <v>1.6</v>
      </c>
      <c r="G220" s="498" t="e">
        <f t="shared" si="31"/>
        <v>#REF!</v>
      </c>
      <c r="H220" s="498"/>
      <c r="I220" s="498"/>
      <c r="N220">
        <v>3.1</v>
      </c>
      <c r="O220" s="498" t="e">
        <f t="shared" si="32"/>
        <v>#REF!</v>
      </c>
    </row>
    <row r="221" spans="6:15">
      <c r="F221">
        <v>1.65</v>
      </c>
      <c r="G221" s="498" t="e">
        <f t="shared" si="31"/>
        <v>#REF!</v>
      </c>
      <c r="H221" s="498"/>
      <c r="I221" s="498"/>
      <c r="N221">
        <v>3.2</v>
      </c>
      <c r="O221" s="498" t="e">
        <f t="shared" si="32"/>
        <v>#REF!</v>
      </c>
    </row>
    <row r="222" spans="6:15">
      <c r="F222">
        <v>1.7</v>
      </c>
      <c r="G222" s="498" t="e">
        <f t="shared" si="31"/>
        <v>#REF!</v>
      </c>
      <c r="H222" s="498"/>
      <c r="I222" s="498"/>
      <c r="N222">
        <v>3.3</v>
      </c>
      <c r="O222" s="498" t="e">
        <f t="shared" si="32"/>
        <v>#REF!</v>
      </c>
    </row>
    <row r="223" spans="6:15">
      <c r="F223">
        <v>1.75</v>
      </c>
      <c r="G223" s="498" t="e">
        <f t="shared" si="31"/>
        <v>#REF!</v>
      </c>
      <c r="I223" s="498"/>
      <c r="N223">
        <v>3.4</v>
      </c>
      <c r="O223" s="498" t="e">
        <f t="shared" si="32"/>
        <v>#REF!</v>
      </c>
    </row>
    <row r="224" spans="6:15">
      <c r="F224">
        <v>1.8</v>
      </c>
      <c r="G224" s="498" t="e">
        <f t="shared" si="31"/>
        <v>#REF!</v>
      </c>
      <c r="I224" s="498"/>
      <c r="N224">
        <v>3.5</v>
      </c>
      <c r="O224" s="498" t="e">
        <f t="shared" si="32"/>
        <v>#REF!</v>
      </c>
    </row>
    <row r="225" spans="6:15">
      <c r="F225">
        <v>1.85</v>
      </c>
      <c r="G225" s="498" t="e">
        <f t="shared" si="31"/>
        <v>#REF!</v>
      </c>
      <c r="I225" s="498"/>
      <c r="N225">
        <v>3.6</v>
      </c>
      <c r="O225" s="498" t="e">
        <f t="shared" si="32"/>
        <v>#REF!</v>
      </c>
    </row>
    <row r="226" spans="6:15">
      <c r="F226">
        <v>1.9</v>
      </c>
      <c r="G226" s="498" t="e">
        <f t="shared" si="31"/>
        <v>#REF!</v>
      </c>
      <c r="I226" s="498"/>
      <c r="N226">
        <v>3.7</v>
      </c>
      <c r="O226" s="498" t="e">
        <f t="shared" si="32"/>
        <v>#REF!</v>
      </c>
    </row>
    <row r="227" spans="6:15">
      <c r="F227">
        <v>1.95</v>
      </c>
      <c r="G227" s="498" t="e">
        <f t="shared" si="31"/>
        <v>#REF!</v>
      </c>
      <c r="I227" s="498"/>
      <c r="N227">
        <v>3.8</v>
      </c>
      <c r="O227" s="498" t="e">
        <f t="shared" si="32"/>
        <v>#REF!</v>
      </c>
    </row>
    <row r="228" spans="6:15">
      <c r="F228">
        <v>2</v>
      </c>
      <c r="G228" s="498" t="e">
        <f t="shared" si="31"/>
        <v>#REF!</v>
      </c>
      <c r="I228" s="498"/>
      <c r="N228">
        <v>3.9</v>
      </c>
      <c r="O228" s="498" t="e">
        <f t="shared" si="32"/>
        <v>#REF!</v>
      </c>
    </row>
    <row r="229" spans="6:15">
      <c r="F229">
        <v>2.0499999999999998</v>
      </c>
      <c r="G229" s="498" t="e">
        <f t="shared" si="31"/>
        <v>#REF!</v>
      </c>
      <c r="I229" s="498"/>
      <c r="N229">
        <v>4</v>
      </c>
      <c r="O229" s="498" t="e">
        <f t="shared" si="32"/>
        <v>#REF!</v>
      </c>
    </row>
    <row r="230" spans="6:15">
      <c r="F230">
        <v>2.1</v>
      </c>
      <c r="G230" s="498" t="e">
        <f>G229</f>
        <v>#REF!</v>
      </c>
      <c r="H230" s="498" t="e">
        <f>$H$169</f>
        <v>#REF!</v>
      </c>
      <c r="I230" s="498"/>
      <c r="N230">
        <v>4.0999999999999996</v>
      </c>
      <c r="O230" s="498" t="e">
        <f t="shared" si="32"/>
        <v>#REF!</v>
      </c>
    </row>
    <row r="231" spans="6:15">
      <c r="F231">
        <v>2.15</v>
      </c>
      <c r="H231" s="498" t="e">
        <f t="shared" ref="H231:H274" si="33">$H$169</f>
        <v>#REF!</v>
      </c>
      <c r="I231" s="498"/>
      <c r="N231">
        <v>4.2</v>
      </c>
      <c r="O231" s="498" t="e">
        <f t="shared" si="32"/>
        <v>#REF!</v>
      </c>
    </row>
    <row r="232" spans="6:15">
      <c r="F232">
        <v>2.2000000000000002</v>
      </c>
      <c r="H232" s="498" t="e">
        <f t="shared" si="33"/>
        <v>#REF!</v>
      </c>
      <c r="I232" s="498"/>
      <c r="N232">
        <v>4.3</v>
      </c>
      <c r="O232" s="498" t="e">
        <f t="shared" si="32"/>
        <v>#REF!</v>
      </c>
    </row>
    <row r="233" spans="6:15">
      <c r="F233">
        <v>2.25</v>
      </c>
      <c r="H233" s="498" t="e">
        <f t="shared" si="33"/>
        <v>#REF!</v>
      </c>
      <c r="I233" s="498"/>
      <c r="N233">
        <v>4.4000000000000004</v>
      </c>
      <c r="O233" s="498" t="e">
        <f t="shared" si="32"/>
        <v>#REF!</v>
      </c>
    </row>
    <row r="234" spans="6:15">
      <c r="F234">
        <v>2.2999999999999998</v>
      </c>
      <c r="H234" s="498" t="e">
        <f t="shared" si="33"/>
        <v>#REF!</v>
      </c>
      <c r="I234" s="498"/>
      <c r="N234">
        <v>4.5</v>
      </c>
      <c r="O234" s="498" t="e">
        <f t="shared" si="32"/>
        <v>#REF!</v>
      </c>
    </row>
    <row r="235" spans="6:15">
      <c r="F235">
        <v>2.35</v>
      </c>
      <c r="H235" s="498" t="e">
        <f t="shared" si="33"/>
        <v>#REF!</v>
      </c>
      <c r="I235" s="498"/>
      <c r="N235">
        <v>4.5999999999999996</v>
      </c>
      <c r="O235" s="498" t="e">
        <f t="shared" si="32"/>
        <v>#REF!</v>
      </c>
    </row>
    <row r="236" spans="6:15">
      <c r="F236">
        <v>2.4</v>
      </c>
      <c r="H236" s="498" t="e">
        <f t="shared" si="33"/>
        <v>#REF!</v>
      </c>
      <c r="I236" s="498"/>
      <c r="N236">
        <v>4.7</v>
      </c>
      <c r="O236" s="498" t="e">
        <f t="shared" si="32"/>
        <v>#REF!</v>
      </c>
    </row>
    <row r="237" spans="6:15">
      <c r="F237">
        <v>2.4500000000000002</v>
      </c>
      <c r="H237" s="498" t="e">
        <f t="shared" si="33"/>
        <v>#REF!</v>
      </c>
      <c r="I237" s="498"/>
      <c r="N237">
        <v>4.8</v>
      </c>
      <c r="O237" s="498" t="e">
        <f t="shared" si="32"/>
        <v>#REF!</v>
      </c>
    </row>
    <row r="238" spans="6:15">
      <c r="F238">
        <v>2.5</v>
      </c>
      <c r="H238" s="498" t="e">
        <f t="shared" si="33"/>
        <v>#REF!</v>
      </c>
      <c r="I238" s="498"/>
      <c r="N238">
        <v>4.9000000000000004</v>
      </c>
      <c r="O238" s="498" t="e">
        <f t="shared" si="32"/>
        <v>#REF!</v>
      </c>
    </row>
    <row r="239" spans="6:15">
      <c r="F239">
        <v>2.5499999999999998</v>
      </c>
      <c r="H239" s="498" t="e">
        <f t="shared" si="33"/>
        <v>#REF!</v>
      </c>
      <c r="I239" s="498"/>
      <c r="N239">
        <v>5</v>
      </c>
      <c r="O239" s="498" t="e">
        <f t="shared" si="32"/>
        <v>#REF!</v>
      </c>
    </row>
    <row r="240" spans="6:15">
      <c r="F240">
        <v>2.6</v>
      </c>
      <c r="H240" s="498" t="e">
        <f t="shared" si="33"/>
        <v>#REF!</v>
      </c>
      <c r="I240" s="498"/>
      <c r="N240">
        <v>5.0999999999999996</v>
      </c>
      <c r="O240" s="498" t="e">
        <f t="shared" si="32"/>
        <v>#REF!</v>
      </c>
    </row>
    <row r="241" spans="6:15">
      <c r="F241">
        <v>2.65</v>
      </c>
      <c r="H241" s="498" t="e">
        <f t="shared" si="33"/>
        <v>#REF!</v>
      </c>
      <c r="I241" s="498"/>
      <c r="N241">
        <v>5.2</v>
      </c>
      <c r="O241" s="498" t="e">
        <f t="shared" si="32"/>
        <v>#REF!</v>
      </c>
    </row>
    <row r="242" spans="6:15">
      <c r="F242">
        <v>2.7</v>
      </c>
      <c r="H242" s="498" t="e">
        <f t="shared" si="33"/>
        <v>#REF!</v>
      </c>
      <c r="I242" s="498"/>
      <c r="N242">
        <v>5.3</v>
      </c>
      <c r="O242" s="498" t="e">
        <f t="shared" si="32"/>
        <v>#REF!</v>
      </c>
    </row>
    <row r="243" spans="6:15">
      <c r="F243">
        <v>2.75</v>
      </c>
      <c r="H243" s="498" t="e">
        <f t="shared" si="33"/>
        <v>#REF!</v>
      </c>
      <c r="I243" s="498"/>
      <c r="N243">
        <v>5.4</v>
      </c>
      <c r="O243" s="498" t="e">
        <f t="shared" si="32"/>
        <v>#REF!</v>
      </c>
    </row>
    <row r="244" spans="6:15">
      <c r="F244">
        <v>2.8</v>
      </c>
      <c r="H244" s="498" t="e">
        <f t="shared" si="33"/>
        <v>#REF!</v>
      </c>
      <c r="I244" s="498"/>
      <c r="N244">
        <v>5.5</v>
      </c>
      <c r="O244" s="498" t="e">
        <f t="shared" si="32"/>
        <v>#REF!</v>
      </c>
    </row>
    <row r="245" spans="6:15">
      <c r="F245">
        <v>2.85</v>
      </c>
      <c r="H245" s="498" t="e">
        <f t="shared" si="33"/>
        <v>#REF!</v>
      </c>
      <c r="I245" s="498"/>
      <c r="N245">
        <v>5.6</v>
      </c>
      <c r="O245" s="498" t="e">
        <f t="shared" si="32"/>
        <v>#REF!</v>
      </c>
    </row>
    <row r="246" spans="6:15">
      <c r="F246">
        <v>2.9</v>
      </c>
      <c r="H246" s="498" t="e">
        <f t="shared" si="33"/>
        <v>#REF!</v>
      </c>
      <c r="I246" s="498"/>
      <c r="N246">
        <v>5.7</v>
      </c>
      <c r="O246" s="498" t="e">
        <f t="shared" si="32"/>
        <v>#REF!</v>
      </c>
    </row>
    <row r="247" spans="6:15">
      <c r="F247">
        <v>2.95</v>
      </c>
      <c r="H247" s="498" t="e">
        <f t="shared" si="33"/>
        <v>#REF!</v>
      </c>
      <c r="I247" s="498"/>
      <c r="N247">
        <v>5.8</v>
      </c>
      <c r="O247" s="498" t="e">
        <f t="shared" si="32"/>
        <v>#REF!</v>
      </c>
    </row>
    <row r="248" spans="6:15">
      <c r="F248">
        <v>3</v>
      </c>
      <c r="H248" s="498" t="e">
        <f t="shared" si="33"/>
        <v>#REF!</v>
      </c>
      <c r="I248" s="498"/>
      <c r="N248">
        <v>5.9</v>
      </c>
      <c r="O248" s="498" t="e">
        <f t="shared" si="32"/>
        <v>#REF!</v>
      </c>
    </row>
    <row r="249" spans="6:15">
      <c r="F249">
        <v>3.05</v>
      </c>
      <c r="H249" s="498" t="e">
        <f t="shared" si="33"/>
        <v>#REF!</v>
      </c>
      <c r="I249" s="498"/>
      <c r="N249">
        <v>6</v>
      </c>
      <c r="O249" s="498" t="e">
        <f t="shared" si="32"/>
        <v>#REF!</v>
      </c>
    </row>
    <row r="250" spans="6:15">
      <c r="F250">
        <v>3.1</v>
      </c>
      <c r="H250" s="498" t="e">
        <f t="shared" si="33"/>
        <v>#REF!</v>
      </c>
      <c r="I250" s="498"/>
      <c r="N250">
        <v>6.1</v>
      </c>
      <c r="O250" s="498" t="e">
        <f t="shared" si="32"/>
        <v>#REF!</v>
      </c>
    </row>
    <row r="251" spans="6:15">
      <c r="F251">
        <v>3.15</v>
      </c>
      <c r="H251" s="498" t="e">
        <f t="shared" si="33"/>
        <v>#REF!</v>
      </c>
      <c r="I251" s="498"/>
      <c r="N251">
        <v>6.2</v>
      </c>
      <c r="O251" s="498" t="e">
        <f t="shared" si="32"/>
        <v>#REF!</v>
      </c>
    </row>
    <row r="252" spans="6:15">
      <c r="F252">
        <v>3.2</v>
      </c>
      <c r="H252" s="498" t="e">
        <f t="shared" si="33"/>
        <v>#REF!</v>
      </c>
      <c r="I252" s="498"/>
      <c r="N252">
        <v>6.3</v>
      </c>
      <c r="O252" s="498" t="e">
        <f t="shared" si="32"/>
        <v>#REF!</v>
      </c>
    </row>
    <row r="253" spans="6:15">
      <c r="F253">
        <v>3.25</v>
      </c>
      <c r="H253" s="498" t="e">
        <f t="shared" si="33"/>
        <v>#REF!</v>
      </c>
      <c r="I253" s="498"/>
      <c r="N253">
        <v>6.4</v>
      </c>
      <c r="O253" s="498" t="e">
        <f t="shared" si="32"/>
        <v>#REF!</v>
      </c>
    </row>
    <row r="254" spans="6:15">
      <c r="F254">
        <v>3.3</v>
      </c>
      <c r="H254" s="498" t="e">
        <f t="shared" si="33"/>
        <v>#REF!</v>
      </c>
      <c r="I254" s="498"/>
      <c r="N254">
        <v>6.5</v>
      </c>
      <c r="O254" s="498" t="e">
        <f t="shared" si="32"/>
        <v>#REF!</v>
      </c>
    </row>
    <row r="255" spans="6:15">
      <c r="F255">
        <v>3.35</v>
      </c>
      <c r="H255" s="498" t="e">
        <f t="shared" si="33"/>
        <v>#REF!</v>
      </c>
      <c r="I255" s="498"/>
      <c r="N255">
        <v>6.6</v>
      </c>
      <c r="O255" s="498" t="e">
        <f t="shared" ref="O255:O276" si="34">$H$179</f>
        <v>#REF!</v>
      </c>
    </row>
    <row r="256" spans="6:15">
      <c r="F256">
        <v>3.4</v>
      </c>
      <c r="H256" s="498" t="e">
        <f t="shared" si="33"/>
        <v>#REF!</v>
      </c>
      <c r="I256" s="498"/>
      <c r="N256">
        <v>6.7</v>
      </c>
      <c r="O256" s="498" t="e">
        <f t="shared" si="34"/>
        <v>#REF!</v>
      </c>
    </row>
    <row r="257" spans="6:15">
      <c r="F257">
        <v>3.45</v>
      </c>
      <c r="H257" s="498" t="e">
        <f t="shared" si="33"/>
        <v>#REF!</v>
      </c>
      <c r="I257" s="498"/>
      <c r="N257">
        <v>6.8</v>
      </c>
      <c r="O257" s="498" t="e">
        <f t="shared" si="34"/>
        <v>#REF!</v>
      </c>
    </row>
    <row r="258" spans="6:15">
      <c r="F258">
        <v>3.5</v>
      </c>
      <c r="H258" s="498" t="e">
        <f t="shared" si="33"/>
        <v>#REF!</v>
      </c>
      <c r="I258" s="498"/>
      <c r="N258">
        <v>6.9</v>
      </c>
      <c r="O258" s="498" t="e">
        <f t="shared" si="34"/>
        <v>#REF!</v>
      </c>
    </row>
    <row r="259" spans="6:15">
      <c r="F259">
        <v>3.55</v>
      </c>
      <c r="H259" s="498" t="e">
        <f t="shared" si="33"/>
        <v>#REF!</v>
      </c>
      <c r="I259" s="498"/>
      <c r="N259">
        <v>7</v>
      </c>
      <c r="O259" s="498" t="e">
        <f t="shared" si="34"/>
        <v>#REF!</v>
      </c>
    </row>
    <row r="260" spans="6:15">
      <c r="F260">
        <v>3.6</v>
      </c>
      <c r="H260" s="498" t="e">
        <f t="shared" si="33"/>
        <v>#REF!</v>
      </c>
      <c r="I260" s="498"/>
      <c r="N260">
        <v>7.1</v>
      </c>
      <c r="O260" s="498" t="e">
        <f t="shared" si="34"/>
        <v>#REF!</v>
      </c>
    </row>
    <row r="261" spans="6:15">
      <c r="F261">
        <v>3.65</v>
      </c>
      <c r="H261" s="498" t="e">
        <f t="shared" si="33"/>
        <v>#REF!</v>
      </c>
      <c r="I261" s="498"/>
      <c r="N261">
        <v>7.2</v>
      </c>
      <c r="O261" s="498" t="e">
        <f t="shared" si="34"/>
        <v>#REF!</v>
      </c>
    </row>
    <row r="262" spans="6:15">
      <c r="F262">
        <v>3.7</v>
      </c>
      <c r="H262" s="498" t="e">
        <f t="shared" si="33"/>
        <v>#REF!</v>
      </c>
      <c r="I262" s="498"/>
      <c r="N262">
        <v>7.3</v>
      </c>
      <c r="O262" s="498" t="e">
        <f t="shared" si="34"/>
        <v>#REF!</v>
      </c>
    </row>
    <row r="263" spans="6:15">
      <c r="F263">
        <v>3.75</v>
      </c>
      <c r="H263" s="498" t="e">
        <f t="shared" si="33"/>
        <v>#REF!</v>
      </c>
      <c r="I263" s="498"/>
      <c r="N263">
        <v>7.4</v>
      </c>
      <c r="O263" s="498" t="e">
        <f t="shared" si="34"/>
        <v>#REF!</v>
      </c>
    </row>
    <row r="264" spans="6:15">
      <c r="F264">
        <v>3.8</v>
      </c>
      <c r="H264" s="498" t="e">
        <f t="shared" si="33"/>
        <v>#REF!</v>
      </c>
      <c r="J264" s="498"/>
      <c r="N264">
        <v>7.5</v>
      </c>
      <c r="O264" s="498" t="e">
        <f t="shared" si="34"/>
        <v>#REF!</v>
      </c>
    </row>
    <row r="265" spans="6:15">
      <c r="F265">
        <v>3.85</v>
      </c>
      <c r="H265" s="498" t="e">
        <f t="shared" si="33"/>
        <v>#REF!</v>
      </c>
      <c r="J265" s="498"/>
      <c r="N265">
        <v>7.6</v>
      </c>
      <c r="O265" s="498" t="e">
        <f t="shared" si="34"/>
        <v>#REF!</v>
      </c>
    </row>
    <row r="266" spans="6:15">
      <c r="F266">
        <v>3.9</v>
      </c>
      <c r="H266" s="498" t="e">
        <f t="shared" si="33"/>
        <v>#REF!</v>
      </c>
      <c r="J266" s="498"/>
      <c r="N266">
        <v>7.7</v>
      </c>
      <c r="O266" s="498" t="e">
        <f t="shared" si="34"/>
        <v>#REF!</v>
      </c>
    </row>
    <row r="267" spans="6:15">
      <c r="F267">
        <v>3.95</v>
      </c>
      <c r="H267" s="498" t="e">
        <f t="shared" si="33"/>
        <v>#REF!</v>
      </c>
      <c r="J267" s="498"/>
      <c r="N267">
        <v>7.8</v>
      </c>
      <c r="O267" s="498" t="e">
        <f t="shared" si="34"/>
        <v>#REF!</v>
      </c>
    </row>
    <row r="268" spans="6:15">
      <c r="F268">
        <v>4</v>
      </c>
      <c r="H268" s="498" t="e">
        <f t="shared" si="33"/>
        <v>#REF!</v>
      </c>
      <c r="J268" s="498"/>
      <c r="N268">
        <v>7.9</v>
      </c>
      <c r="O268" s="498" t="e">
        <f t="shared" si="34"/>
        <v>#REF!</v>
      </c>
    </row>
    <row r="269" spans="6:15">
      <c r="F269">
        <v>4.05</v>
      </c>
      <c r="H269" s="498" t="e">
        <f t="shared" si="33"/>
        <v>#REF!</v>
      </c>
      <c r="J269" s="498"/>
      <c r="N269">
        <v>8</v>
      </c>
      <c r="O269" s="498" t="e">
        <f t="shared" si="34"/>
        <v>#REF!</v>
      </c>
    </row>
    <row r="270" spans="6:15">
      <c r="F270">
        <v>4.0999999999999996</v>
      </c>
      <c r="H270" s="498" t="e">
        <f t="shared" si="33"/>
        <v>#REF!</v>
      </c>
      <c r="K270" s="498"/>
      <c r="N270">
        <v>8.1</v>
      </c>
      <c r="O270" s="498" t="e">
        <f t="shared" si="34"/>
        <v>#REF!</v>
      </c>
    </row>
    <row r="271" spans="6:15">
      <c r="F271">
        <v>4.1500000000000004</v>
      </c>
      <c r="H271" s="498" t="e">
        <f t="shared" si="33"/>
        <v>#REF!</v>
      </c>
      <c r="K271" s="498"/>
      <c r="N271">
        <v>8.1999999999999993</v>
      </c>
      <c r="O271" s="498" t="e">
        <f t="shared" si="34"/>
        <v>#REF!</v>
      </c>
    </row>
    <row r="272" spans="6:15">
      <c r="F272">
        <v>4.2</v>
      </c>
      <c r="H272" s="498" t="e">
        <f t="shared" si="33"/>
        <v>#REF!</v>
      </c>
      <c r="K272" s="498"/>
      <c r="N272">
        <v>8.3000000000000007</v>
      </c>
      <c r="O272" s="498" t="e">
        <f t="shared" si="34"/>
        <v>#REF!</v>
      </c>
    </row>
    <row r="273" spans="6:17">
      <c r="F273">
        <v>4.25</v>
      </c>
      <c r="H273" s="498" t="e">
        <f t="shared" si="33"/>
        <v>#REF!</v>
      </c>
      <c r="K273" s="498"/>
      <c r="N273">
        <v>8.4</v>
      </c>
      <c r="O273" s="498" t="e">
        <f t="shared" si="34"/>
        <v>#REF!</v>
      </c>
    </row>
    <row r="274" spans="6:17">
      <c r="F274">
        <v>4.3</v>
      </c>
      <c r="H274" s="498" t="e">
        <f t="shared" si="33"/>
        <v>#REF!</v>
      </c>
      <c r="K274" s="498"/>
      <c r="N274">
        <v>8.5</v>
      </c>
      <c r="O274" s="498" t="e">
        <f t="shared" si="34"/>
        <v>#REF!</v>
      </c>
    </row>
    <row r="275" spans="6:17">
      <c r="F275">
        <v>4.3499999999999996</v>
      </c>
      <c r="I275" s="498"/>
      <c r="K275" s="498"/>
      <c r="N275">
        <v>8.6</v>
      </c>
      <c r="O275" s="498" t="e">
        <f t="shared" si="34"/>
        <v>#REF!</v>
      </c>
    </row>
    <row r="276" spans="6:17">
      <c r="F276">
        <v>4.4000000000000004</v>
      </c>
      <c r="I276" s="498">
        <f t="shared" ref="I276:I277" si="35">$H$170</f>
        <v>30.047557426678143</v>
      </c>
      <c r="K276" s="498"/>
      <c r="N276">
        <v>8.6999999999999993</v>
      </c>
      <c r="O276" s="498" t="e">
        <f t="shared" si="34"/>
        <v>#REF!</v>
      </c>
    </row>
    <row r="277" spans="6:17">
      <c r="F277">
        <v>4.45</v>
      </c>
      <c r="I277" s="498">
        <f t="shared" si="35"/>
        <v>30.047557426678143</v>
      </c>
      <c r="K277" s="498"/>
      <c r="N277">
        <v>8.8000000000000007</v>
      </c>
      <c r="P277" s="498">
        <f>$H$180</f>
        <v>37.523622731304492</v>
      </c>
    </row>
    <row r="278" spans="6:17">
      <c r="F278">
        <v>4.5</v>
      </c>
      <c r="J278" s="498">
        <f>$H$171</f>
        <v>46.020537566152321</v>
      </c>
      <c r="K278" s="498"/>
      <c r="N278">
        <v>8.9</v>
      </c>
      <c r="P278" s="498">
        <f t="shared" ref="P278:P280" si="36">$H$180</f>
        <v>37.523622731304492</v>
      </c>
    </row>
    <row r="279" spans="6:17">
      <c r="F279">
        <v>4.55</v>
      </c>
      <c r="J279" s="498">
        <f t="shared" ref="J279:J288" si="37">$H$171</f>
        <v>46.020537566152321</v>
      </c>
      <c r="K279" s="498"/>
      <c r="N279">
        <v>9</v>
      </c>
      <c r="P279" s="498">
        <f t="shared" si="36"/>
        <v>37.523622731304492</v>
      </c>
    </row>
    <row r="280" spans="6:17">
      <c r="F280">
        <v>4.5999999999999996</v>
      </c>
      <c r="J280" s="498">
        <f t="shared" si="37"/>
        <v>46.020537566152321</v>
      </c>
      <c r="K280" s="498"/>
      <c r="N280">
        <v>9.1</v>
      </c>
      <c r="P280" s="498">
        <f t="shared" si="36"/>
        <v>37.523622731304492</v>
      </c>
    </row>
    <row r="281" spans="6:17">
      <c r="F281">
        <v>4.6500000000000004</v>
      </c>
      <c r="J281" s="498">
        <f t="shared" si="37"/>
        <v>46.020537566152321</v>
      </c>
      <c r="L281" s="498"/>
      <c r="N281">
        <v>9.1999999999999993</v>
      </c>
      <c r="P281" s="498"/>
      <c r="Q281" s="498" t="e">
        <f>$H$181</f>
        <v>#REF!</v>
      </c>
    </row>
    <row r="282" spans="6:17">
      <c r="F282">
        <v>4.7</v>
      </c>
      <c r="J282" s="498">
        <f t="shared" si="37"/>
        <v>46.020537566152321</v>
      </c>
      <c r="L282" s="498"/>
      <c r="N282">
        <v>9.3000000000000007</v>
      </c>
      <c r="P282" s="498"/>
      <c r="Q282" s="498" t="e">
        <f t="shared" ref="Q282:Q323" si="38">$H$181</f>
        <v>#REF!</v>
      </c>
    </row>
    <row r="283" spans="6:17">
      <c r="F283">
        <v>4.75</v>
      </c>
      <c r="J283" s="498">
        <f t="shared" si="37"/>
        <v>46.020537566152321</v>
      </c>
      <c r="L283" s="498"/>
      <c r="N283">
        <v>9.4</v>
      </c>
      <c r="P283" s="498"/>
      <c r="Q283" s="498" t="e">
        <f t="shared" si="38"/>
        <v>#REF!</v>
      </c>
    </row>
    <row r="284" spans="6:17">
      <c r="F284">
        <v>4.8</v>
      </c>
      <c r="J284" s="498">
        <f t="shared" si="37"/>
        <v>46.020537566152321</v>
      </c>
      <c r="L284" s="498"/>
      <c r="N284">
        <v>9.5</v>
      </c>
      <c r="P284" s="498"/>
      <c r="Q284" s="498" t="e">
        <f t="shared" si="38"/>
        <v>#REF!</v>
      </c>
    </row>
    <row r="285" spans="6:17">
      <c r="F285">
        <v>4.8499999999999996</v>
      </c>
      <c r="J285" s="498">
        <f t="shared" si="37"/>
        <v>46.020537566152321</v>
      </c>
      <c r="L285" s="498"/>
      <c r="N285">
        <v>9.6</v>
      </c>
      <c r="P285" s="498"/>
      <c r="Q285" s="498" t="e">
        <f t="shared" si="38"/>
        <v>#REF!</v>
      </c>
    </row>
    <row r="286" spans="6:17">
      <c r="F286">
        <v>4.9000000000000004</v>
      </c>
      <c r="J286" s="498">
        <f t="shared" si="37"/>
        <v>46.020537566152321</v>
      </c>
      <c r="L286" s="498"/>
      <c r="N286">
        <v>9.6999999999999993</v>
      </c>
      <c r="P286" s="498"/>
      <c r="Q286" s="498" t="e">
        <f t="shared" si="38"/>
        <v>#REF!</v>
      </c>
    </row>
    <row r="287" spans="6:17">
      <c r="F287">
        <v>4.95</v>
      </c>
      <c r="J287" s="498">
        <f t="shared" si="37"/>
        <v>46.020537566152321</v>
      </c>
      <c r="L287" s="498"/>
      <c r="N287">
        <v>9.8000000000000007</v>
      </c>
      <c r="P287" s="498"/>
      <c r="Q287" s="498" t="e">
        <f t="shared" si="38"/>
        <v>#REF!</v>
      </c>
    </row>
    <row r="288" spans="6:17">
      <c r="F288">
        <v>5</v>
      </c>
      <c r="J288" s="498">
        <f t="shared" si="37"/>
        <v>46.020537566152321</v>
      </c>
      <c r="N288">
        <v>9.9</v>
      </c>
      <c r="P288" s="498"/>
      <c r="Q288" s="498" t="e">
        <f t="shared" si="38"/>
        <v>#REF!</v>
      </c>
    </row>
    <row r="289" spans="6:17">
      <c r="F289">
        <v>5.05</v>
      </c>
      <c r="K289" s="498" t="e">
        <f>$H$172</f>
        <v>#REF!</v>
      </c>
      <c r="N289">
        <v>10</v>
      </c>
      <c r="P289" s="498"/>
      <c r="Q289" s="498" t="e">
        <f t="shared" si="38"/>
        <v>#REF!</v>
      </c>
    </row>
    <row r="290" spans="6:17">
      <c r="F290">
        <v>5.0999999999999996</v>
      </c>
      <c r="K290" s="498" t="e">
        <f t="shared" ref="K290:K312" si="39">$H$172</f>
        <v>#REF!</v>
      </c>
      <c r="N290">
        <v>10.1</v>
      </c>
      <c r="P290" s="498"/>
      <c r="Q290" s="498" t="e">
        <f t="shared" si="38"/>
        <v>#REF!</v>
      </c>
    </row>
    <row r="291" spans="6:17">
      <c r="F291">
        <v>5.15</v>
      </c>
      <c r="K291" s="498" t="e">
        <f t="shared" si="39"/>
        <v>#REF!</v>
      </c>
      <c r="N291">
        <v>10.199999999999999</v>
      </c>
      <c r="P291" s="498"/>
      <c r="Q291" s="498" t="e">
        <f t="shared" si="38"/>
        <v>#REF!</v>
      </c>
    </row>
    <row r="292" spans="6:17">
      <c r="F292">
        <v>5.2</v>
      </c>
      <c r="K292" s="498" t="e">
        <f t="shared" si="39"/>
        <v>#REF!</v>
      </c>
      <c r="N292">
        <v>10.3</v>
      </c>
      <c r="Q292" s="498" t="e">
        <f t="shared" si="38"/>
        <v>#REF!</v>
      </c>
    </row>
    <row r="293" spans="6:17">
      <c r="F293">
        <v>5.25</v>
      </c>
      <c r="K293" s="498" t="e">
        <f t="shared" si="39"/>
        <v>#REF!</v>
      </c>
      <c r="N293">
        <v>10.4</v>
      </c>
      <c r="Q293" s="498" t="e">
        <f t="shared" si="38"/>
        <v>#REF!</v>
      </c>
    </row>
    <row r="294" spans="6:17">
      <c r="F294">
        <v>5.3</v>
      </c>
      <c r="K294" s="498" t="e">
        <f t="shared" si="39"/>
        <v>#REF!</v>
      </c>
      <c r="N294">
        <v>10.5</v>
      </c>
      <c r="Q294" s="498" t="e">
        <f t="shared" si="38"/>
        <v>#REF!</v>
      </c>
    </row>
    <row r="295" spans="6:17">
      <c r="F295">
        <v>5.35</v>
      </c>
      <c r="K295" s="498" t="e">
        <f t="shared" si="39"/>
        <v>#REF!</v>
      </c>
      <c r="N295">
        <v>10.6</v>
      </c>
      <c r="Q295" s="498" t="e">
        <f t="shared" si="38"/>
        <v>#REF!</v>
      </c>
    </row>
    <row r="296" spans="6:17">
      <c r="F296">
        <v>5.4</v>
      </c>
      <c r="K296" s="498" t="e">
        <f t="shared" si="39"/>
        <v>#REF!</v>
      </c>
      <c r="N296">
        <v>10.7</v>
      </c>
      <c r="Q296" s="498" t="e">
        <f t="shared" si="38"/>
        <v>#REF!</v>
      </c>
    </row>
    <row r="297" spans="6:17">
      <c r="F297">
        <v>5.45</v>
      </c>
      <c r="K297" s="498" t="e">
        <f t="shared" si="39"/>
        <v>#REF!</v>
      </c>
      <c r="N297">
        <v>10.8</v>
      </c>
      <c r="Q297" s="498" t="e">
        <f t="shared" si="38"/>
        <v>#REF!</v>
      </c>
    </row>
    <row r="298" spans="6:17">
      <c r="F298">
        <v>5.5</v>
      </c>
      <c r="K298" s="498" t="e">
        <f t="shared" si="39"/>
        <v>#REF!</v>
      </c>
      <c r="N298">
        <v>10.9</v>
      </c>
      <c r="Q298" s="498" t="e">
        <f t="shared" si="38"/>
        <v>#REF!</v>
      </c>
    </row>
    <row r="299" spans="6:17">
      <c r="F299">
        <v>5.55</v>
      </c>
      <c r="K299" s="498" t="e">
        <f t="shared" si="39"/>
        <v>#REF!</v>
      </c>
      <c r="N299">
        <v>11</v>
      </c>
      <c r="Q299" s="498" t="e">
        <f t="shared" si="38"/>
        <v>#REF!</v>
      </c>
    </row>
    <row r="300" spans="6:17">
      <c r="F300">
        <v>5.6</v>
      </c>
      <c r="K300" s="498" t="e">
        <f t="shared" si="39"/>
        <v>#REF!</v>
      </c>
      <c r="N300">
        <v>11.1</v>
      </c>
      <c r="Q300" s="498" t="e">
        <f t="shared" si="38"/>
        <v>#REF!</v>
      </c>
    </row>
    <row r="301" spans="6:17">
      <c r="F301">
        <v>5.65</v>
      </c>
      <c r="K301" s="498" t="e">
        <f t="shared" si="39"/>
        <v>#REF!</v>
      </c>
      <c r="N301">
        <v>11.2</v>
      </c>
      <c r="Q301" s="498" t="e">
        <f t="shared" si="38"/>
        <v>#REF!</v>
      </c>
    </row>
    <row r="302" spans="6:17">
      <c r="F302">
        <v>5.7</v>
      </c>
      <c r="K302" s="498" t="e">
        <f t="shared" si="39"/>
        <v>#REF!</v>
      </c>
      <c r="N302">
        <v>11.3</v>
      </c>
      <c r="Q302" s="498" t="e">
        <f t="shared" si="38"/>
        <v>#REF!</v>
      </c>
    </row>
    <row r="303" spans="6:17">
      <c r="F303">
        <v>5.75</v>
      </c>
      <c r="K303" s="498" t="e">
        <f t="shared" si="39"/>
        <v>#REF!</v>
      </c>
      <c r="N303">
        <v>11.4</v>
      </c>
      <c r="Q303" s="498" t="e">
        <f t="shared" si="38"/>
        <v>#REF!</v>
      </c>
    </row>
    <row r="304" spans="6:17">
      <c r="F304">
        <v>5.8</v>
      </c>
      <c r="K304" s="498" t="e">
        <f t="shared" si="39"/>
        <v>#REF!</v>
      </c>
      <c r="N304">
        <v>11.5</v>
      </c>
      <c r="Q304" s="498" t="e">
        <f t="shared" si="38"/>
        <v>#REF!</v>
      </c>
    </row>
    <row r="305" spans="6:18">
      <c r="F305">
        <v>5.85</v>
      </c>
      <c r="K305" s="498" t="e">
        <f t="shared" si="39"/>
        <v>#REF!</v>
      </c>
      <c r="N305">
        <v>11.6</v>
      </c>
      <c r="Q305" s="498" t="e">
        <f t="shared" si="38"/>
        <v>#REF!</v>
      </c>
    </row>
    <row r="306" spans="6:18">
      <c r="F306">
        <v>5.9</v>
      </c>
      <c r="K306" s="498" t="e">
        <f t="shared" si="39"/>
        <v>#REF!</v>
      </c>
      <c r="N306">
        <v>11.7</v>
      </c>
      <c r="Q306" s="498" t="e">
        <f t="shared" si="38"/>
        <v>#REF!</v>
      </c>
    </row>
    <row r="307" spans="6:18">
      <c r="F307">
        <v>5.95</v>
      </c>
      <c r="K307" s="498" t="e">
        <f t="shared" si="39"/>
        <v>#REF!</v>
      </c>
      <c r="N307">
        <v>11.8</v>
      </c>
      <c r="Q307" s="498" t="e">
        <f t="shared" si="38"/>
        <v>#REF!</v>
      </c>
    </row>
    <row r="308" spans="6:18">
      <c r="F308">
        <v>6</v>
      </c>
      <c r="K308" s="498" t="e">
        <f t="shared" si="39"/>
        <v>#REF!</v>
      </c>
      <c r="N308">
        <v>11.9</v>
      </c>
      <c r="Q308" s="498" t="e">
        <f t="shared" si="38"/>
        <v>#REF!</v>
      </c>
    </row>
    <row r="309" spans="6:18">
      <c r="F309">
        <v>6.05</v>
      </c>
      <c r="K309" s="498" t="e">
        <f t="shared" si="39"/>
        <v>#REF!</v>
      </c>
      <c r="N309">
        <v>12</v>
      </c>
      <c r="Q309" s="498" t="e">
        <f t="shared" si="38"/>
        <v>#REF!</v>
      </c>
    </row>
    <row r="310" spans="6:18">
      <c r="F310">
        <v>6.1</v>
      </c>
      <c r="K310" s="498" t="e">
        <f t="shared" si="39"/>
        <v>#REF!</v>
      </c>
      <c r="N310">
        <v>12.1</v>
      </c>
      <c r="Q310" s="498" t="e">
        <f t="shared" si="38"/>
        <v>#REF!</v>
      </c>
    </row>
    <row r="311" spans="6:18">
      <c r="F311">
        <v>6.15</v>
      </c>
      <c r="K311" s="498" t="e">
        <f t="shared" si="39"/>
        <v>#REF!</v>
      </c>
      <c r="N311">
        <v>12.2</v>
      </c>
      <c r="Q311" s="498" t="e">
        <f t="shared" si="38"/>
        <v>#REF!</v>
      </c>
    </row>
    <row r="312" spans="6:18">
      <c r="F312">
        <v>6.1999999999999904</v>
      </c>
      <c r="K312" s="498" t="e">
        <f t="shared" si="39"/>
        <v>#REF!</v>
      </c>
      <c r="N312">
        <v>12.3</v>
      </c>
      <c r="Q312" s="498" t="e">
        <f t="shared" si="38"/>
        <v>#REF!</v>
      </c>
    </row>
    <row r="313" spans="6:18">
      <c r="F313">
        <v>6.2499999999999902</v>
      </c>
      <c r="L313" s="498" t="e">
        <f>$H$173</f>
        <v>#REF!</v>
      </c>
      <c r="N313">
        <v>12.4</v>
      </c>
      <c r="Q313" s="498" t="e">
        <f t="shared" si="38"/>
        <v>#REF!</v>
      </c>
    </row>
    <row r="314" spans="6:18">
      <c r="F314">
        <v>6.2999999999999901</v>
      </c>
      <c r="L314" s="498" t="e">
        <f t="shared" ref="L314:L318" si="40">$H$173</f>
        <v>#REF!</v>
      </c>
      <c r="N314">
        <v>12.5</v>
      </c>
      <c r="Q314" s="498" t="e">
        <f t="shared" si="38"/>
        <v>#REF!</v>
      </c>
      <c r="R314" s="498"/>
    </row>
    <row r="315" spans="6:18">
      <c r="F315">
        <v>6.3499999999999899</v>
      </c>
      <c r="L315" s="498" t="e">
        <f t="shared" si="40"/>
        <v>#REF!</v>
      </c>
      <c r="N315">
        <v>12.6</v>
      </c>
      <c r="Q315" s="498" t="e">
        <f t="shared" si="38"/>
        <v>#REF!</v>
      </c>
    </row>
    <row r="316" spans="6:18">
      <c r="F316">
        <v>6.3999999999999897</v>
      </c>
      <c r="L316" s="498" t="e">
        <f t="shared" si="40"/>
        <v>#REF!</v>
      </c>
      <c r="N316">
        <v>12.7</v>
      </c>
      <c r="Q316" s="498" t="e">
        <f t="shared" si="38"/>
        <v>#REF!</v>
      </c>
    </row>
    <row r="317" spans="6:18">
      <c r="F317">
        <v>6.4499999999999904</v>
      </c>
      <c r="L317" s="498" t="e">
        <f t="shared" si="40"/>
        <v>#REF!</v>
      </c>
      <c r="N317">
        <v>12.8</v>
      </c>
      <c r="Q317" s="498" t="e">
        <f t="shared" si="38"/>
        <v>#REF!</v>
      </c>
    </row>
    <row r="318" spans="6:18">
      <c r="F318">
        <v>6.4999999999999902</v>
      </c>
      <c r="L318" s="498" t="e">
        <f t="shared" si="40"/>
        <v>#REF!</v>
      </c>
      <c r="N318">
        <v>12.9</v>
      </c>
      <c r="Q318" s="498" t="e">
        <f t="shared" si="38"/>
        <v>#REF!</v>
      </c>
    </row>
    <row r="319" spans="6:18">
      <c r="N319">
        <v>13</v>
      </c>
      <c r="Q319" s="498" t="e">
        <f t="shared" si="38"/>
        <v>#REF!</v>
      </c>
    </row>
    <row r="320" spans="6:18">
      <c r="N320">
        <v>13.1</v>
      </c>
      <c r="Q320" s="498" t="e">
        <f t="shared" si="38"/>
        <v>#REF!</v>
      </c>
    </row>
    <row r="321" spans="14:19">
      <c r="N321">
        <v>13.2</v>
      </c>
      <c r="Q321" s="498" t="e">
        <f t="shared" si="38"/>
        <v>#REF!</v>
      </c>
    </row>
    <row r="322" spans="14:19">
      <c r="N322">
        <v>13.3</v>
      </c>
      <c r="Q322" s="498" t="e">
        <f t="shared" si="38"/>
        <v>#REF!</v>
      </c>
    </row>
    <row r="323" spans="14:19">
      <c r="N323">
        <v>13.4</v>
      </c>
      <c r="Q323" s="498" t="e">
        <f t="shared" si="38"/>
        <v>#REF!</v>
      </c>
    </row>
    <row r="324" spans="14:19">
      <c r="N324">
        <v>13.5</v>
      </c>
      <c r="R324" s="498">
        <f>$H$182</f>
        <v>121.2046294499584</v>
      </c>
    </row>
    <row r="325" spans="14:19">
      <c r="N325">
        <v>13.6</v>
      </c>
      <c r="R325" s="498">
        <f t="shared" ref="R325:R345" si="41">$H$182</f>
        <v>121.2046294499584</v>
      </c>
      <c r="S325" s="498"/>
    </row>
    <row r="326" spans="14:19">
      <c r="N326">
        <v>13.7</v>
      </c>
      <c r="R326" s="498">
        <f t="shared" si="41"/>
        <v>121.2046294499584</v>
      </c>
      <c r="S326" s="498"/>
    </row>
    <row r="327" spans="14:19">
      <c r="N327">
        <v>13.8</v>
      </c>
      <c r="R327" s="498">
        <f t="shared" si="41"/>
        <v>121.2046294499584</v>
      </c>
      <c r="S327" s="498"/>
    </row>
    <row r="328" spans="14:19">
      <c r="N328">
        <v>13.9</v>
      </c>
      <c r="R328" s="498">
        <f t="shared" si="41"/>
        <v>121.2046294499584</v>
      </c>
      <c r="S328" s="498"/>
    </row>
    <row r="329" spans="14:19">
      <c r="N329">
        <v>14</v>
      </c>
      <c r="R329" s="498">
        <f t="shared" si="41"/>
        <v>121.2046294499584</v>
      </c>
      <c r="S329" s="498"/>
    </row>
    <row r="330" spans="14:19">
      <c r="N330">
        <v>14.1</v>
      </c>
      <c r="R330" s="498">
        <f t="shared" si="41"/>
        <v>121.2046294499584</v>
      </c>
      <c r="S330" s="498"/>
    </row>
    <row r="331" spans="14:19">
      <c r="N331">
        <v>14.2</v>
      </c>
      <c r="R331" s="498">
        <f t="shared" si="41"/>
        <v>121.2046294499584</v>
      </c>
      <c r="S331" s="498"/>
    </row>
    <row r="332" spans="14:19">
      <c r="N332">
        <v>14.3</v>
      </c>
      <c r="R332" s="498">
        <f t="shared" si="41"/>
        <v>121.2046294499584</v>
      </c>
      <c r="S332" s="498"/>
    </row>
    <row r="333" spans="14:19">
      <c r="N333">
        <v>14.4</v>
      </c>
      <c r="R333" s="498">
        <f t="shared" si="41"/>
        <v>121.2046294499584</v>
      </c>
      <c r="S333" s="498"/>
    </row>
    <row r="334" spans="14:19">
      <c r="N334">
        <v>14.5</v>
      </c>
      <c r="R334" s="498">
        <f t="shared" si="41"/>
        <v>121.2046294499584</v>
      </c>
      <c r="S334" s="498"/>
    </row>
    <row r="335" spans="14:19">
      <c r="N335">
        <v>14.6</v>
      </c>
      <c r="R335" s="498">
        <f t="shared" si="41"/>
        <v>121.2046294499584</v>
      </c>
      <c r="S335" s="498"/>
    </row>
    <row r="336" spans="14:19">
      <c r="N336">
        <v>14.7</v>
      </c>
      <c r="R336" s="498">
        <f t="shared" si="41"/>
        <v>121.2046294499584</v>
      </c>
      <c r="S336" s="498"/>
    </row>
    <row r="337" spans="14:19">
      <c r="N337">
        <v>14.8</v>
      </c>
      <c r="R337" s="498">
        <f t="shared" si="41"/>
        <v>121.2046294499584</v>
      </c>
      <c r="S337" s="498"/>
    </row>
    <row r="338" spans="14:19">
      <c r="N338">
        <v>14.9</v>
      </c>
      <c r="R338" s="498">
        <f t="shared" si="41"/>
        <v>121.2046294499584</v>
      </c>
      <c r="S338" s="498"/>
    </row>
    <row r="339" spans="14:19">
      <c r="N339">
        <v>15</v>
      </c>
      <c r="R339" s="498">
        <f t="shared" si="41"/>
        <v>121.2046294499584</v>
      </c>
      <c r="S339" s="498"/>
    </row>
    <row r="340" spans="14:19">
      <c r="N340">
        <v>15.1</v>
      </c>
      <c r="R340" s="498">
        <f t="shared" si="41"/>
        <v>121.2046294499584</v>
      </c>
      <c r="S340" s="498"/>
    </row>
    <row r="341" spans="14:19">
      <c r="N341">
        <v>15.2</v>
      </c>
      <c r="R341" s="498">
        <f t="shared" si="41"/>
        <v>121.2046294499584</v>
      </c>
      <c r="S341" s="498"/>
    </row>
    <row r="342" spans="14:19">
      <c r="N342">
        <v>15.3</v>
      </c>
      <c r="R342" s="498">
        <f t="shared" si="41"/>
        <v>121.2046294499584</v>
      </c>
      <c r="S342" s="498"/>
    </row>
    <row r="343" spans="14:19">
      <c r="N343">
        <v>15.4</v>
      </c>
      <c r="R343" s="498">
        <f t="shared" si="41"/>
        <v>121.2046294499584</v>
      </c>
      <c r="S343" s="498"/>
    </row>
    <row r="344" spans="14:19">
      <c r="N344">
        <v>15.5</v>
      </c>
      <c r="R344" s="498">
        <f t="shared" si="41"/>
        <v>121.2046294499584</v>
      </c>
      <c r="S344" s="498"/>
    </row>
    <row r="345" spans="14:19">
      <c r="N345">
        <v>15.6</v>
      </c>
      <c r="R345" s="498">
        <f t="shared" si="41"/>
        <v>121.2046294499584</v>
      </c>
      <c r="S345" s="498"/>
    </row>
    <row r="346" spans="14:19">
      <c r="N346">
        <v>15.7</v>
      </c>
      <c r="S346" s="498" t="e">
        <f>$H$183</f>
        <v>#REF!</v>
      </c>
    </row>
    <row r="347" spans="14:19">
      <c r="N347">
        <v>15.8</v>
      </c>
      <c r="S347" s="498" t="e">
        <f t="shared" ref="S347:S393" si="42">$H$183</f>
        <v>#REF!</v>
      </c>
    </row>
    <row r="348" spans="14:19">
      <c r="N348">
        <v>15.9</v>
      </c>
      <c r="S348" s="498" t="e">
        <f t="shared" si="42"/>
        <v>#REF!</v>
      </c>
    </row>
    <row r="349" spans="14:19">
      <c r="N349">
        <v>16</v>
      </c>
      <c r="S349" s="498" t="e">
        <f t="shared" si="42"/>
        <v>#REF!</v>
      </c>
    </row>
    <row r="350" spans="14:19">
      <c r="N350">
        <v>16.100000000000001</v>
      </c>
      <c r="S350" s="498" t="e">
        <f t="shared" si="42"/>
        <v>#REF!</v>
      </c>
    </row>
    <row r="351" spans="14:19">
      <c r="N351">
        <v>16.2</v>
      </c>
      <c r="S351" s="498" t="e">
        <f t="shared" si="42"/>
        <v>#REF!</v>
      </c>
    </row>
    <row r="352" spans="14:19">
      <c r="N352">
        <v>16.3</v>
      </c>
      <c r="S352" s="498" t="e">
        <f t="shared" si="42"/>
        <v>#REF!</v>
      </c>
    </row>
    <row r="353" spans="14:19">
      <c r="N353">
        <v>16.399999999999999</v>
      </c>
      <c r="S353" s="498" t="e">
        <f t="shared" si="42"/>
        <v>#REF!</v>
      </c>
    </row>
    <row r="354" spans="14:19">
      <c r="N354">
        <v>16.5</v>
      </c>
      <c r="S354" s="498" t="e">
        <f t="shared" si="42"/>
        <v>#REF!</v>
      </c>
    </row>
    <row r="355" spans="14:19">
      <c r="N355">
        <v>16.600000000000001</v>
      </c>
      <c r="S355" s="498" t="e">
        <f t="shared" si="42"/>
        <v>#REF!</v>
      </c>
    </row>
    <row r="356" spans="14:19">
      <c r="N356">
        <v>16.7</v>
      </c>
      <c r="S356" s="498" t="e">
        <f t="shared" si="42"/>
        <v>#REF!</v>
      </c>
    </row>
    <row r="357" spans="14:19">
      <c r="N357">
        <v>16.8</v>
      </c>
      <c r="S357" s="498" t="e">
        <f t="shared" si="42"/>
        <v>#REF!</v>
      </c>
    </row>
    <row r="358" spans="14:19">
      <c r="N358">
        <v>16.899999999999999</v>
      </c>
      <c r="S358" s="498" t="e">
        <f t="shared" si="42"/>
        <v>#REF!</v>
      </c>
    </row>
    <row r="359" spans="14:19">
      <c r="N359">
        <v>17</v>
      </c>
      <c r="S359" s="498" t="e">
        <f t="shared" si="42"/>
        <v>#REF!</v>
      </c>
    </row>
    <row r="360" spans="14:19">
      <c r="N360">
        <v>17.100000000000001</v>
      </c>
      <c r="S360" s="498" t="e">
        <f t="shared" si="42"/>
        <v>#REF!</v>
      </c>
    </row>
    <row r="361" spans="14:19">
      <c r="N361">
        <v>17.2</v>
      </c>
      <c r="S361" s="498" t="e">
        <f t="shared" si="42"/>
        <v>#REF!</v>
      </c>
    </row>
    <row r="362" spans="14:19">
      <c r="N362">
        <v>17.3</v>
      </c>
      <c r="S362" s="498" t="e">
        <f t="shared" si="42"/>
        <v>#REF!</v>
      </c>
    </row>
    <row r="363" spans="14:19">
      <c r="N363">
        <v>17.399999999999999</v>
      </c>
      <c r="S363" s="498" t="e">
        <f t="shared" si="42"/>
        <v>#REF!</v>
      </c>
    </row>
    <row r="364" spans="14:19">
      <c r="N364">
        <v>17.5</v>
      </c>
      <c r="S364" s="498" t="e">
        <f t="shared" si="42"/>
        <v>#REF!</v>
      </c>
    </row>
    <row r="365" spans="14:19">
      <c r="N365">
        <v>17.600000000000001</v>
      </c>
      <c r="S365" s="498" t="e">
        <f t="shared" si="42"/>
        <v>#REF!</v>
      </c>
    </row>
    <row r="366" spans="14:19">
      <c r="N366">
        <v>17.7</v>
      </c>
      <c r="S366" s="498" t="e">
        <f t="shared" si="42"/>
        <v>#REF!</v>
      </c>
    </row>
    <row r="367" spans="14:19">
      <c r="N367">
        <v>17.8</v>
      </c>
      <c r="S367" s="498" t="e">
        <f t="shared" si="42"/>
        <v>#REF!</v>
      </c>
    </row>
    <row r="368" spans="14:19">
      <c r="N368">
        <v>17.899999999999999</v>
      </c>
      <c r="S368" s="498" t="e">
        <f t="shared" si="42"/>
        <v>#REF!</v>
      </c>
    </row>
    <row r="369" spans="14:19">
      <c r="N369">
        <v>18</v>
      </c>
      <c r="S369" s="498" t="e">
        <f t="shared" si="42"/>
        <v>#REF!</v>
      </c>
    </row>
    <row r="370" spans="14:19">
      <c r="N370">
        <v>18.100000000000001</v>
      </c>
      <c r="S370" s="498" t="e">
        <f t="shared" si="42"/>
        <v>#REF!</v>
      </c>
    </row>
    <row r="371" spans="14:19">
      <c r="N371">
        <v>18.2</v>
      </c>
      <c r="S371" s="498" t="e">
        <f t="shared" si="42"/>
        <v>#REF!</v>
      </c>
    </row>
    <row r="372" spans="14:19">
      <c r="N372">
        <v>18.3</v>
      </c>
      <c r="S372" s="498" t="e">
        <f t="shared" si="42"/>
        <v>#REF!</v>
      </c>
    </row>
    <row r="373" spans="14:19">
      <c r="N373">
        <v>18.399999999999999</v>
      </c>
      <c r="S373" s="498" t="e">
        <f t="shared" si="42"/>
        <v>#REF!</v>
      </c>
    </row>
    <row r="374" spans="14:19">
      <c r="N374">
        <v>18.5</v>
      </c>
      <c r="S374" s="498" t="e">
        <f t="shared" si="42"/>
        <v>#REF!</v>
      </c>
    </row>
    <row r="375" spans="14:19">
      <c r="N375">
        <v>18.600000000000001</v>
      </c>
      <c r="S375" s="498" t="e">
        <f t="shared" si="42"/>
        <v>#REF!</v>
      </c>
    </row>
    <row r="376" spans="14:19">
      <c r="N376">
        <v>18.7</v>
      </c>
      <c r="S376" s="498" t="e">
        <f t="shared" si="42"/>
        <v>#REF!</v>
      </c>
    </row>
    <row r="377" spans="14:19">
      <c r="N377">
        <v>18.8</v>
      </c>
      <c r="S377" s="498" t="e">
        <f t="shared" si="42"/>
        <v>#REF!</v>
      </c>
    </row>
    <row r="378" spans="14:19">
      <c r="N378">
        <v>18.899999999999999</v>
      </c>
      <c r="S378" s="498" t="e">
        <f t="shared" si="42"/>
        <v>#REF!</v>
      </c>
    </row>
    <row r="379" spans="14:19">
      <c r="N379">
        <v>19</v>
      </c>
      <c r="S379" s="498" t="e">
        <f t="shared" si="42"/>
        <v>#REF!</v>
      </c>
    </row>
    <row r="380" spans="14:19">
      <c r="N380">
        <v>19.100000000000001</v>
      </c>
      <c r="S380" s="498" t="e">
        <f t="shared" si="42"/>
        <v>#REF!</v>
      </c>
    </row>
    <row r="381" spans="14:19">
      <c r="N381">
        <v>19.2</v>
      </c>
      <c r="S381" s="498" t="e">
        <f t="shared" si="42"/>
        <v>#REF!</v>
      </c>
    </row>
    <row r="382" spans="14:19">
      <c r="N382">
        <v>19.3</v>
      </c>
      <c r="S382" s="498" t="e">
        <f t="shared" si="42"/>
        <v>#REF!</v>
      </c>
    </row>
    <row r="383" spans="14:19">
      <c r="N383">
        <v>19.399999999999999</v>
      </c>
      <c r="S383" s="498" t="e">
        <f t="shared" si="42"/>
        <v>#REF!</v>
      </c>
    </row>
    <row r="384" spans="14:19">
      <c r="N384">
        <v>19.5</v>
      </c>
      <c r="S384" s="498" t="e">
        <f t="shared" si="42"/>
        <v>#REF!</v>
      </c>
    </row>
    <row r="385" spans="14:20">
      <c r="N385">
        <v>19.600000000000001</v>
      </c>
      <c r="S385" s="498" t="e">
        <f t="shared" si="42"/>
        <v>#REF!</v>
      </c>
    </row>
    <row r="386" spans="14:20">
      <c r="N386">
        <v>19.7</v>
      </c>
      <c r="S386" s="498" t="e">
        <f t="shared" si="42"/>
        <v>#REF!</v>
      </c>
    </row>
    <row r="387" spans="14:20">
      <c r="N387">
        <v>19.8</v>
      </c>
      <c r="S387" s="498" t="e">
        <f t="shared" si="42"/>
        <v>#REF!</v>
      </c>
    </row>
    <row r="388" spans="14:20">
      <c r="N388">
        <v>19.899999999999999</v>
      </c>
      <c r="S388" s="498" t="e">
        <f t="shared" si="42"/>
        <v>#REF!</v>
      </c>
    </row>
    <row r="389" spans="14:20">
      <c r="N389">
        <v>20</v>
      </c>
      <c r="S389" s="498" t="e">
        <f t="shared" si="42"/>
        <v>#REF!</v>
      </c>
    </row>
    <row r="390" spans="14:20">
      <c r="N390">
        <v>20.100000000000001</v>
      </c>
      <c r="S390" s="498" t="e">
        <f t="shared" si="42"/>
        <v>#REF!</v>
      </c>
    </row>
    <row r="391" spans="14:20">
      <c r="N391">
        <v>20.2</v>
      </c>
      <c r="S391" s="498" t="e">
        <f t="shared" si="42"/>
        <v>#REF!</v>
      </c>
    </row>
    <row r="392" spans="14:20">
      <c r="N392">
        <v>20.3</v>
      </c>
      <c r="S392" s="498" t="e">
        <f t="shared" si="42"/>
        <v>#REF!</v>
      </c>
    </row>
    <row r="393" spans="14:20">
      <c r="N393">
        <v>20.399999999999999</v>
      </c>
      <c r="S393" s="498" t="e">
        <f t="shared" si="42"/>
        <v>#REF!</v>
      </c>
    </row>
    <row r="394" spans="14:20">
      <c r="N394">
        <v>20.5</v>
      </c>
      <c r="T394" s="498" t="e">
        <f>$H$184</f>
        <v>#REF!</v>
      </c>
    </row>
    <row r="395" spans="14:20">
      <c r="N395">
        <v>20.6</v>
      </c>
      <c r="S395" s="498"/>
      <c r="T395" s="498" t="e">
        <f t="shared" ref="T395:T458" si="43">$H$184</f>
        <v>#REF!</v>
      </c>
    </row>
    <row r="396" spans="14:20">
      <c r="N396">
        <v>20.7</v>
      </c>
      <c r="S396" s="498"/>
      <c r="T396" s="498" t="e">
        <f t="shared" si="43"/>
        <v>#REF!</v>
      </c>
    </row>
    <row r="397" spans="14:20">
      <c r="N397">
        <v>20.8</v>
      </c>
      <c r="S397" s="498"/>
      <c r="T397" s="498" t="e">
        <f t="shared" si="43"/>
        <v>#REF!</v>
      </c>
    </row>
    <row r="398" spans="14:20">
      <c r="N398">
        <v>20.9</v>
      </c>
      <c r="S398" s="498"/>
      <c r="T398" s="498" t="e">
        <f t="shared" si="43"/>
        <v>#REF!</v>
      </c>
    </row>
    <row r="399" spans="14:20">
      <c r="N399">
        <v>21</v>
      </c>
      <c r="S399" s="498"/>
      <c r="T399" s="498" t="e">
        <f t="shared" si="43"/>
        <v>#REF!</v>
      </c>
    </row>
    <row r="400" spans="14:20">
      <c r="N400">
        <v>21.1</v>
      </c>
      <c r="S400" s="498"/>
      <c r="T400" s="498" t="e">
        <f t="shared" si="43"/>
        <v>#REF!</v>
      </c>
    </row>
    <row r="401" spans="14:20">
      <c r="N401">
        <v>21.2</v>
      </c>
      <c r="S401" s="498"/>
      <c r="T401" s="498" t="e">
        <f t="shared" si="43"/>
        <v>#REF!</v>
      </c>
    </row>
    <row r="402" spans="14:20">
      <c r="N402">
        <v>21.3</v>
      </c>
      <c r="S402" s="498"/>
      <c r="T402" s="498" t="e">
        <f t="shared" si="43"/>
        <v>#REF!</v>
      </c>
    </row>
    <row r="403" spans="14:20">
      <c r="N403">
        <v>21.4</v>
      </c>
      <c r="S403" s="498"/>
      <c r="T403" s="498" t="e">
        <f t="shared" si="43"/>
        <v>#REF!</v>
      </c>
    </row>
    <row r="404" spans="14:20">
      <c r="N404">
        <v>21.5</v>
      </c>
      <c r="S404" s="498"/>
      <c r="T404" s="498" t="e">
        <f t="shared" si="43"/>
        <v>#REF!</v>
      </c>
    </row>
    <row r="405" spans="14:20">
      <c r="N405">
        <v>21.6</v>
      </c>
      <c r="S405" s="498"/>
      <c r="T405" s="498" t="e">
        <f t="shared" si="43"/>
        <v>#REF!</v>
      </c>
    </row>
    <row r="406" spans="14:20">
      <c r="N406">
        <v>21.7</v>
      </c>
      <c r="S406" s="498"/>
      <c r="T406" s="498" t="e">
        <f t="shared" si="43"/>
        <v>#REF!</v>
      </c>
    </row>
    <row r="407" spans="14:20">
      <c r="N407">
        <v>21.8</v>
      </c>
      <c r="S407" s="498"/>
      <c r="T407" s="498" t="e">
        <f t="shared" si="43"/>
        <v>#REF!</v>
      </c>
    </row>
    <row r="408" spans="14:20">
      <c r="N408">
        <v>21.9</v>
      </c>
      <c r="S408" s="498"/>
      <c r="T408" s="498" t="e">
        <f t="shared" si="43"/>
        <v>#REF!</v>
      </c>
    </row>
    <row r="409" spans="14:20">
      <c r="N409">
        <v>22</v>
      </c>
      <c r="S409" s="498"/>
      <c r="T409" s="498" t="e">
        <f t="shared" si="43"/>
        <v>#REF!</v>
      </c>
    </row>
    <row r="410" spans="14:20">
      <c r="N410">
        <v>22.1</v>
      </c>
      <c r="S410" s="498"/>
      <c r="T410" s="498" t="e">
        <f t="shared" si="43"/>
        <v>#REF!</v>
      </c>
    </row>
    <row r="411" spans="14:20">
      <c r="N411">
        <v>22.2</v>
      </c>
      <c r="S411" s="498"/>
      <c r="T411" s="498" t="e">
        <f t="shared" si="43"/>
        <v>#REF!</v>
      </c>
    </row>
    <row r="412" spans="14:20">
      <c r="N412">
        <v>22.3</v>
      </c>
      <c r="S412" s="498"/>
      <c r="T412" s="498" t="e">
        <f t="shared" si="43"/>
        <v>#REF!</v>
      </c>
    </row>
    <row r="413" spans="14:20">
      <c r="N413">
        <v>22.4</v>
      </c>
      <c r="S413" s="498"/>
      <c r="T413" s="498" t="e">
        <f t="shared" si="43"/>
        <v>#REF!</v>
      </c>
    </row>
    <row r="414" spans="14:20">
      <c r="N414">
        <v>22.5</v>
      </c>
      <c r="S414" s="498"/>
      <c r="T414" s="498" t="e">
        <f t="shared" si="43"/>
        <v>#REF!</v>
      </c>
    </row>
    <row r="415" spans="14:20">
      <c r="N415">
        <v>22.6</v>
      </c>
      <c r="S415" s="498"/>
      <c r="T415" s="498" t="e">
        <f t="shared" si="43"/>
        <v>#REF!</v>
      </c>
    </row>
    <row r="416" spans="14:20">
      <c r="N416">
        <v>22.7</v>
      </c>
      <c r="S416" s="498"/>
      <c r="T416" s="498" t="e">
        <f t="shared" si="43"/>
        <v>#REF!</v>
      </c>
    </row>
    <row r="417" spans="14:20">
      <c r="N417">
        <v>22.8</v>
      </c>
      <c r="S417" s="498"/>
      <c r="T417" s="498" t="e">
        <f t="shared" si="43"/>
        <v>#REF!</v>
      </c>
    </row>
    <row r="418" spans="14:20">
      <c r="N418">
        <v>22.9</v>
      </c>
      <c r="S418" s="498"/>
      <c r="T418" s="498" t="e">
        <f t="shared" si="43"/>
        <v>#REF!</v>
      </c>
    </row>
    <row r="419" spans="14:20">
      <c r="N419">
        <v>23</v>
      </c>
      <c r="S419" s="498"/>
      <c r="T419" s="498" t="e">
        <f t="shared" si="43"/>
        <v>#REF!</v>
      </c>
    </row>
    <row r="420" spans="14:20">
      <c r="N420">
        <v>23.1</v>
      </c>
      <c r="S420" s="498"/>
      <c r="T420" s="498" t="e">
        <f t="shared" si="43"/>
        <v>#REF!</v>
      </c>
    </row>
    <row r="421" spans="14:20">
      <c r="N421">
        <v>23.2</v>
      </c>
      <c r="S421" s="498"/>
      <c r="T421" s="498" t="e">
        <f t="shared" si="43"/>
        <v>#REF!</v>
      </c>
    </row>
    <row r="422" spans="14:20">
      <c r="N422">
        <v>23.3</v>
      </c>
      <c r="S422" s="498"/>
      <c r="T422" s="498" t="e">
        <f t="shared" si="43"/>
        <v>#REF!</v>
      </c>
    </row>
    <row r="423" spans="14:20">
      <c r="N423">
        <v>23.4</v>
      </c>
      <c r="S423" s="498"/>
      <c r="T423" s="498" t="e">
        <f t="shared" si="43"/>
        <v>#REF!</v>
      </c>
    </row>
    <row r="424" spans="14:20">
      <c r="N424">
        <v>23.5</v>
      </c>
      <c r="S424" s="498"/>
      <c r="T424" s="498" t="e">
        <f t="shared" si="43"/>
        <v>#REF!</v>
      </c>
    </row>
    <row r="425" spans="14:20">
      <c r="N425">
        <v>23.6</v>
      </c>
      <c r="S425" s="498"/>
      <c r="T425" s="498" t="e">
        <f t="shared" si="43"/>
        <v>#REF!</v>
      </c>
    </row>
    <row r="426" spans="14:20">
      <c r="N426">
        <v>23.7</v>
      </c>
      <c r="S426" s="498"/>
      <c r="T426" s="498" t="e">
        <f t="shared" si="43"/>
        <v>#REF!</v>
      </c>
    </row>
    <row r="427" spans="14:20">
      <c r="N427">
        <v>23.8</v>
      </c>
      <c r="S427" s="498"/>
      <c r="T427" s="498" t="e">
        <f t="shared" si="43"/>
        <v>#REF!</v>
      </c>
    </row>
    <row r="428" spans="14:20">
      <c r="N428">
        <v>23.9</v>
      </c>
      <c r="S428" s="498"/>
      <c r="T428" s="498" t="e">
        <f t="shared" si="43"/>
        <v>#REF!</v>
      </c>
    </row>
    <row r="429" spans="14:20">
      <c r="N429">
        <v>24</v>
      </c>
      <c r="S429" s="498"/>
      <c r="T429" s="498" t="e">
        <f t="shared" si="43"/>
        <v>#REF!</v>
      </c>
    </row>
    <row r="430" spans="14:20">
      <c r="N430">
        <v>24.1</v>
      </c>
      <c r="S430" s="498"/>
      <c r="T430" s="498" t="e">
        <f t="shared" si="43"/>
        <v>#REF!</v>
      </c>
    </row>
    <row r="431" spans="14:20">
      <c r="N431">
        <v>24.2</v>
      </c>
      <c r="S431" s="498"/>
      <c r="T431" s="498" t="e">
        <f t="shared" si="43"/>
        <v>#REF!</v>
      </c>
    </row>
    <row r="432" spans="14:20">
      <c r="N432">
        <v>24.3</v>
      </c>
      <c r="S432" s="498"/>
      <c r="T432" s="498" t="e">
        <f t="shared" si="43"/>
        <v>#REF!</v>
      </c>
    </row>
    <row r="433" spans="14:20">
      <c r="N433">
        <v>24.4</v>
      </c>
      <c r="S433" s="498"/>
      <c r="T433" s="498" t="e">
        <f t="shared" si="43"/>
        <v>#REF!</v>
      </c>
    </row>
    <row r="434" spans="14:20">
      <c r="N434">
        <v>24.5</v>
      </c>
      <c r="S434" s="498"/>
      <c r="T434" s="498" t="e">
        <f t="shared" si="43"/>
        <v>#REF!</v>
      </c>
    </row>
    <row r="435" spans="14:20">
      <c r="N435">
        <v>24.6</v>
      </c>
      <c r="S435" s="498"/>
      <c r="T435" s="498" t="e">
        <f t="shared" si="43"/>
        <v>#REF!</v>
      </c>
    </row>
    <row r="436" spans="14:20">
      <c r="N436">
        <v>24.7</v>
      </c>
      <c r="S436" s="498"/>
      <c r="T436" s="498" t="e">
        <f t="shared" si="43"/>
        <v>#REF!</v>
      </c>
    </row>
    <row r="437" spans="14:20">
      <c r="N437">
        <v>24.8</v>
      </c>
      <c r="S437" s="498"/>
      <c r="T437" s="498" t="e">
        <f t="shared" si="43"/>
        <v>#REF!</v>
      </c>
    </row>
    <row r="438" spans="14:20">
      <c r="N438">
        <v>24.9</v>
      </c>
      <c r="S438" s="498"/>
      <c r="T438" s="498" t="e">
        <f t="shared" si="43"/>
        <v>#REF!</v>
      </c>
    </row>
    <row r="439" spans="14:20">
      <c r="N439">
        <v>25</v>
      </c>
      <c r="S439" s="498"/>
      <c r="T439" s="498" t="e">
        <f t="shared" si="43"/>
        <v>#REF!</v>
      </c>
    </row>
    <row r="440" spans="14:20">
      <c r="N440">
        <v>25.1</v>
      </c>
      <c r="S440" s="498"/>
      <c r="T440" s="498" t="e">
        <f t="shared" si="43"/>
        <v>#REF!</v>
      </c>
    </row>
    <row r="441" spans="14:20">
      <c r="N441">
        <v>25.2</v>
      </c>
      <c r="S441" s="498"/>
      <c r="T441" s="498" t="e">
        <f t="shared" si="43"/>
        <v>#REF!</v>
      </c>
    </row>
    <row r="442" spans="14:20">
      <c r="N442">
        <v>25.3</v>
      </c>
      <c r="S442" s="498"/>
      <c r="T442" s="498" t="e">
        <f t="shared" si="43"/>
        <v>#REF!</v>
      </c>
    </row>
    <row r="443" spans="14:20">
      <c r="N443">
        <v>25.4</v>
      </c>
      <c r="S443" s="498"/>
      <c r="T443" s="498" t="e">
        <f t="shared" si="43"/>
        <v>#REF!</v>
      </c>
    </row>
    <row r="444" spans="14:20">
      <c r="N444">
        <v>25.5</v>
      </c>
      <c r="S444" s="498"/>
      <c r="T444" s="498" t="e">
        <f t="shared" si="43"/>
        <v>#REF!</v>
      </c>
    </row>
    <row r="445" spans="14:20">
      <c r="N445">
        <v>25.6</v>
      </c>
      <c r="S445" s="498"/>
      <c r="T445" s="498" t="e">
        <f t="shared" si="43"/>
        <v>#REF!</v>
      </c>
    </row>
    <row r="446" spans="14:20">
      <c r="N446">
        <v>25.7</v>
      </c>
      <c r="S446" s="498"/>
      <c r="T446" s="498" t="e">
        <f t="shared" si="43"/>
        <v>#REF!</v>
      </c>
    </row>
    <row r="447" spans="14:20">
      <c r="N447">
        <v>25.8</v>
      </c>
      <c r="S447" s="498"/>
      <c r="T447" s="498" t="e">
        <f t="shared" si="43"/>
        <v>#REF!</v>
      </c>
    </row>
    <row r="448" spans="14:20">
      <c r="N448">
        <v>25.9</v>
      </c>
      <c r="S448" s="498"/>
      <c r="T448" s="498" t="e">
        <f t="shared" si="43"/>
        <v>#REF!</v>
      </c>
    </row>
    <row r="449" spans="14:20">
      <c r="N449">
        <v>26</v>
      </c>
      <c r="S449" s="498"/>
      <c r="T449" s="498" t="e">
        <f t="shared" si="43"/>
        <v>#REF!</v>
      </c>
    </row>
    <row r="450" spans="14:20">
      <c r="N450">
        <v>26.1</v>
      </c>
      <c r="S450" s="498"/>
      <c r="T450" s="498" t="e">
        <f t="shared" si="43"/>
        <v>#REF!</v>
      </c>
    </row>
    <row r="451" spans="14:20">
      <c r="N451">
        <v>26.2</v>
      </c>
      <c r="S451" s="498"/>
      <c r="T451" s="498" t="e">
        <f t="shared" si="43"/>
        <v>#REF!</v>
      </c>
    </row>
    <row r="452" spans="14:20">
      <c r="N452">
        <v>26.3</v>
      </c>
      <c r="S452" s="498"/>
      <c r="T452" s="498" t="e">
        <f t="shared" si="43"/>
        <v>#REF!</v>
      </c>
    </row>
    <row r="453" spans="14:20">
      <c r="N453">
        <v>26.4</v>
      </c>
      <c r="S453" s="498"/>
      <c r="T453" s="498" t="e">
        <f t="shared" si="43"/>
        <v>#REF!</v>
      </c>
    </row>
    <row r="454" spans="14:20">
      <c r="N454">
        <v>26.5</v>
      </c>
      <c r="S454" s="498"/>
      <c r="T454" s="498" t="e">
        <f t="shared" si="43"/>
        <v>#REF!</v>
      </c>
    </row>
    <row r="455" spans="14:20">
      <c r="N455">
        <v>26.6</v>
      </c>
      <c r="S455" s="498"/>
      <c r="T455" s="498" t="e">
        <f t="shared" si="43"/>
        <v>#REF!</v>
      </c>
    </row>
    <row r="456" spans="14:20">
      <c r="N456">
        <v>26.7</v>
      </c>
      <c r="S456" s="498"/>
      <c r="T456" s="498" t="e">
        <f t="shared" si="43"/>
        <v>#REF!</v>
      </c>
    </row>
    <row r="457" spans="14:20">
      <c r="N457">
        <v>26.8</v>
      </c>
      <c r="S457" s="498"/>
      <c r="T457" s="498" t="e">
        <f t="shared" si="43"/>
        <v>#REF!</v>
      </c>
    </row>
    <row r="458" spans="14:20">
      <c r="N458">
        <v>26.9</v>
      </c>
      <c r="S458" s="498"/>
      <c r="T458" s="498" t="e">
        <f t="shared" si="43"/>
        <v>#REF!</v>
      </c>
    </row>
    <row r="459" spans="14:20">
      <c r="N459">
        <v>27</v>
      </c>
      <c r="S459" s="498"/>
      <c r="T459" s="498" t="e">
        <f t="shared" ref="T459:T522" si="44">$H$184</f>
        <v>#REF!</v>
      </c>
    </row>
    <row r="460" spans="14:20">
      <c r="N460">
        <v>27.1</v>
      </c>
      <c r="S460" s="498"/>
      <c r="T460" s="498" t="e">
        <f t="shared" si="44"/>
        <v>#REF!</v>
      </c>
    </row>
    <row r="461" spans="14:20">
      <c r="N461">
        <v>27.2</v>
      </c>
      <c r="S461" s="498"/>
      <c r="T461" s="498" t="e">
        <f t="shared" si="44"/>
        <v>#REF!</v>
      </c>
    </row>
    <row r="462" spans="14:20">
      <c r="N462">
        <v>27.3</v>
      </c>
      <c r="S462" s="498"/>
      <c r="T462" s="498" t="e">
        <f t="shared" si="44"/>
        <v>#REF!</v>
      </c>
    </row>
    <row r="463" spans="14:20">
      <c r="N463">
        <v>27.4</v>
      </c>
      <c r="S463" s="498"/>
      <c r="T463" s="498" t="e">
        <f t="shared" si="44"/>
        <v>#REF!</v>
      </c>
    </row>
    <row r="464" spans="14:20">
      <c r="N464">
        <v>27.5</v>
      </c>
      <c r="S464" s="498"/>
      <c r="T464" s="498" t="e">
        <f t="shared" si="44"/>
        <v>#REF!</v>
      </c>
    </row>
    <row r="465" spans="14:20">
      <c r="N465">
        <v>27.6</v>
      </c>
      <c r="S465" s="498"/>
      <c r="T465" s="498" t="e">
        <f t="shared" si="44"/>
        <v>#REF!</v>
      </c>
    </row>
    <row r="466" spans="14:20">
      <c r="N466">
        <v>27.7</v>
      </c>
      <c r="S466" s="498"/>
      <c r="T466" s="498" t="e">
        <f t="shared" si="44"/>
        <v>#REF!</v>
      </c>
    </row>
    <row r="467" spans="14:20">
      <c r="N467">
        <v>27.8</v>
      </c>
      <c r="S467" s="498"/>
      <c r="T467" s="498" t="e">
        <f t="shared" si="44"/>
        <v>#REF!</v>
      </c>
    </row>
    <row r="468" spans="14:20">
      <c r="N468">
        <v>27.9</v>
      </c>
      <c r="S468" s="498"/>
      <c r="T468" s="498" t="e">
        <f t="shared" si="44"/>
        <v>#REF!</v>
      </c>
    </row>
    <row r="469" spans="14:20">
      <c r="N469">
        <v>28</v>
      </c>
      <c r="S469" s="498"/>
      <c r="T469" s="498" t="e">
        <f t="shared" si="44"/>
        <v>#REF!</v>
      </c>
    </row>
    <row r="470" spans="14:20">
      <c r="N470">
        <v>28.1</v>
      </c>
      <c r="S470" s="498"/>
      <c r="T470" s="498" t="e">
        <f t="shared" si="44"/>
        <v>#REF!</v>
      </c>
    </row>
    <row r="471" spans="14:20">
      <c r="N471">
        <v>28.2</v>
      </c>
      <c r="S471" s="498"/>
      <c r="T471" s="498" t="e">
        <f t="shared" si="44"/>
        <v>#REF!</v>
      </c>
    </row>
    <row r="472" spans="14:20">
      <c r="N472">
        <v>28.3</v>
      </c>
      <c r="S472" s="498"/>
      <c r="T472" s="498" t="e">
        <f t="shared" si="44"/>
        <v>#REF!</v>
      </c>
    </row>
    <row r="473" spans="14:20">
      <c r="N473">
        <v>28.4</v>
      </c>
      <c r="S473" s="498"/>
      <c r="T473" s="498" t="e">
        <f t="shared" si="44"/>
        <v>#REF!</v>
      </c>
    </row>
    <row r="474" spans="14:20">
      <c r="N474">
        <v>28.5</v>
      </c>
      <c r="S474" s="498"/>
      <c r="T474" s="498" t="e">
        <f t="shared" si="44"/>
        <v>#REF!</v>
      </c>
    </row>
    <row r="475" spans="14:20">
      <c r="N475">
        <v>28.6</v>
      </c>
      <c r="S475" s="498"/>
      <c r="T475" s="498" t="e">
        <f t="shared" si="44"/>
        <v>#REF!</v>
      </c>
    </row>
    <row r="476" spans="14:20">
      <c r="N476">
        <v>28.7</v>
      </c>
      <c r="S476" s="498"/>
      <c r="T476" s="498" t="e">
        <f t="shared" si="44"/>
        <v>#REF!</v>
      </c>
    </row>
    <row r="477" spans="14:20">
      <c r="N477">
        <v>28.8</v>
      </c>
      <c r="S477" s="498"/>
      <c r="T477" s="498" t="e">
        <f t="shared" si="44"/>
        <v>#REF!</v>
      </c>
    </row>
    <row r="478" spans="14:20">
      <c r="N478">
        <v>28.9</v>
      </c>
      <c r="S478" s="498"/>
      <c r="T478" s="498" t="e">
        <f t="shared" si="44"/>
        <v>#REF!</v>
      </c>
    </row>
    <row r="479" spans="14:20">
      <c r="N479">
        <v>29</v>
      </c>
      <c r="S479" s="498"/>
      <c r="T479" s="498" t="e">
        <f t="shared" si="44"/>
        <v>#REF!</v>
      </c>
    </row>
    <row r="480" spans="14:20">
      <c r="N480">
        <v>29.1</v>
      </c>
      <c r="S480" s="498"/>
      <c r="T480" s="498" t="e">
        <f t="shared" si="44"/>
        <v>#REF!</v>
      </c>
    </row>
    <row r="481" spans="14:20">
      <c r="N481">
        <v>29.2</v>
      </c>
      <c r="S481" s="498"/>
      <c r="T481" s="498" t="e">
        <f t="shared" si="44"/>
        <v>#REF!</v>
      </c>
    </row>
    <row r="482" spans="14:20">
      <c r="N482">
        <v>29.3</v>
      </c>
      <c r="S482" s="498"/>
      <c r="T482" s="498" t="e">
        <f t="shared" si="44"/>
        <v>#REF!</v>
      </c>
    </row>
    <row r="483" spans="14:20">
      <c r="N483">
        <v>29.4</v>
      </c>
      <c r="S483" s="498"/>
      <c r="T483" s="498" t="e">
        <f t="shared" si="44"/>
        <v>#REF!</v>
      </c>
    </row>
    <row r="484" spans="14:20">
      <c r="N484">
        <v>29.5</v>
      </c>
      <c r="S484" s="498"/>
      <c r="T484" s="498" t="e">
        <f t="shared" si="44"/>
        <v>#REF!</v>
      </c>
    </row>
    <row r="485" spans="14:20">
      <c r="N485">
        <v>29.6</v>
      </c>
      <c r="S485" s="498"/>
      <c r="T485" s="498" t="e">
        <f t="shared" si="44"/>
        <v>#REF!</v>
      </c>
    </row>
    <row r="486" spans="14:20">
      <c r="N486">
        <v>29.7</v>
      </c>
      <c r="S486" s="498"/>
      <c r="T486" s="498" t="e">
        <f t="shared" si="44"/>
        <v>#REF!</v>
      </c>
    </row>
    <row r="487" spans="14:20">
      <c r="N487">
        <v>29.8</v>
      </c>
      <c r="S487" s="498"/>
      <c r="T487" s="498" t="e">
        <f t="shared" si="44"/>
        <v>#REF!</v>
      </c>
    </row>
    <row r="488" spans="14:20">
      <c r="N488">
        <v>29.9</v>
      </c>
      <c r="T488" s="498" t="e">
        <f t="shared" si="44"/>
        <v>#REF!</v>
      </c>
    </row>
    <row r="489" spans="14:20">
      <c r="N489">
        <v>30</v>
      </c>
      <c r="T489" s="498" t="e">
        <f t="shared" si="44"/>
        <v>#REF!</v>
      </c>
    </row>
    <row r="490" spans="14:20">
      <c r="N490">
        <v>30.1</v>
      </c>
      <c r="T490" s="498" t="e">
        <f t="shared" si="44"/>
        <v>#REF!</v>
      </c>
    </row>
    <row r="491" spans="14:20">
      <c r="N491">
        <v>30.2</v>
      </c>
      <c r="T491" s="498" t="e">
        <f t="shared" si="44"/>
        <v>#REF!</v>
      </c>
    </row>
    <row r="492" spans="14:20">
      <c r="N492">
        <v>30.3</v>
      </c>
      <c r="T492" s="498" t="e">
        <f t="shared" si="44"/>
        <v>#REF!</v>
      </c>
    </row>
    <row r="493" spans="14:20">
      <c r="N493">
        <v>30.4</v>
      </c>
      <c r="T493" s="498" t="e">
        <f t="shared" si="44"/>
        <v>#REF!</v>
      </c>
    </row>
    <row r="494" spans="14:20">
      <c r="N494">
        <v>30.5</v>
      </c>
      <c r="T494" s="498" t="e">
        <f t="shared" si="44"/>
        <v>#REF!</v>
      </c>
    </row>
    <row r="495" spans="14:20">
      <c r="N495">
        <v>30.6</v>
      </c>
      <c r="T495" s="498" t="e">
        <f t="shared" si="44"/>
        <v>#REF!</v>
      </c>
    </row>
    <row r="496" spans="14:20">
      <c r="N496">
        <v>30.7</v>
      </c>
      <c r="T496" s="498" t="e">
        <f t="shared" si="44"/>
        <v>#REF!</v>
      </c>
    </row>
    <row r="497" spans="14:20">
      <c r="N497">
        <v>30.8</v>
      </c>
      <c r="T497" s="498" t="e">
        <f t="shared" si="44"/>
        <v>#REF!</v>
      </c>
    </row>
    <row r="498" spans="14:20">
      <c r="N498">
        <v>30.9</v>
      </c>
      <c r="T498" s="498" t="e">
        <f t="shared" si="44"/>
        <v>#REF!</v>
      </c>
    </row>
    <row r="499" spans="14:20">
      <c r="N499">
        <v>31</v>
      </c>
      <c r="T499" s="498" t="e">
        <f t="shared" si="44"/>
        <v>#REF!</v>
      </c>
    </row>
    <row r="500" spans="14:20">
      <c r="N500">
        <v>31.1</v>
      </c>
      <c r="T500" s="498" t="e">
        <f t="shared" si="44"/>
        <v>#REF!</v>
      </c>
    </row>
    <row r="501" spans="14:20">
      <c r="N501">
        <v>31.2</v>
      </c>
      <c r="T501" s="498" t="e">
        <f t="shared" si="44"/>
        <v>#REF!</v>
      </c>
    </row>
    <row r="502" spans="14:20">
      <c r="N502">
        <v>31.3</v>
      </c>
      <c r="T502" s="498" t="e">
        <f t="shared" si="44"/>
        <v>#REF!</v>
      </c>
    </row>
    <row r="503" spans="14:20">
      <c r="N503">
        <v>31.4</v>
      </c>
      <c r="T503" s="498" t="e">
        <f t="shared" si="44"/>
        <v>#REF!</v>
      </c>
    </row>
    <row r="504" spans="14:20">
      <c r="N504">
        <v>31.5</v>
      </c>
      <c r="T504" s="498" t="e">
        <f t="shared" si="44"/>
        <v>#REF!</v>
      </c>
    </row>
    <row r="505" spans="14:20">
      <c r="N505">
        <v>31.6</v>
      </c>
      <c r="T505" s="498" t="e">
        <f t="shared" si="44"/>
        <v>#REF!</v>
      </c>
    </row>
    <row r="506" spans="14:20">
      <c r="N506">
        <v>31.7</v>
      </c>
      <c r="T506" s="498" t="e">
        <f t="shared" si="44"/>
        <v>#REF!</v>
      </c>
    </row>
    <row r="507" spans="14:20">
      <c r="N507">
        <v>31.8</v>
      </c>
      <c r="T507" s="498" t="e">
        <f t="shared" si="44"/>
        <v>#REF!</v>
      </c>
    </row>
    <row r="508" spans="14:20">
      <c r="N508">
        <v>31.9</v>
      </c>
      <c r="T508" s="498" t="e">
        <f t="shared" si="44"/>
        <v>#REF!</v>
      </c>
    </row>
    <row r="509" spans="14:20">
      <c r="N509">
        <v>32</v>
      </c>
      <c r="T509" s="498" t="e">
        <f t="shared" si="44"/>
        <v>#REF!</v>
      </c>
    </row>
    <row r="510" spans="14:20">
      <c r="N510">
        <v>32.1</v>
      </c>
      <c r="T510" s="498" t="e">
        <f t="shared" si="44"/>
        <v>#REF!</v>
      </c>
    </row>
    <row r="511" spans="14:20">
      <c r="N511">
        <v>32.200000000000003</v>
      </c>
      <c r="T511" s="498" t="e">
        <f t="shared" si="44"/>
        <v>#REF!</v>
      </c>
    </row>
    <row r="512" spans="14:20">
      <c r="N512">
        <v>32.299999999999997</v>
      </c>
      <c r="T512" s="498" t="e">
        <f t="shared" si="44"/>
        <v>#REF!</v>
      </c>
    </row>
    <row r="513" spans="14:20">
      <c r="N513">
        <v>32.4</v>
      </c>
      <c r="T513" s="498" t="e">
        <f t="shared" si="44"/>
        <v>#REF!</v>
      </c>
    </row>
    <row r="514" spans="14:20">
      <c r="N514">
        <v>32.5</v>
      </c>
      <c r="T514" s="498" t="e">
        <f t="shared" si="44"/>
        <v>#REF!</v>
      </c>
    </row>
    <row r="515" spans="14:20">
      <c r="N515">
        <v>32.6</v>
      </c>
      <c r="T515" s="498" t="e">
        <f t="shared" si="44"/>
        <v>#REF!</v>
      </c>
    </row>
    <row r="516" spans="14:20">
      <c r="N516">
        <v>32.700000000000003</v>
      </c>
      <c r="T516" s="498" t="e">
        <f t="shared" si="44"/>
        <v>#REF!</v>
      </c>
    </row>
    <row r="517" spans="14:20">
      <c r="N517">
        <v>32.799999999999997</v>
      </c>
      <c r="T517" s="498" t="e">
        <f t="shared" si="44"/>
        <v>#REF!</v>
      </c>
    </row>
    <row r="518" spans="14:20">
      <c r="N518">
        <v>32.9</v>
      </c>
      <c r="T518" s="498" t="e">
        <f t="shared" si="44"/>
        <v>#REF!</v>
      </c>
    </row>
    <row r="519" spans="14:20">
      <c r="N519">
        <v>33</v>
      </c>
      <c r="T519" s="498" t="e">
        <f t="shared" si="44"/>
        <v>#REF!</v>
      </c>
    </row>
    <row r="520" spans="14:20">
      <c r="N520">
        <v>33.1</v>
      </c>
      <c r="T520" s="498" t="e">
        <f t="shared" si="44"/>
        <v>#REF!</v>
      </c>
    </row>
    <row r="521" spans="14:20">
      <c r="N521">
        <v>33.200000000000003</v>
      </c>
      <c r="T521" s="498" t="e">
        <f t="shared" si="44"/>
        <v>#REF!</v>
      </c>
    </row>
    <row r="522" spans="14:20">
      <c r="N522">
        <v>33.299999999999997</v>
      </c>
      <c r="T522" s="498" t="e">
        <f t="shared" si="44"/>
        <v>#REF!</v>
      </c>
    </row>
    <row r="523" spans="14:20">
      <c r="N523">
        <v>33.4</v>
      </c>
      <c r="T523" s="498" t="e">
        <f t="shared" ref="T523:T557" si="45">$H$184</f>
        <v>#REF!</v>
      </c>
    </row>
    <row r="524" spans="14:20">
      <c r="N524">
        <v>33.5</v>
      </c>
      <c r="T524" s="498" t="e">
        <f t="shared" si="45"/>
        <v>#REF!</v>
      </c>
    </row>
    <row r="525" spans="14:20">
      <c r="N525">
        <v>33.6</v>
      </c>
      <c r="T525" s="498" t="e">
        <f t="shared" si="45"/>
        <v>#REF!</v>
      </c>
    </row>
    <row r="526" spans="14:20">
      <c r="N526">
        <v>33.700000000000003</v>
      </c>
      <c r="T526" s="498" t="e">
        <f t="shared" si="45"/>
        <v>#REF!</v>
      </c>
    </row>
    <row r="527" spans="14:20">
      <c r="N527">
        <v>33.799999999999997</v>
      </c>
      <c r="T527" s="498" t="e">
        <f t="shared" si="45"/>
        <v>#REF!</v>
      </c>
    </row>
    <row r="528" spans="14:20">
      <c r="N528">
        <v>33.9</v>
      </c>
      <c r="T528" s="498" t="e">
        <f t="shared" si="45"/>
        <v>#REF!</v>
      </c>
    </row>
    <row r="529" spans="14:20">
      <c r="N529">
        <v>34</v>
      </c>
      <c r="T529" s="498" t="e">
        <f t="shared" si="45"/>
        <v>#REF!</v>
      </c>
    </row>
    <row r="530" spans="14:20">
      <c r="N530">
        <v>34.1</v>
      </c>
      <c r="T530" s="498" t="e">
        <f t="shared" si="45"/>
        <v>#REF!</v>
      </c>
    </row>
    <row r="531" spans="14:20">
      <c r="N531">
        <v>34.200000000000003</v>
      </c>
      <c r="T531" s="498" t="e">
        <f t="shared" si="45"/>
        <v>#REF!</v>
      </c>
    </row>
    <row r="532" spans="14:20">
      <c r="N532">
        <v>34.299999999999997</v>
      </c>
      <c r="T532" s="498" t="e">
        <f t="shared" si="45"/>
        <v>#REF!</v>
      </c>
    </row>
    <row r="533" spans="14:20">
      <c r="N533">
        <v>34.4</v>
      </c>
      <c r="T533" s="498" t="e">
        <f t="shared" si="45"/>
        <v>#REF!</v>
      </c>
    </row>
    <row r="534" spans="14:20">
      <c r="N534">
        <v>34.5</v>
      </c>
      <c r="T534" s="498" t="e">
        <f t="shared" si="45"/>
        <v>#REF!</v>
      </c>
    </row>
    <row r="535" spans="14:20">
      <c r="N535">
        <v>34.6</v>
      </c>
      <c r="T535" s="498" t="e">
        <f t="shared" si="45"/>
        <v>#REF!</v>
      </c>
    </row>
    <row r="536" spans="14:20">
      <c r="N536">
        <v>34.700000000000003</v>
      </c>
      <c r="T536" s="498" t="e">
        <f t="shared" si="45"/>
        <v>#REF!</v>
      </c>
    </row>
    <row r="537" spans="14:20">
      <c r="N537">
        <v>34.799999999999997</v>
      </c>
      <c r="T537" s="498" t="e">
        <f t="shared" si="45"/>
        <v>#REF!</v>
      </c>
    </row>
    <row r="538" spans="14:20">
      <c r="N538">
        <v>34.9</v>
      </c>
      <c r="T538" s="498" t="e">
        <f t="shared" si="45"/>
        <v>#REF!</v>
      </c>
    </row>
    <row r="539" spans="14:20">
      <c r="N539">
        <v>35</v>
      </c>
      <c r="T539" s="498" t="e">
        <f t="shared" si="45"/>
        <v>#REF!</v>
      </c>
    </row>
    <row r="540" spans="14:20">
      <c r="N540">
        <v>35.100000000000101</v>
      </c>
      <c r="T540" s="498" t="e">
        <f t="shared" si="45"/>
        <v>#REF!</v>
      </c>
    </row>
    <row r="541" spans="14:20">
      <c r="N541">
        <v>35.200000000000003</v>
      </c>
      <c r="T541" s="498" t="e">
        <f t="shared" si="45"/>
        <v>#REF!</v>
      </c>
    </row>
    <row r="542" spans="14:20">
      <c r="N542">
        <v>35.299999999999997</v>
      </c>
      <c r="T542" s="498" t="e">
        <f t="shared" si="45"/>
        <v>#REF!</v>
      </c>
    </row>
    <row r="543" spans="14:20">
      <c r="N543">
        <v>35.4</v>
      </c>
      <c r="T543" s="498" t="e">
        <f t="shared" si="45"/>
        <v>#REF!</v>
      </c>
    </row>
    <row r="544" spans="14:20">
      <c r="N544">
        <v>35.5</v>
      </c>
      <c r="T544" s="498" t="e">
        <f t="shared" si="45"/>
        <v>#REF!</v>
      </c>
    </row>
    <row r="545" spans="14:20">
      <c r="N545">
        <v>35.600000000000101</v>
      </c>
      <c r="T545" s="498" t="e">
        <f t="shared" si="45"/>
        <v>#REF!</v>
      </c>
    </row>
    <row r="546" spans="14:20">
      <c r="N546">
        <v>35.700000000000003</v>
      </c>
      <c r="T546" s="498" t="e">
        <f t="shared" si="45"/>
        <v>#REF!</v>
      </c>
    </row>
    <row r="547" spans="14:20">
      <c r="N547">
        <v>35.800000000000097</v>
      </c>
      <c r="T547" s="498" t="e">
        <f t="shared" si="45"/>
        <v>#REF!</v>
      </c>
    </row>
    <row r="548" spans="14:20">
      <c r="N548">
        <v>35.900000000000098</v>
      </c>
      <c r="T548" s="498" t="e">
        <f t="shared" si="45"/>
        <v>#REF!</v>
      </c>
    </row>
    <row r="549" spans="14:20">
      <c r="N549">
        <v>36.000000000000099</v>
      </c>
      <c r="T549" s="498" t="e">
        <f t="shared" si="45"/>
        <v>#REF!</v>
      </c>
    </row>
    <row r="550" spans="14:20">
      <c r="N550">
        <v>36.100000000000101</v>
      </c>
      <c r="T550" s="498" t="e">
        <f t="shared" si="45"/>
        <v>#REF!</v>
      </c>
    </row>
    <row r="551" spans="14:20">
      <c r="N551">
        <v>36.200000000000102</v>
      </c>
      <c r="T551" s="498" t="e">
        <f t="shared" si="45"/>
        <v>#REF!</v>
      </c>
    </row>
    <row r="552" spans="14:20">
      <c r="N552">
        <v>36.300000000000097</v>
      </c>
      <c r="T552" s="498" t="e">
        <f t="shared" si="45"/>
        <v>#REF!</v>
      </c>
    </row>
    <row r="553" spans="14:20">
      <c r="N553">
        <v>36.400000000000098</v>
      </c>
      <c r="T553" s="498" t="e">
        <f t="shared" si="45"/>
        <v>#REF!</v>
      </c>
    </row>
    <row r="554" spans="14:20">
      <c r="N554">
        <v>36.500000000000099</v>
      </c>
      <c r="T554" s="498" t="e">
        <f t="shared" si="45"/>
        <v>#REF!</v>
      </c>
    </row>
    <row r="555" spans="14:20">
      <c r="N555">
        <v>36.600000000000101</v>
      </c>
      <c r="T555" s="498" t="e">
        <f t="shared" si="45"/>
        <v>#REF!</v>
      </c>
    </row>
    <row r="556" spans="14:20">
      <c r="N556">
        <v>36.700000000000102</v>
      </c>
      <c r="T556" s="498" t="e">
        <f t="shared" si="45"/>
        <v>#REF!</v>
      </c>
    </row>
    <row r="557" spans="14:20">
      <c r="N557">
        <v>36.800000000000097</v>
      </c>
      <c r="T557" s="498" t="e">
        <f t="shared" si="45"/>
        <v>#REF!</v>
      </c>
    </row>
  </sheetData>
  <mergeCells count="1">
    <mergeCell ref="A175:D176"/>
  </mergeCells>
  <hyperlinks>
    <hyperlink ref="F68" r:id="rId1" xr:uid="{3FF94200-8F33-4B61-8239-A3A81C54B596}"/>
  </hyperlinks>
  <pageMargins left="0.7" right="0.7" top="0.75" bottom="0.75" header="0.3" footer="0.3"/>
  <pageSetup orientation="portrait" r:id="rId2"/>
  <headerFooter>
    <oddFooter>&amp;R_x000D_&amp;1#&amp;"Aptos"&amp;10&amp;K000000 Official Use Only</oddFooter>
  </headerFooter>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5625-5A2F-4EA5-938F-D933316816E4}">
  <dimension ref="A1:G40"/>
  <sheetViews>
    <sheetView zoomScale="80" zoomScaleNormal="80" workbookViewId="0">
      <selection activeCell="B28" sqref="B28"/>
    </sheetView>
  </sheetViews>
  <sheetFormatPr defaultRowHeight="15"/>
  <cols>
    <col min="1" max="1" width="52" customWidth="1"/>
    <col min="2" max="3" width="23.7109375" customWidth="1"/>
    <col min="4" max="4" width="24.5703125" customWidth="1"/>
    <col min="5" max="5" width="22" customWidth="1"/>
  </cols>
  <sheetData>
    <row r="1" spans="1:7">
      <c r="A1" s="23" t="s">
        <v>142</v>
      </c>
    </row>
    <row r="2" spans="1:7">
      <c r="A2" t="s">
        <v>1612</v>
      </c>
    </row>
    <row r="3" spans="1:7">
      <c r="A3" s="588"/>
      <c r="B3" s="589" t="s">
        <v>1656</v>
      </c>
      <c r="C3" s="590"/>
    </row>
    <row r="4" spans="1:7" ht="30">
      <c r="A4" s="22">
        <v>2022</v>
      </c>
      <c r="B4" s="591">
        <f>'Cement Cost Model-Indonesia'!I13</f>
        <v>78.847368421052636</v>
      </c>
      <c r="C4" s="1250" t="s">
        <v>1657</v>
      </c>
    </row>
    <row r="5" spans="1:7">
      <c r="A5" s="22">
        <v>2030</v>
      </c>
      <c r="B5" s="591">
        <f>'Cement Cost Model-Indonesia'!I14</f>
        <v>95.806247319932183</v>
      </c>
      <c r="C5" s="1250" t="s">
        <v>1434</v>
      </c>
    </row>
    <row r="6" spans="1:7">
      <c r="A6" s="31">
        <v>2060</v>
      </c>
      <c r="B6" s="593">
        <f>'Cement Cost Model-Indonesia'!I15</f>
        <v>112.10526315789474</v>
      </c>
      <c r="C6" s="1251" t="s">
        <v>1434</v>
      </c>
    </row>
    <row r="8" spans="1:7" ht="30">
      <c r="A8" s="1252" t="s">
        <v>1658</v>
      </c>
      <c r="B8" s="589" t="s">
        <v>1615</v>
      </c>
      <c r="C8" s="589"/>
      <c r="D8" s="589" t="s">
        <v>1616</v>
      </c>
      <c r="E8" s="590" t="s">
        <v>1617</v>
      </c>
    </row>
    <row r="9" spans="1:7">
      <c r="A9" s="22"/>
      <c r="B9" t="s">
        <v>1618</v>
      </c>
      <c r="C9" t="s">
        <v>1619</v>
      </c>
      <c r="D9" t="s">
        <v>1620</v>
      </c>
      <c r="E9" s="595" t="s">
        <v>1621</v>
      </c>
    </row>
    <row r="10" spans="1:7">
      <c r="A10" s="22" t="s">
        <v>1622</v>
      </c>
      <c r="B10" t="s">
        <v>1623</v>
      </c>
      <c r="C10" t="s">
        <v>1624</v>
      </c>
      <c r="D10" t="s">
        <v>1625</v>
      </c>
      <c r="E10" s="595" t="s">
        <v>1626</v>
      </c>
    </row>
    <row r="11" spans="1:7" ht="30">
      <c r="A11" s="596" t="s">
        <v>1627</v>
      </c>
      <c r="C11" s="597">
        <f>(107-100)/107</f>
        <v>6.5420560747663545E-2</v>
      </c>
      <c r="D11" s="597">
        <f>(117-107)/117</f>
        <v>8.5470085470085472E-2</v>
      </c>
      <c r="E11" s="595"/>
    </row>
    <row r="12" spans="1:7" ht="30">
      <c r="A12" s="598" t="s">
        <v>1628</v>
      </c>
      <c r="B12" s="523"/>
      <c r="C12" s="593">
        <v>7</v>
      </c>
      <c r="D12" s="593">
        <v>10</v>
      </c>
      <c r="E12" s="599"/>
    </row>
    <row r="13" spans="1:7">
      <c r="A13" s="33"/>
      <c r="C13" s="597">
        <f>(C16-B16)/C16</f>
        <v>6.0606060606060531E-2</v>
      </c>
      <c r="D13" s="597">
        <f>(D16-C16)/D16</f>
        <v>8.3333333333333412E-2</v>
      </c>
      <c r="E13" s="600"/>
    </row>
    <row r="14" spans="1:7" ht="30">
      <c r="A14" s="700" t="s">
        <v>1659</v>
      </c>
      <c r="B14" s="589" t="s">
        <v>1615</v>
      </c>
      <c r="C14" s="589"/>
      <c r="D14" s="589" t="s">
        <v>1616</v>
      </c>
      <c r="E14" s="590" t="s">
        <v>1617</v>
      </c>
      <c r="F14" s="33" t="s">
        <v>1660</v>
      </c>
    </row>
    <row r="15" spans="1:7">
      <c r="A15" s="22"/>
      <c r="B15" t="s">
        <v>1618</v>
      </c>
      <c r="C15" t="s">
        <v>1619</v>
      </c>
      <c r="D15" t="s">
        <v>1620</v>
      </c>
      <c r="E15" s="595" t="s">
        <v>1621</v>
      </c>
    </row>
    <row r="16" spans="1:7">
      <c r="A16" s="22" t="s">
        <v>1661</v>
      </c>
      <c r="B16" s="733">
        <v>3.1</v>
      </c>
      <c r="C16" s="733">
        <v>3.3</v>
      </c>
      <c r="D16" s="733">
        <v>3.6</v>
      </c>
      <c r="E16" s="734">
        <v>3.8</v>
      </c>
      <c r="F16" s="587"/>
      <c r="G16" t="s">
        <v>1662</v>
      </c>
    </row>
    <row r="17" spans="1:7">
      <c r="A17" s="22" t="s">
        <v>1663</v>
      </c>
      <c r="B17" s="46">
        <v>0</v>
      </c>
      <c r="C17" s="46">
        <v>0.15</v>
      </c>
      <c r="D17" s="46">
        <v>0.65</v>
      </c>
      <c r="E17" s="602">
        <v>0.2</v>
      </c>
      <c r="F17" s="576">
        <f>SUMPRODUCT($B$16:$E$16,B17:E17)</f>
        <v>3.5950000000000006</v>
      </c>
      <c r="G17" t="s">
        <v>1664</v>
      </c>
    </row>
    <row r="18" spans="1:7">
      <c r="A18" s="22" t="s">
        <v>1665</v>
      </c>
      <c r="B18" s="46"/>
      <c r="C18" s="46"/>
      <c r="D18" s="46"/>
      <c r="E18" s="602"/>
      <c r="F18" s="576">
        <f>SUMPRODUCT($B$16:$E$16,B18:E18)</f>
        <v>0</v>
      </c>
    </row>
    <row r="19" spans="1:7">
      <c r="A19" s="22" t="s">
        <v>1666</v>
      </c>
      <c r="B19" s="46">
        <v>0.25</v>
      </c>
      <c r="C19" s="46">
        <v>0.48</v>
      </c>
      <c r="D19" s="46">
        <v>0.27</v>
      </c>
      <c r="E19" s="602">
        <v>0</v>
      </c>
      <c r="F19" s="576">
        <f>SUMPRODUCT($B$16:$E$16,B19:E19)</f>
        <v>3.331</v>
      </c>
      <c r="G19" t="s">
        <v>1667</v>
      </c>
    </row>
    <row r="20" spans="1:7">
      <c r="A20" s="31" t="s">
        <v>1668</v>
      </c>
      <c r="B20" s="688">
        <v>0.8</v>
      </c>
      <c r="C20" s="688">
        <v>0.2</v>
      </c>
      <c r="D20" s="523"/>
      <c r="E20" s="605"/>
      <c r="F20" s="576">
        <f>SUMPRODUCT($B$16:$E$16,B20:E20)</f>
        <v>3.1400000000000006</v>
      </c>
    </row>
    <row r="21" spans="1:7">
      <c r="B21" s="46"/>
      <c r="C21" s="46"/>
    </row>
    <row r="22" spans="1:7">
      <c r="A22" s="52" t="s">
        <v>1640</v>
      </c>
    </row>
    <row r="23" spans="1:7" ht="30">
      <c r="A23" s="626" t="s">
        <v>1434</v>
      </c>
      <c r="B23" s="589" t="s">
        <v>1615</v>
      </c>
      <c r="C23" s="589"/>
      <c r="D23" s="589" t="s">
        <v>1616</v>
      </c>
      <c r="E23" s="590" t="s">
        <v>1617</v>
      </c>
    </row>
    <row r="24" spans="1:7">
      <c r="A24" s="627"/>
      <c r="B24" s="33" t="s">
        <v>1618</v>
      </c>
      <c r="C24" s="33" t="s">
        <v>1619</v>
      </c>
      <c r="D24" s="33" t="s">
        <v>1620</v>
      </c>
      <c r="E24" s="628" t="s">
        <v>1641</v>
      </c>
    </row>
    <row r="25" spans="1:7">
      <c r="A25" s="22" t="s">
        <v>1634</v>
      </c>
      <c r="B25" s="591">
        <f>$B$4*B17</f>
        <v>0</v>
      </c>
      <c r="C25" s="591">
        <f>$B$4*C17</f>
        <v>11.827105263157895</v>
      </c>
      <c r="D25" s="591">
        <f>$B$4*D17</f>
        <v>51.250789473684215</v>
      </c>
      <c r="E25" s="592">
        <f>$B$4*E17</f>
        <v>15.769473684210528</v>
      </c>
    </row>
    <row r="26" spans="1:7">
      <c r="A26" s="22" t="s">
        <v>1635</v>
      </c>
      <c r="B26" s="591"/>
      <c r="C26" s="591"/>
      <c r="D26" s="591"/>
      <c r="E26" s="592"/>
    </row>
    <row r="27" spans="1:7">
      <c r="A27" s="22" t="s">
        <v>1636</v>
      </c>
      <c r="B27" s="633">
        <f>$B$5*B19</f>
        <v>23.951561829983046</v>
      </c>
      <c r="C27" s="633">
        <f>$B$5*C19</f>
        <v>45.986998713567445</v>
      </c>
      <c r="D27" s="633">
        <f>$B$5*D19</f>
        <v>25.867686776381692</v>
      </c>
      <c r="E27" s="736">
        <f>$B$5*E19</f>
        <v>0</v>
      </c>
    </row>
    <row r="28" spans="1:7">
      <c r="A28" s="31" t="s">
        <v>1642</v>
      </c>
      <c r="B28" s="638">
        <f>B27-B25</f>
        <v>23.951561829983046</v>
      </c>
      <c r="C28" s="593"/>
      <c r="D28" s="593"/>
      <c r="E28" s="594"/>
    </row>
    <row r="29" spans="1:7">
      <c r="A29" s="22" t="s">
        <v>1639</v>
      </c>
      <c r="B29" s="591">
        <f>B20*$B$6</f>
        <v>89.684210526315795</v>
      </c>
      <c r="C29" s="591">
        <f>C20*$B$6</f>
        <v>22.421052631578949</v>
      </c>
      <c r="D29" s="591"/>
      <c r="E29" s="592"/>
    </row>
    <row r="30" spans="1:7">
      <c r="A30" s="31" t="s">
        <v>1647</v>
      </c>
      <c r="B30" s="638">
        <f>B29-B27</f>
        <v>65.732648696332745</v>
      </c>
      <c r="C30" s="593"/>
      <c r="D30" s="593"/>
      <c r="E30" s="594"/>
    </row>
    <row r="31" spans="1:7">
      <c r="B31" s="498"/>
      <c r="C31" s="498"/>
    </row>
    <row r="32" spans="1:7">
      <c r="A32" s="601" t="s">
        <v>1644</v>
      </c>
      <c r="B32" s="639"/>
    </row>
    <row r="33" spans="1:5">
      <c r="A33" s="640" t="s">
        <v>1434</v>
      </c>
      <c r="B33" s="628" t="s">
        <v>1483</v>
      </c>
      <c r="C33" s="33"/>
      <c r="D33" s="33"/>
      <c r="E33" s="33"/>
    </row>
    <row r="34" spans="1:5">
      <c r="A34" s="22">
        <v>2020</v>
      </c>
      <c r="B34" s="602">
        <v>0</v>
      </c>
    </row>
    <row r="35" spans="1:5">
      <c r="A35" s="22">
        <v>2030</v>
      </c>
      <c r="B35" s="602">
        <f>'Cement Cost Model-Indonesia'!D22</f>
        <v>0.2</v>
      </c>
    </row>
    <row r="36" spans="1:5">
      <c r="A36" s="22">
        <v>2060</v>
      </c>
      <c r="B36" s="602">
        <f>'Cement Cost Model-Indonesia'!H22</f>
        <v>0.65</v>
      </c>
    </row>
    <row r="37" spans="1:5">
      <c r="A37" s="596" t="s">
        <v>1645</v>
      </c>
      <c r="B37" s="680">
        <f>B5*B35</f>
        <v>19.161249463986437</v>
      </c>
      <c r="D37" s="498"/>
    </row>
    <row r="38" spans="1:5">
      <c r="A38" s="596" t="s">
        <v>1646</v>
      </c>
      <c r="B38" s="680">
        <f>B36*B6</f>
        <v>72.868421052631589</v>
      </c>
      <c r="D38" s="498"/>
    </row>
    <row r="39" spans="1:5">
      <c r="A39" s="22" t="s">
        <v>1642</v>
      </c>
      <c r="B39" s="641">
        <f>B37-0</f>
        <v>19.161249463986437</v>
      </c>
      <c r="D39" s="498"/>
    </row>
    <row r="40" spans="1:5">
      <c r="A40" s="598" t="s">
        <v>1647</v>
      </c>
      <c r="B40" s="642">
        <f>B38-B37</f>
        <v>53.707171588645153</v>
      </c>
      <c r="D40" s="498"/>
    </row>
  </sheetData>
  <pageMargins left="0.7" right="0.7" top="0.75" bottom="0.75" header="0.3" footer="0.3"/>
  <headerFooter>
    <oddFooter>&amp;R_x000D_&amp;1#&amp;"Aptos"&amp;10&amp;K000000 Official Use Only</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2A3E-503D-4770-838E-023FB95EE5F8}">
  <dimension ref="A1:T653"/>
  <sheetViews>
    <sheetView topLeftCell="A575" zoomScale="75" zoomScaleNormal="75" workbookViewId="0">
      <selection activeCell="B28" sqref="B28"/>
    </sheetView>
  </sheetViews>
  <sheetFormatPr defaultRowHeight="15"/>
  <cols>
    <col min="1" max="1" width="41.28515625" customWidth="1"/>
    <col min="2" max="2" width="19.85546875" customWidth="1"/>
    <col min="3" max="3" width="21" customWidth="1"/>
    <col min="4" max="4" width="17.28515625" customWidth="1"/>
    <col min="5" max="5" width="19.28515625" customWidth="1"/>
    <col min="6" max="6" width="21" customWidth="1"/>
    <col min="7" max="7" width="16.5703125" customWidth="1"/>
    <col min="8" max="8" width="14.28515625" customWidth="1"/>
    <col min="9" max="9" width="20" customWidth="1"/>
    <col min="10" max="10" width="15" customWidth="1"/>
    <col min="11" max="11" width="20.28515625" customWidth="1"/>
    <col min="12" max="12" width="21.140625" customWidth="1"/>
    <col min="16" max="16" width="18.28515625" customWidth="1"/>
    <col min="17" max="17" width="23.7109375" customWidth="1"/>
    <col min="18" max="18" width="17.42578125" customWidth="1"/>
    <col min="20" max="20" width="30.5703125" customWidth="1"/>
  </cols>
  <sheetData>
    <row r="1" spans="1:19" ht="15.75">
      <c r="A1" s="575" t="s">
        <v>1206</v>
      </c>
      <c r="B1" s="575"/>
      <c r="C1" s="575"/>
    </row>
    <row r="2" spans="1:19" ht="15.75">
      <c r="A2" s="575" t="s">
        <v>163</v>
      </c>
      <c r="B2" s="23" t="s">
        <v>166</v>
      </c>
      <c r="C2" s="23"/>
    </row>
    <row r="3" spans="1:19" ht="15.75">
      <c r="A3" s="575" t="s">
        <v>1207</v>
      </c>
      <c r="B3" s="23" t="s">
        <v>465</v>
      </c>
      <c r="C3" s="23"/>
    </row>
    <row r="4" spans="1:19" ht="15.75">
      <c r="A4" s="575"/>
    </row>
    <row r="5" spans="1:19" s="771" customFormat="1" ht="18">
      <c r="A5" s="849" t="s">
        <v>1456</v>
      </c>
      <c r="B5" s="850" t="s">
        <v>1470</v>
      </c>
      <c r="C5" s="850">
        <v>6000</v>
      </c>
      <c r="D5" s="851" t="s">
        <v>1471</v>
      </c>
    </row>
    <row r="6" spans="1:19" s="771" customFormat="1">
      <c r="A6" s="716" t="s">
        <v>1283</v>
      </c>
      <c r="B6" s="587" t="s">
        <v>1669</v>
      </c>
      <c r="C6" s="852">
        <v>0.54</v>
      </c>
      <c r="D6" s="720" t="s">
        <v>1670</v>
      </c>
      <c r="E6" s="587" t="s">
        <v>1671</v>
      </c>
      <c r="F6" s="853">
        <f>76.93/143.46</f>
        <v>0.53624703750174263</v>
      </c>
      <c r="G6" s="587" t="s">
        <v>1672</v>
      </c>
      <c r="H6" s="587"/>
    </row>
    <row r="7" spans="1:19" s="771" customFormat="1">
      <c r="A7" s="716"/>
      <c r="B7" s="587" t="s">
        <v>1474</v>
      </c>
      <c r="C7" s="852">
        <v>0.65</v>
      </c>
      <c r="D7" s="720" t="s">
        <v>614</v>
      </c>
      <c r="E7" s="587"/>
      <c r="F7" s="587"/>
    </row>
    <row r="8" spans="1:19" s="771" customFormat="1">
      <c r="A8" s="716"/>
      <c r="B8" s="587" t="s">
        <v>1475</v>
      </c>
      <c r="C8" s="852">
        <v>0.75</v>
      </c>
      <c r="D8" s="720" t="s">
        <v>614</v>
      </c>
      <c r="E8" s="587"/>
      <c r="F8" s="587"/>
    </row>
    <row r="9" spans="1:19" s="771" customFormat="1">
      <c r="A9" s="854" t="s">
        <v>1286</v>
      </c>
      <c r="B9" s="855" t="s">
        <v>1287</v>
      </c>
      <c r="C9" s="856">
        <v>30</v>
      </c>
      <c r="D9" s="857" t="s">
        <v>1134</v>
      </c>
      <c r="E9" s="587"/>
      <c r="F9" s="587"/>
      <c r="I9" s="837"/>
    </row>
    <row r="10" spans="1:19" s="771" customFormat="1" ht="15.75">
      <c r="A10" s="833"/>
      <c r="I10" s="837"/>
    </row>
    <row r="11" spans="1:19" s="771" customFormat="1">
      <c r="A11" s="858"/>
      <c r="B11" s="850"/>
      <c r="C11" s="850"/>
      <c r="D11" s="850"/>
      <c r="E11" s="850"/>
      <c r="F11" s="850"/>
      <c r="G11" s="850"/>
      <c r="H11" s="830"/>
      <c r="I11" s="830"/>
      <c r="J11" s="830"/>
      <c r="K11" s="830"/>
      <c r="L11" s="830"/>
      <c r="M11" s="850"/>
      <c r="N11" s="850" t="s">
        <v>1673</v>
      </c>
      <c r="O11" s="850" t="s">
        <v>1673</v>
      </c>
      <c r="P11" s="850" t="s">
        <v>1673</v>
      </c>
      <c r="Q11" s="850" t="s">
        <v>1674</v>
      </c>
      <c r="R11" s="851" t="s">
        <v>1675</v>
      </c>
    </row>
    <row r="12" spans="1:19" s="771" customFormat="1">
      <c r="A12" s="859" t="s">
        <v>164</v>
      </c>
      <c r="B12" s="860" t="s">
        <v>1477</v>
      </c>
      <c r="C12" s="860" t="s">
        <v>116</v>
      </c>
      <c r="D12" s="860" t="s">
        <v>1289</v>
      </c>
      <c r="E12" s="860" t="s">
        <v>612</v>
      </c>
      <c r="F12" s="860" t="s">
        <v>1478</v>
      </c>
      <c r="G12" s="860" t="s">
        <v>116</v>
      </c>
      <c r="H12" s="860" t="s">
        <v>1479</v>
      </c>
      <c r="I12" s="860" t="s">
        <v>1480</v>
      </c>
      <c r="J12" s="860" t="s">
        <v>116</v>
      </c>
      <c r="M12" s="587"/>
      <c r="N12" s="587" t="s">
        <v>1676</v>
      </c>
      <c r="O12" s="587" t="s">
        <v>1677</v>
      </c>
      <c r="P12" s="587" t="s">
        <v>1678</v>
      </c>
      <c r="Q12" s="587" t="s">
        <v>1679</v>
      </c>
      <c r="R12" s="720" t="s">
        <v>1680</v>
      </c>
    </row>
    <row r="13" spans="1:19" s="771" customFormat="1">
      <c r="A13" s="716">
        <v>2022</v>
      </c>
      <c r="B13" s="717">
        <v>118</v>
      </c>
      <c r="C13" s="587" t="s">
        <v>1290</v>
      </c>
      <c r="D13" s="587" t="s">
        <v>1291</v>
      </c>
      <c r="E13" s="587" t="s">
        <v>1681</v>
      </c>
      <c r="F13" s="861">
        <f>B13/$C$6</f>
        <v>218.5185185185185</v>
      </c>
      <c r="G13" s="587" t="s">
        <v>1290</v>
      </c>
      <c r="H13" s="587">
        <v>0.75</v>
      </c>
      <c r="I13" s="772">
        <f>B13*H13/0.8</f>
        <v>110.625</v>
      </c>
      <c r="J13" s="587" t="s">
        <v>1290</v>
      </c>
      <c r="K13" s="861"/>
      <c r="M13" s="587">
        <v>2022</v>
      </c>
      <c r="N13" s="717">
        <v>118</v>
      </c>
      <c r="O13" s="717">
        <v>31</v>
      </c>
      <c r="P13" s="717">
        <f>N13-O13</f>
        <v>87</v>
      </c>
      <c r="Q13" s="717">
        <v>99.331999999999994</v>
      </c>
      <c r="R13" s="914">
        <f>P13*1000/Q13</f>
        <v>875.8506825594975</v>
      </c>
    </row>
    <row r="14" spans="1:19" s="771" customFormat="1">
      <c r="A14" s="716">
        <v>2030</v>
      </c>
      <c r="B14" s="717">
        <f>B13+(B15-B13)/28*8</f>
        <v>129.80000000000001</v>
      </c>
      <c r="C14" s="587" t="s">
        <v>1290</v>
      </c>
      <c r="D14" s="587"/>
      <c r="E14" s="587" t="s">
        <v>1682</v>
      </c>
      <c r="F14" s="861">
        <f>B14/$C$7</f>
        <v>199.69230769230771</v>
      </c>
      <c r="G14" s="587" t="s">
        <v>1290</v>
      </c>
      <c r="H14" s="587">
        <v>0.75</v>
      </c>
      <c r="I14" s="772">
        <f>B14*H14/0.8</f>
        <v>121.6875</v>
      </c>
      <c r="J14" s="587" t="s">
        <v>1290</v>
      </c>
      <c r="K14" s="861"/>
      <c r="M14" s="587">
        <v>2025</v>
      </c>
      <c r="N14" s="717">
        <v>125</v>
      </c>
      <c r="O14" s="717">
        <f>O13</f>
        <v>31</v>
      </c>
      <c r="P14" s="717"/>
      <c r="Q14" s="717">
        <v>101.3</v>
      </c>
      <c r="R14" s="914"/>
      <c r="S14" s="587"/>
    </row>
    <row r="15" spans="1:19" s="771" customFormat="1">
      <c r="A15" s="716">
        <v>2050</v>
      </c>
      <c r="B15" s="717">
        <f>B13*(1+35%)</f>
        <v>159.30000000000001</v>
      </c>
      <c r="C15" s="587" t="s">
        <v>1290</v>
      </c>
      <c r="D15" s="587" t="s">
        <v>1683</v>
      </c>
      <c r="E15" s="587"/>
      <c r="F15" s="861">
        <f>B15/$C$8</f>
        <v>212.4</v>
      </c>
      <c r="G15" s="587" t="s">
        <v>1290</v>
      </c>
      <c r="H15" s="587">
        <v>0.71</v>
      </c>
      <c r="I15" s="772">
        <f>B15*H15/0.8</f>
        <v>141.37875</v>
      </c>
      <c r="J15" s="587" t="s">
        <v>1290</v>
      </c>
      <c r="K15" s="772"/>
      <c r="M15" s="584">
        <v>2030</v>
      </c>
      <c r="N15" s="754">
        <f>Q15*R15/1000+O15</f>
        <v>93.404799999999994</v>
      </c>
      <c r="O15" s="754">
        <f>O14</f>
        <v>31</v>
      </c>
      <c r="P15" s="754">
        <f>Q15*R15/1000</f>
        <v>62.404799999999994</v>
      </c>
      <c r="Q15" s="754">
        <v>104.008</v>
      </c>
      <c r="R15" s="1020">
        <v>600</v>
      </c>
      <c r="S15" s="587"/>
    </row>
    <row r="16" spans="1:19" s="771" customFormat="1">
      <c r="A16" s="743"/>
      <c r="D16" s="836"/>
      <c r="I16" s="770"/>
      <c r="M16" s="584">
        <v>2050</v>
      </c>
      <c r="N16" s="754">
        <f>Q16*R16/1000+O16</f>
        <v>64.008399999999995</v>
      </c>
      <c r="O16" s="754">
        <v>20</v>
      </c>
      <c r="P16" s="754">
        <f>Q16*R16/1000</f>
        <v>44.008400000000002</v>
      </c>
      <c r="Q16" s="754">
        <v>110.021</v>
      </c>
      <c r="R16" s="1020">
        <v>400</v>
      </c>
    </row>
    <row r="17" spans="1:20" s="771" customFormat="1">
      <c r="A17" s="831"/>
      <c r="B17" s="832"/>
      <c r="C17" s="832"/>
      <c r="D17" s="844"/>
      <c r="E17" s="832"/>
      <c r="F17" s="832"/>
      <c r="G17" s="832"/>
      <c r="H17" s="832"/>
      <c r="I17" s="843"/>
      <c r="J17" s="832"/>
      <c r="K17" s="832"/>
      <c r="L17" s="832"/>
      <c r="M17" s="1021" t="s">
        <v>1684</v>
      </c>
      <c r="N17" s="1022">
        <f>POWER(N14/N13,1/3)-1</f>
        <v>1.9395397781351686E-2</v>
      </c>
      <c r="O17" s="1021"/>
      <c r="P17" s="1021"/>
      <c r="Q17" s="1021"/>
      <c r="R17" s="1023"/>
    </row>
    <row r="18" spans="1:20" s="771" customFormat="1">
      <c r="A18" s="716"/>
      <c r="B18" s="883">
        <v>2022</v>
      </c>
      <c r="C18" s="883"/>
      <c r="D18" s="860">
        <v>2030</v>
      </c>
      <c r="E18" s="587"/>
      <c r="F18" s="587"/>
      <c r="G18" s="587"/>
      <c r="H18" s="860">
        <v>2050</v>
      </c>
      <c r="I18" s="587"/>
      <c r="J18" s="587"/>
      <c r="K18" s="587"/>
      <c r="L18" s="587"/>
      <c r="O18" s="587"/>
      <c r="P18" s="587"/>
      <c r="Q18" s="587"/>
      <c r="R18" s="587"/>
    </row>
    <row r="19" spans="1:20" s="771" customFormat="1" ht="75">
      <c r="A19" s="716"/>
      <c r="B19" s="860" t="s">
        <v>1483</v>
      </c>
      <c r="C19" s="863" t="s">
        <v>1484</v>
      </c>
      <c r="D19" s="864" t="s">
        <v>1483</v>
      </c>
      <c r="E19" s="863" t="s">
        <v>1484</v>
      </c>
      <c r="F19" s="863" t="s">
        <v>1485</v>
      </c>
      <c r="G19" s="863" t="s">
        <v>1486</v>
      </c>
      <c r="H19" s="864" t="s">
        <v>1483</v>
      </c>
      <c r="I19" s="863" t="s">
        <v>1484</v>
      </c>
      <c r="J19" s="863" t="s">
        <v>1485</v>
      </c>
      <c r="K19" s="863" t="s">
        <v>1685</v>
      </c>
      <c r="L19" s="863" t="s">
        <v>1686</v>
      </c>
      <c r="M19" s="100"/>
      <c r="N19" s="652" t="s">
        <v>1489</v>
      </c>
      <c r="O19" s="653" t="s">
        <v>1490</v>
      </c>
      <c r="Q19" s="654" t="s">
        <v>1491</v>
      </c>
      <c r="R19" s="655" t="s">
        <v>1492</v>
      </c>
      <c r="S19" s="655" t="s">
        <v>1485</v>
      </c>
      <c r="T19" s="656" t="s">
        <v>1493</v>
      </c>
    </row>
    <row r="20" spans="1:20" s="771" customFormat="1">
      <c r="A20" s="834" t="s">
        <v>1494</v>
      </c>
      <c r="B20" s="835"/>
      <c r="C20" s="838"/>
      <c r="D20" s="839"/>
      <c r="E20" s="913">
        <f>'Cement Capacity-Vietnam'!B28</f>
        <v>30.421875</v>
      </c>
      <c r="F20" s="912">
        <f>S25*N20</f>
        <v>29.483426388888883</v>
      </c>
      <c r="G20" s="913">
        <f>F20*E20</f>
        <v>896.94111217447903</v>
      </c>
      <c r="H20" s="864"/>
      <c r="I20" s="913">
        <f>'Cement Capacity-Vietnam'!B30</f>
        <v>82.681125000000009</v>
      </c>
      <c r="J20" s="868">
        <f>F20*O20*T25</f>
        <v>29.188592124999996</v>
      </c>
      <c r="K20" s="913">
        <f>J20*I20</f>
        <v>2413.3456340611406</v>
      </c>
      <c r="L20" s="717">
        <f>G20+K20</f>
        <v>3310.2867462356198</v>
      </c>
      <c r="M20" s="100"/>
      <c r="N20" s="661">
        <v>1</v>
      </c>
      <c r="O20" s="662">
        <f>N20</f>
        <v>1</v>
      </c>
      <c r="Q20" s="22" t="s">
        <v>1495</v>
      </c>
      <c r="R20">
        <f>AVERAGE(4,5)</f>
        <v>4.5</v>
      </c>
      <c r="S20" s="663">
        <f>G59</f>
        <v>2.3299972222222221</v>
      </c>
      <c r="T20" s="649">
        <v>1</v>
      </c>
    </row>
    <row r="21" spans="1:20" s="771" customFormat="1">
      <c r="A21" s="862" t="s">
        <v>1496</v>
      </c>
      <c r="B21" s="860"/>
      <c r="C21" s="863"/>
      <c r="D21" s="864"/>
      <c r="E21" s="863"/>
      <c r="F21" s="863"/>
      <c r="G21" s="863"/>
      <c r="H21" s="864"/>
      <c r="I21" s="863"/>
      <c r="J21" s="863"/>
      <c r="K21" s="863"/>
      <c r="L21" s="863"/>
      <c r="M21" s="100"/>
      <c r="N21" s="661"/>
      <c r="O21" s="662"/>
      <c r="Q21" s="22" t="s">
        <v>1497</v>
      </c>
      <c r="R21">
        <f>AVERAGE(0.2, 0.5)</f>
        <v>0.35</v>
      </c>
      <c r="S21" s="663">
        <f>G60</f>
        <v>1.433844444444444</v>
      </c>
      <c r="T21" s="649">
        <v>1</v>
      </c>
    </row>
    <row r="22" spans="1:20" s="771" customFormat="1">
      <c r="A22" s="865" t="s">
        <v>1498</v>
      </c>
      <c r="B22" s="852">
        <v>0</v>
      </c>
      <c r="C22" s="866">
        <v>0</v>
      </c>
      <c r="D22" s="852">
        <v>0.1</v>
      </c>
      <c r="E22" s="867">
        <f>'Cement Capacity-Vietnam'!B39</f>
        <v>24.337500000000002</v>
      </c>
      <c r="F22" s="868">
        <f>SUM(E43:E45)*N22</f>
        <v>10.399999999999999</v>
      </c>
      <c r="G22" s="867">
        <f>(E22-C22)*F22</f>
        <v>253.10999999999999</v>
      </c>
      <c r="H22" s="852">
        <v>0.25</v>
      </c>
      <c r="I22" s="867">
        <f>'Cement Capacity-Vietnam'!B40</f>
        <v>67.558687499999991</v>
      </c>
      <c r="J22" s="869">
        <f>SUM(E43:E45)*O22</f>
        <v>10.399999999999999</v>
      </c>
      <c r="K22" s="870">
        <f>J22*I22</f>
        <v>702.61034999999981</v>
      </c>
      <c r="L22" s="867">
        <f>G22+K22</f>
        <v>955.72034999999983</v>
      </c>
      <c r="M22" s="100"/>
      <c r="N22" s="658">
        <v>1</v>
      </c>
      <c r="O22" s="668">
        <f>N22</f>
        <v>1</v>
      </c>
      <c r="Q22" s="22" t="s">
        <v>1499</v>
      </c>
      <c r="R22">
        <f>AVERAGE(2,4)</f>
        <v>3</v>
      </c>
      <c r="S22" s="663">
        <f>G62</f>
        <v>5.9146083333333319</v>
      </c>
      <c r="T22" s="649">
        <v>1</v>
      </c>
    </row>
    <row r="23" spans="1:20" s="771" customFormat="1">
      <c r="A23" s="865" t="s">
        <v>1500</v>
      </c>
      <c r="B23" s="852">
        <f>B22</f>
        <v>0</v>
      </c>
      <c r="C23" s="866">
        <f>C22</f>
        <v>0</v>
      </c>
      <c r="D23" s="852">
        <v>0.1</v>
      </c>
      <c r="E23" s="867">
        <f>E22</f>
        <v>24.337500000000002</v>
      </c>
      <c r="F23" s="871">
        <f>F22</f>
        <v>10.399999999999999</v>
      </c>
      <c r="G23" s="867">
        <f>(E23-C23)*F23</f>
        <v>253.10999999999999</v>
      </c>
      <c r="H23" s="852">
        <v>0.25</v>
      </c>
      <c r="I23" s="867">
        <f>I22</f>
        <v>67.558687499999991</v>
      </c>
      <c r="J23" s="871">
        <f>J22</f>
        <v>10.399999999999999</v>
      </c>
      <c r="K23" s="870">
        <f>J23*I23</f>
        <v>702.61034999999981</v>
      </c>
      <c r="L23" s="867">
        <f>G23+K23</f>
        <v>955.72034999999983</v>
      </c>
      <c r="M23" s="100"/>
      <c r="N23" s="658">
        <f>N22</f>
        <v>1</v>
      </c>
      <c r="O23" s="668">
        <f>N23</f>
        <v>1</v>
      </c>
      <c r="Q23" s="587" t="s">
        <v>1650</v>
      </c>
      <c r="R23" s="587">
        <v>1.8</v>
      </c>
      <c r="S23" s="663">
        <f>G63</f>
        <v>17.923055555555553</v>
      </c>
      <c r="T23" s="649">
        <v>0.95</v>
      </c>
    </row>
    <row r="24" spans="1:20" s="771" customFormat="1">
      <c r="A24" s="859" t="s">
        <v>1502</v>
      </c>
      <c r="B24" s="587"/>
      <c r="C24" s="587"/>
      <c r="D24" s="587"/>
      <c r="E24" s="772"/>
      <c r="F24" s="587"/>
      <c r="G24" s="587"/>
      <c r="H24" s="587"/>
      <c r="I24" s="772"/>
      <c r="J24" s="872"/>
      <c r="K24" s="772"/>
      <c r="L24" s="587"/>
      <c r="M24"/>
      <c r="N24" s="663"/>
      <c r="O24" s="670"/>
      <c r="Q24" s="22" t="s">
        <v>1501</v>
      </c>
      <c r="R24">
        <f>AVERAGE(1,3)</f>
        <v>2</v>
      </c>
      <c r="S24" s="663">
        <f>G64</f>
        <v>1.881920833333333</v>
      </c>
      <c r="T24" s="649">
        <v>1</v>
      </c>
    </row>
    <row r="25" spans="1:20" s="771" customFormat="1">
      <c r="A25" s="865" t="s">
        <v>1504</v>
      </c>
      <c r="B25" s="852">
        <v>0.02</v>
      </c>
      <c r="C25" s="866">
        <f>B25*$I$13</f>
        <v>2.2124999999999999</v>
      </c>
      <c r="D25" s="852">
        <v>0.15</v>
      </c>
      <c r="E25" s="866">
        <f>D25*$I$14</f>
        <v>18.253125000000001</v>
      </c>
      <c r="F25" s="872">
        <f>SUM(E48+E51)*N25</f>
        <v>7.7333333333333334</v>
      </c>
      <c r="G25" s="717">
        <f>(E25-C25)*F25</f>
        <v>124.04750000000001</v>
      </c>
      <c r="H25" s="873">
        <v>0.3</v>
      </c>
      <c r="I25" s="866">
        <f>H25*$I$15</f>
        <v>42.413624999999996</v>
      </c>
      <c r="J25" s="872">
        <f>SUM(E48+E51)*O25</f>
        <v>7.7333333333333334</v>
      </c>
      <c r="K25" s="717">
        <f>J25*(I25-E25)</f>
        <v>186.84119999999996</v>
      </c>
      <c r="L25" s="717">
        <f>G25+K25</f>
        <v>310.88869999999997</v>
      </c>
      <c r="M25" s="600"/>
      <c r="N25" s="663">
        <v>1</v>
      </c>
      <c r="O25" s="670">
        <f>N25</f>
        <v>1</v>
      </c>
      <c r="Q25" s="645" t="s">
        <v>1503</v>
      </c>
      <c r="R25" s="671">
        <f>SUM(R20:R24)</f>
        <v>11.65</v>
      </c>
      <c r="S25" s="671">
        <f>SUM(S20:S24)</f>
        <v>29.483426388888883</v>
      </c>
      <c r="T25" s="649">
        <f>AVERAGE(T20:T24)</f>
        <v>0.99</v>
      </c>
    </row>
    <row r="26" spans="1:20" s="771" customFormat="1">
      <c r="A26" s="865" t="s">
        <v>1506</v>
      </c>
      <c r="B26" s="852">
        <v>0.02</v>
      </c>
      <c r="C26" s="866">
        <v>0</v>
      </c>
      <c r="D26" s="852">
        <v>0.05</v>
      </c>
      <c r="E26" s="866">
        <f>D26*$I$14</f>
        <v>6.0843750000000005</v>
      </c>
      <c r="F26" s="872">
        <f>AVERAGE(E47)*N26</f>
        <v>6.666666666666667</v>
      </c>
      <c r="G26" s="717">
        <f>(E26-C26)*F26</f>
        <v>40.562500000000007</v>
      </c>
      <c r="H26" s="873">
        <v>0.1</v>
      </c>
      <c r="I26" s="866">
        <f>H26*$I$15</f>
        <v>14.137875000000001</v>
      </c>
      <c r="J26" s="872">
        <f>AVERAGE(E47)*O26</f>
        <v>6.666666666666667</v>
      </c>
      <c r="K26" s="717">
        <f>J26*(I26-E26)</f>
        <v>53.69</v>
      </c>
      <c r="L26" s="717">
        <f>G26+K26</f>
        <v>94.252499999999998</v>
      </c>
      <c r="M26" s="600"/>
      <c r="N26" s="663">
        <f>N25</f>
        <v>1</v>
      </c>
      <c r="O26" s="670">
        <f>N26</f>
        <v>1</v>
      </c>
      <c r="Q26" s="672" t="s">
        <v>1600</v>
      </c>
      <c r="R26" s="673"/>
      <c r="S26" s="673"/>
      <c r="T26" s="605"/>
    </row>
    <row r="27" spans="1:20" s="771" customFormat="1">
      <c r="A27" s="865" t="s">
        <v>1507</v>
      </c>
      <c r="B27" s="852">
        <v>0</v>
      </c>
      <c r="C27" s="866">
        <v>0</v>
      </c>
      <c r="D27" s="852">
        <v>3.7499999999999999E-2</v>
      </c>
      <c r="E27" s="866">
        <f>D27*$I$14</f>
        <v>4.5632812500000002</v>
      </c>
      <c r="F27" s="769">
        <f>G58*N27</f>
        <v>2.4375355555555553</v>
      </c>
      <c r="G27" s="717">
        <f>(E27-C27)*F27</f>
        <v>11.123160296875</v>
      </c>
      <c r="H27" s="873">
        <v>0.15</v>
      </c>
      <c r="I27" s="866">
        <f>H27*$I$15</f>
        <v>21.206812499999998</v>
      </c>
      <c r="J27" s="872">
        <f>G58*O27</f>
        <v>4.8750711111111107</v>
      </c>
      <c r="K27" s="717">
        <f>J27*(I27-E27)</f>
        <v>81.138398383749987</v>
      </c>
      <c r="L27" s="717">
        <f>G27+K27</f>
        <v>92.261558680624987</v>
      </c>
      <c r="M27"/>
      <c r="N27" s="663">
        <v>1</v>
      </c>
      <c r="O27" s="946">
        <v>2</v>
      </c>
    </row>
    <row r="28" spans="1:20" s="771" customFormat="1">
      <c r="A28" s="865" t="s">
        <v>1508</v>
      </c>
      <c r="B28" s="852">
        <v>0</v>
      </c>
      <c r="C28" s="866">
        <v>0</v>
      </c>
      <c r="D28" s="852">
        <v>3.5000000000000003E-2</v>
      </c>
      <c r="E28" s="866">
        <f>D28*$I$14</f>
        <v>4.2590625000000006</v>
      </c>
      <c r="F28" s="874"/>
      <c r="G28" s="874"/>
      <c r="H28" s="873">
        <v>0.1</v>
      </c>
      <c r="I28" s="866">
        <f>H28*$I$15</f>
        <v>14.137875000000001</v>
      </c>
      <c r="J28" s="875"/>
      <c r="K28" s="876"/>
      <c r="L28" s="874"/>
      <c r="M28"/>
      <c r="N28" s="663">
        <v>1</v>
      </c>
      <c r="O28" s="670">
        <f>N28</f>
        <v>1</v>
      </c>
    </row>
    <row r="29" spans="1:20" s="771" customFormat="1">
      <c r="A29" s="865" t="s">
        <v>1509</v>
      </c>
      <c r="B29" s="852"/>
      <c r="C29" s="866"/>
      <c r="D29" s="852"/>
      <c r="E29" s="717"/>
      <c r="F29" s="587"/>
      <c r="G29" s="772">
        <f>C81</f>
        <v>215.94606164383561</v>
      </c>
      <c r="H29" s="877"/>
      <c r="I29" s="867">
        <f>D81</f>
        <v>522.11542107721039</v>
      </c>
      <c r="J29" s="871"/>
      <c r="K29" s="772">
        <f>I29-G29</f>
        <v>306.16935943337478</v>
      </c>
      <c r="L29" s="717">
        <f>G29+K29</f>
        <v>522.11542107721039</v>
      </c>
      <c r="M29" s="584"/>
      <c r="N29" s="758"/>
      <c r="O29" s="759"/>
    </row>
    <row r="30" spans="1:20" s="771" customFormat="1">
      <c r="A30" s="865" t="s">
        <v>1510</v>
      </c>
      <c r="B30" s="852"/>
      <c r="C30" s="866"/>
      <c r="D30" s="852"/>
      <c r="E30" s="717"/>
      <c r="F30" s="587"/>
      <c r="G30" s="772">
        <f>C82</f>
        <v>719.82020547945194</v>
      </c>
      <c r="H30" s="877"/>
      <c r="I30" s="867">
        <f>D82</f>
        <v>1740.384736924035</v>
      </c>
      <c r="J30" s="871"/>
      <c r="K30" s="772">
        <f>I30-G30</f>
        <v>1020.5645314445831</v>
      </c>
      <c r="L30" s="717">
        <f>G30+K30</f>
        <v>1740.384736924035</v>
      </c>
      <c r="M30"/>
      <c r="N30" s="663"/>
      <c r="O30" s="670"/>
    </row>
    <row r="31" spans="1:20" s="771" customFormat="1">
      <c r="A31" s="878" t="s">
        <v>1511</v>
      </c>
      <c r="B31" s="879">
        <v>0</v>
      </c>
      <c r="C31" s="880">
        <v>0</v>
      </c>
      <c r="D31" s="879">
        <v>0.02</v>
      </c>
      <c r="E31" s="856">
        <f>D31*I14</f>
        <v>2.4337499999999999</v>
      </c>
      <c r="F31" s="881">
        <f>E52*N31</f>
        <v>366.66666666666669</v>
      </c>
      <c r="G31" s="882">
        <f>(E31-C31)*F31</f>
        <v>892.375</v>
      </c>
      <c r="H31" s="879">
        <v>0.5</v>
      </c>
      <c r="I31" s="882">
        <f>H31*F15</f>
        <v>106.2</v>
      </c>
      <c r="J31" s="882">
        <f>E52*O31</f>
        <v>330</v>
      </c>
      <c r="K31" s="882">
        <f>J31*(I31-E31)</f>
        <v>34242.862500000003</v>
      </c>
      <c r="L31" s="882">
        <f>G31+K31</f>
        <v>35135.237500000003</v>
      </c>
      <c r="M31" s="523"/>
      <c r="N31" s="709">
        <v>1</v>
      </c>
      <c r="O31" s="735">
        <v>0.9</v>
      </c>
    </row>
    <row r="32" spans="1:20" s="771" customFormat="1">
      <c r="A32" s="840"/>
      <c r="B32" s="731"/>
      <c r="C32" s="845"/>
      <c r="D32" s="731"/>
      <c r="E32" s="836"/>
      <c r="F32" s="770"/>
      <c r="G32" s="836"/>
      <c r="H32" s="731"/>
      <c r="I32" s="836"/>
      <c r="J32" s="837"/>
      <c r="K32" s="836"/>
      <c r="L32" s="836"/>
    </row>
    <row r="33" spans="1:12" s="771" customFormat="1">
      <c r="A33" s="841"/>
      <c r="B33" s="731"/>
      <c r="C33" s="845"/>
      <c r="D33" s="731"/>
      <c r="E33" s="836"/>
      <c r="F33" s="770"/>
      <c r="G33" s="836"/>
      <c r="H33" s="731"/>
      <c r="I33" s="836"/>
      <c r="J33" s="837"/>
      <c r="K33" s="842"/>
      <c r="L33" s="836"/>
    </row>
    <row r="34" spans="1:12" s="771" customFormat="1">
      <c r="A34" s="845"/>
      <c r="G34" s="846"/>
      <c r="H34" s="731"/>
      <c r="I34" s="846"/>
      <c r="J34" s="837"/>
      <c r="K34" s="846"/>
      <c r="L34" s="846"/>
    </row>
    <row r="35" spans="1:12" s="771" customFormat="1" ht="75">
      <c r="A35" s="884" t="s">
        <v>1515</v>
      </c>
      <c r="B35" s="885" t="s">
        <v>1516</v>
      </c>
      <c r="C35" s="885" t="s">
        <v>1517</v>
      </c>
      <c r="D35" s="885" t="s">
        <v>1518</v>
      </c>
      <c r="E35" s="886" t="s">
        <v>1519</v>
      </c>
      <c r="F35" s="886" t="s">
        <v>1687</v>
      </c>
      <c r="G35" s="887" t="s">
        <v>1521</v>
      </c>
      <c r="H35" s="887" t="s">
        <v>1522</v>
      </c>
      <c r="I35" s="887" t="s">
        <v>1688</v>
      </c>
      <c r="J35" s="888" t="s">
        <v>1689</v>
      </c>
      <c r="K35" s="582"/>
      <c r="L35" s="846"/>
    </row>
    <row r="36" spans="1:12" s="771" customFormat="1">
      <c r="A36" s="889" t="s">
        <v>1690</v>
      </c>
      <c r="B36" s="879">
        <v>0.1</v>
      </c>
      <c r="C36" s="879">
        <f>D27</f>
        <v>3.7499999999999999E-2</v>
      </c>
      <c r="D36" s="879">
        <f>H27</f>
        <v>0.15</v>
      </c>
      <c r="E36" s="856">
        <f>C36*I14</f>
        <v>4.5632812500000002</v>
      </c>
      <c r="F36" s="856">
        <f>D36*I15</f>
        <v>21.206812499999998</v>
      </c>
      <c r="G36" s="856">
        <v>2.8000000000000001E-2</v>
      </c>
      <c r="H36" s="856">
        <f>G36*E36*0.6</f>
        <v>7.6663124999999999E-2</v>
      </c>
      <c r="I36" s="856">
        <f>G36*F36*0.6</f>
        <v>0.35627444999999996</v>
      </c>
      <c r="J36" s="890">
        <f>I36-H36</f>
        <v>0.27961132499999997</v>
      </c>
      <c r="K36" s="582"/>
      <c r="L36" s="846"/>
    </row>
    <row r="37" spans="1:12" s="771" customFormat="1">
      <c r="A37" s="587"/>
      <c r="B37" s="587"/>
      <c r="C37" s="587"/>
      <c r="D37" s="587"/>
      <c r="E37" s="587"/>
      <c r="F37" s="587"/>
      <c r="G37" s="587"/>
      <c r="H37" s="587"/>
      <c r="I37" s="587"/>
      <c r="J37" s="587"/>
      <c r="K37" s="587"/>
    </row>
    <row r="38" spans="1:12" s="771" customFormat="1">
      <c r="A38" s="858" t="s">
        <v>1527</v>
      </c>
      <c r="B38" s="885"/>
      <c r="C38" s="885"/>
      <c r="D38" s="850"/>
      <c r="E38" s="850"/>
      <c r="F38" s="850"/>
      <c r="G38" s="850"/>
      <c r="H38" s="850"/>
      <c r="I38" s="850"/>
      <c r="J38" s="891"/>
      <c r="K38" s="892"/>
      <c r="L38" s="775"/>
    </row>
    <row r="39" spans="1:12" s="771" customFormat="1">
      <c r="A39" s="716"/>
      <c r="B39" s="893" t="s">
        <v>595</v>
      </c>
      <c r="C39" s="893" t="s">
        <v>116</v>
      </c>
      <c r="D39" s="587"/>
      <c r="E39" s="893" t="s">
        <v>595</v>
      </c>
      <c r="F39" s="893" t="s">
        <v>116</v>
      </c>
      <c r="G39" s="860" t="s">
        <v>612</v>
      </c>
      <c r="H39" s="587"/>
      <c r="I39" s="587"/>
      <c r="J39" s="873"/>
      <c r="K39" s="894"/>
      <c r="L39" s="775"/>
    </row>
    <row r="40" spans="1:12" s="771" customFormat="1">
      <c r="A40" s="716" t="s">
        <v>1528</v>
      </c>
      <c r="B40" s="866">
        <v>1.5</v>
      </c>
      <c r="C40" s="895" t="s">
        <v>1529</v>
      </c>
      <c r="D40" s="895" t="s">
        <v>1477</v>
      </c>
      <c r="E40" s="861">
        <f>B40*B41</f>
        <v>1.5</v>
      </c>
      <c r="F40" s="587" t="s">
        <v>1530</v>
      </c>
      <c r="G40" s="717"/>
      <c r="H40" s="587"/>
      <c r="I40" s="587"/>
      <c r="J40" s="873"/>
      <c r="K40" s="894"/>
      <c r="L40" s="775"/>
    </row>
    <row r="41" spans="1:12" s="771" customFormat="1">
      <c r="A41" s="716" t="s">
        <v>1531</v>
      </c>
      <c r="B41" s="873">
        <v>1</v>
      </c>
      <c r="C41" s="895"/>
      <c r="D41" s="860"/>
      <c r="E41" s="860"/>
      <c r="F41" s="860"/>
      <c r="G41" s="860"/>
      <c r="H41" s="587"/>
      <c r="I41" s="587"/>
      <c r="J41" s="873"/>
      <c r="K41" s="894"/>
      <c r="L41" s="775"/>
    </row>
    <row r="42" spans="1:12" s="771" customFormat="1">
      <c r="A42" s="859" t="s">
        <v>1496</v>
      </c>
      <c r="B42" s="873"/>
      <c r="C42" s="895"/>
      <c r="D42" s="860"/>
      <c r="E42" s="860"/>
      <c r="F42" s="860"/>
      <c r="G42" s="860"/>
      <c r="H42" s="587"/>
      <c r="I42" s="587"/>
      <c r="J42" s="873"/>
      <c r="K42" s="894"/>
      <c r="L42" s="775"/>
    </row>
    <row r="43" spans="1:12" s="771" customFormat="1">
      <c r="A43" s="865" t="s">
        <v>1532</v>
      </c>
      <c r="B43" s="717">
        <v>6.6</v>
      </c>
      <c r="C43" s="895" t="s">
        <v>1533</v>
      </c>
      <c r="D43" s="860"/>
      <c r="E43" s="866">
        <f>B43/$B$40</f>
        <v>4.3999999999999995</v>
      </c>
      <c r="F43" s="587" t="s">
        <v>1334</v>
      </c>
      <c r="G43" s="895" t="s">
        <v>1534</v>
      </c>
      <c r="H43" s="587"/>
      <c r="I43" s="587"/>
      <c r="J43" s="873"/>
      <c r="K43" s="894"/>
      <c r="L43" s="775"/>
    </row>
    <row r="44" spans="1:12" s="771" customFormat="1">
      <c r="A44" s="865" t="s">
        <v>1535</v>
      </c>
      <c r="B44" s="717">
        <v>8</v>
      </c>
      <c r="C44" s="895" t="s">
        <v>1533</v>
      </c>
      <c r="D44" s="860"/>
      <c r="E44" s="866">
        <f>B44/$B$40</f>
        <v>5.333333333333333</v>
      </c>
      <c r="F44" s="587" t="s">
        <v>1334</v>
      </c>
      <c r="G44" s="895" t="s">
        <v>1534</v>
      </c>
      <c r="H44" s="587"/>
      <c r="I44" s="587"/>
      <c r="J44" s="873"/>
      <c r="K44" s="894"/>
      <c r="L44" s="775"/>
    </row>
    <row r="45" spans="1:12" s="771" customFormat="1">
      <c r="A45" s="865" t="s">
        <v>1536</v>
      </c>
      <c r="B45" s="717">
        <v>1</v>
      </c>
      <c r="C45" s="895" t="s">
        <v>1533</v>
      </c>
      <c r="D45" s="860"/>
      <c r="E45" s="866">
        <f>B45/$B$40</f>
        <v>0.66666666666666663</v>
      </c>
      <c r="F45" s="587" t="s">
        <v>1334</v>
      </c>
      <c r="G45" s="895" t="s">
        <v>1534</v>
      </c>
      <c r="H45" s="587"/>
      <c r="I45" s="587"/>
      <c r="J45" s="873"/>
      <c r="K45" s="894"/>
      <c r="L45" s="775"/>
    </row>
    <row r="46" spans="1:12" s="771" customFormat="1">
      <c r="A46" s="859" t="s">
        <v>1537</v>
      </c>
      <c r="B46" s="860"/>
      <c r="C46" s="860"/>
      <c r="D46" s="860" t="s">
        <v>1537</v>
      </c>
      <c r="E46" s="587"/>
      <c r="F46" s="587"/>
      <c r="G46" s="587"/>
      <c r="H46" s="587"/>
      <c r="I46" s="587"/>
      <c r="J46" s="873"/>
      <c r="K46" s="894"/>
      <c r="L46" s="775"/>
    </row>
    <row r="47" spans="1:12" s="771" customFormat="1">
      <c r="A47" s="865" t="s">
        <v>1538</v>
      </c>
      <c r="B47" s="717">
        <v>10</v>
      </c>
      <c r="C47" s="895" t="s">
        <v>1533</v>
      </c>
      <c r="D47" s="896" t="s">
        <v>1538</v>
      </c>
      <c r="E47" s="866">
        <f t="shared" ref="E47:E51" si="0">B47/$B$40</f>
        <v>6.666666666666667</v>
      </c>
      <c r="F47" s="587" t="s">
        <v>1334</v>
      </c>
      <c r="G47" s="895" t="s">
        <v>1534</v>
      </c>
      <c r="H47" s="587"/>
      <c r="I47" s="587"/>
      <c r="J47" s="873"/>
      <c r="K47" s="894"/>
      <c r="L47" s="775"/>
    </row>
    <row r="48" spans="1:12" s="771" customFormat="1">
      <c r="A48" s="865" t="s">
        <v>1539</v>
      </c>
      <c r="B48" s="717">
        <v>10</v>
      </c>
      <c r="C48" s="895" t="s">
        <v>1533</v>
      </c>
      <c r="D48" s="896" t="s">
        <v>1539</v>
      </c>
      <c r="E48" s="866">
        <f t="shared" si="0"/>
        <v>6.666666666666667</v>
      </c>
      <c r="F48" s="587" t="s">
        <v>1334</v>
      </c>
      <c r="G48" s="895" t="s">
        <v>1534</v>
      </c>
      <c r="H48" s="587"/>
      <c r="I48" s="587"/>
      <c r="J48" s="873"/>
      <c r="K48" s="894"/>
      <c r="L48" s="775"/>
    </row>
    <row r="49" spans="1:12" s="771" customFormat="1">
      <c r="A49" s="865" t="s">
        <v>1541</v>
      </c>
      <c r="B49" s="717">
        <v>1</v>
      </c>
      <c r="C49" s="895" t="s">
        <v>1533</v>
      </c>
      <c r="D49" s="896" t="s">
        <v>1541</v>
      </c>
      <c r="E49" s="866">
        <f t="shared" si="0"/>
        <v>0.66666666666666663</v>
      </c>
      <c r="F49" s="587" t="s">
        <v>1334</v>
      </c>
      <c r="G49" s="895" t="s">
        <v>1534</v>
      </c>
      <c r="H49" s="587"/>
      <c r="I49" s="587"/>
      <c r="J49" s="873"/>
      <c r="K49" s="894"/>
      <c r="L49" s="775"/>
    </row>
    <row r="50" spans="1:12" s="771" customFormat="1">
      <c r="A50" s="865" t="s">
        <v>1542</v>
      </c>
      <c r="B50" s="717">
        <v>1.3</v>
      </c>
      <c r="C50" s="895" t="s">
        <v>1533</v>
      </c>
      <c r="D50" s="896" t="s">
        <v>1542</v>
      </c>
      <c r="E50" s="866">
        <f t="shared" si="0"/>
        <v>0.8666666666666667</v>
      </c>
      <c r="F50" s="587" t="s">
        <v>1334</v>
      </c>
      <c r="G50" s="895" t="s">
        <v>1534</v>
      </c>
      <c r="H50" s="587"/>
      <c r="I50" s="587"/>
      <c r="J50" s="587"/>
      <c r="K50" s="720"/>
    </row>
    <row r="51" spans="1:12" s="771" customFormat="1">
      <c r="A51" s="865" t="s">
        <v>1543</v>
      </c>
      <c r="B51" s="866">
        <v>1.6</v>
      </c>
      <c r="C51" s="895" t="s">
        <v>1533</v>
      </c>
      <c r="D51" s="896" t="s">
        <v>1543</v>
      </c>
      <c r="E51" s="866">
        <f t="shared" si="0"/>
        <v>1.0666666666666667</v>
      </c>
      <c r="F51" s="587" t="s">
        <v>1334</v>
      </c>
      <c r="G51" s="895" t="s">
        <v>1534</v>
      </c>
      <c r="H51" s="587"/>
      <c r="I51" s="587"/>
      <c r="J51" s="587"/>
      <c r="K51" s="720"/>
    </row>
    <row r="52" spans="1:12" s="771" customFormat="1">
      <c r="A52" s="862" t="s">
        <v>1514</v>
      </c>
      <c r="B52" s="717">
        <v>550</v>
      </c>
      <c r="C52" s="895" t="s">
        <v>1533</v>
      </c>
      <c r="D52" s="897" t="s">
        <v>1514</v>
      </c>
      <c r="E52" s="717">
        <f>B52/$B$40</f>
        <v>366.66666666666669</v>
      </c>
      <c r="F52" s="587" t="s">
        <v>1334</v>
      </c>
      <c r="G52" s="895" t="s">
        <v>1534</v>
      </c>
      <c r="H52" s="587"/>
      <c r="I52" s="587"/>
      <c r="J52" s="587"/>
      <c r="K52" s="720"/>
    </row>
    <row r="53" spans="1:12" s="771" customFormat="1">
      <c r="A53" s="716"/>
      <c r="B53" s="587"/>
      <c r="C53" s="587"/>
      <c r="D53" s="587"/>
      <c r="E53" s="873"/>
      <c r="F53" s="873"/>
      <c r="G53" s="873"/>
      <c r="H53" s="587"/>
      <c r="I53" s="587"/>
      <c r="J53" s="587"/>
      <c r="K53" s="720"/>
    </row>
    <row r="54" spans="1:12" s="771" customFormat="1">
      <c r="A54" s="862" t="s">
        <v>1544</v>
      </c>
      <c r="B54" s="587"/>
      <c r="C54" s="587"/>
      <c r="D54" s="587"/>
      <c r="E54" s="587"/>
      <c r="F54" s="587"/>
      <c r="G54" s="587"/>
      <c r="H54" s="587"/>
      <c r="I54" s="587"/>
      <c r="J54" s="587"/>
      <c r="K54" s="720"/>
    </row>
    <row r="55" spans="1:12" s="771" customFormat="1">
      <c r="A55" s="716"/>
      <c r="B55" s="860" t="s">
        <v>595</v>
      </c>
      <c r="C55" s="860" t="s">
        <v>116</v>
      </c>
      <c r="D55" s="860"/>
      <c r="E55" s="860"/>
      <c r="F55" s="860"/>
      <c r="G55" s="860"/>
      <c r="H55" s="860"/>
      <c r="I55" s="860"/>
      <c r="J55" s="587"/>
      <c r="K55" s="720"/>
    </row>
    <row r="56" spans="1:12" s="771" customFormat="1">
      <c r="A56" s="716" t="s">
        <v>1470</v>
      </c>
      <c r="B56" s="587">
        <v>6000</v>
      </c>
      <c r="C56" s="587" t="s">
        <v>1471</v>
      </c>
      <c r="D56" s="587" t="s">
        <v>1470</v>
      </c>
      <c r="E56" s="717">
        <f>B56*300</f>
        <v>1800000</v>
      </c>
      <c r="F56" s="587" t="s">
        <v>1545</v>
      </c>
      <c r="G56" s="717" t="s">
        <v>1301</v>
      </c>
      <c r="H56" s="587"/>
      <c r="I56" s="587"/>
      <c r="J56" s="587"/>
      <c r="K56" s="720"/>
    </row>
    <row r="57" spans="1:12" s="771" customFormat="1">
      <c r="A57" s="859" t="s">
        <v>1546</v>
      </c>
      <c r="B57" s="860" t="s">
        <v>1547</v>
      </c>
      <c r="C57" s="860" t="s">
        <v>1548</v>
      </c>
      <c r="D57" s="893" t="s">
        <v>116</v>
      </c>
      <c r="E57" s="893" t="s">
        <v>612</v>
      </c>
      <c r="F57" s="893" t="s">
        <v>505</v>
      </c>
      <c r="G57" s="898" t="s">
        <v>595</v>
      </c>
      <c r="H57" s="893" t="s">
        <v>116</v>
      </c>
      <c r="I57" s="893" t="s">
        <v>612</v>
      </c>
      <c r="J57" s="587"/>
      <c r="K57" s="720"/>
    </row>
    <row r="58" spans="1:12" s="771" customFormat="1">
      <c r="A58" s="716" t="s">
        <v>1549</v>
      </c>
      <c r="B58" s="587">
        <v>2.2999999999999998</v>
      </c>
      <c r="C58" s="587">
        <v>4.5</v>
      </c>
      <c r="D58" s="717" t="s">
        <v>1691</v>
      </c>
      <c r="E58" s="717" t="s">
        <v>1551</v>
      </c>
      <c r="F58" s="717" t="s">
        <v>1552</v>
      </c>
      <c r="G58" s="872">
        <f t="shared" ref="G58:G64" si="1">AVERAGE(B58:C58)*10^6/$E$56*$D$67*$D$68</f>
        <v>2.4375355555555553</v>
      </c>
      <c r="H58" s="587" t="s">
        <v>1334</v>
      </c>
      <c r="I58" s="717" t="s">
        <v>1553</v>
      </c>
      <c r="J58" s="587"/>
      <c r="K58" s="720"/>
    </row>
    <row r="59" spans="1:12" s="771" customFormat="1">
      <c r="A59" s="716" t="s">
        <v>1554</v>
      </c>
      <c r="B59" s="587">
        <f>5/2</f>
        <v>2.5</v>
      </c>
      <c r="C59" s="587">
        <f>8/2</f>
        <v>4</v>
      </c>
      <c r="D59" s="717" t="s">
        <v>1691</v>
      </c>
      <c r="E59" s="717" t="s">
        <v>1551</v>
      </c>
      <c r="F59" s="717" t="s">
        <v>1555</v>
      </c>
      <c r="G59" s="872">
        <f t="shared" si="1"/>
        <v>2.3299972222222221</v>
      </c>
      <c r="H59" s="587" t="s">
        <v>1334</v>
      </c>
      <c r="I59" s="717" t="s">
        <v>1553</v>
      </c>
      <c r="J59" s="587"/>
      <c r="K59" s="720"/>
    </row>
    <row r="60" spans="1:12" s="771" customFormat="1">
      <c r="A60" s="716" t="s">
        <v>1556</v>
      </c>
      <c r="B60" s="587">
        <v>1</v>
      </c>
      <c r="C60" s="587">
        <v>3</v>
      </c>
      <c r="D60" s="717" t="s">
        <v>1691</v>
      </c>
      <c r="E60" s="717" t="s">
        <v>1551</v>
      </c>
      <c r="F60" s="717" t="s">
        <v>1557</v>
      </c>
      <c r="G60" s="872">
        <f t="shared" si="1"/>
        <v>1.433844444444444</v>
      </c>
      <c r="H60" s="587" t="s">
        <v>1334</v>
      </c>
      <c r="I60" s="717" t="s">
        <v>1553</v>
      </c>
      <c r="J60" s="587"/>
      <c r="K60" s="720"/>
    </row>
    <row r="61" spans="1:12" s="771" customFormat="1">
      <c r="A61" s="716" t="s">
        <v>1558</v>
      </c>
      <c r="B61" s="587">
        <v>15</v>
      </c>
      <c r="C61" s="587">
        <v>20</v>
      </c>
      <c r="D61" s="717" t="s">
        <v>1691</v>
      </c>
      <c r="E61" s="717" t="s">
        <v>1551</v>
      </c>
      <c r="F61" s="717" t="s">
        <v>1559</v>
      </c>
      <c r="G61" s="872">
        <f t="shared" si="1"/>
        <v>12.546138888888885</v>
      </c>
      <c r="H61" s="587" t="s">
        <v>1334</v>
      </c>
      <c r="I61" s="717" t="s">
        <v>1553</v>
      </c>
      <c r="J61" s="899"/>
      <c r="K61" s="900"/>
      <c r="L61" s="847"/>
    </row>
    <row r="62" spans="1:12" s="771" customFormat="1">
      <c r="A62" s="716" t="s">
        <v>1499</v>
      </c>
      <c r="B62" s="587">
        <v>5.5</v>
      </c>
      <c r="C62" s="587">
        <v>11</v>
      </c>
      <c r="D62" s="717" t="s">
        <v>1691</v>
      </c>
      <c r="E62" s="717" t="s">
        <v>1551</v>
      </c>
      <c r="F62" s="717" t="s">
        <v>1560</v>
      </c>
      <c r="G62" s="872">
        <f t="shared" si="1"/>
        <v>5.9146083333333319</v>
      </c>
      <c r="H62" s="587" t="s">
        <v>1334</v>
      </c>
      <c r="I62" s="717" t="s">
        <v>1553</v>
      </c>
      <c r="J62" s="899"/>
      <c r="K62" s="900"/>
      <c r="L62" s="847"/>
    </row>
    <row r="63" spans="1:12" s="771" customFormat="1">
      <c r="A63" s="22" t="s">
        <v>1650</v>
      </c>
      <c r="B63">
        <v>20</v>
      </c>
      <c r="C63">
        <v>30</v>
      </c>
      <c r="D63" s="591" t="s">
        <v>1550</v>
      </c>
      <c r="E63" s="591" t="s">
        <v>1551</v>
      </c>
      <c r="F63" s="591" t="s">
        <v>1560</v>
      </c>
      <c r="G63" s="663">
        <f t="shared" si="1"/>
        <v>17.923055555555553</v>
      </c>
      <c r="H63" t="s">
        <v>1334</v>
      </c>
      <c r="I63" s="591" t="s">
        <v>1653</v>
      </c>
      <c r="J63" s="707"/>
      <c r="K63" s="708"/>
      <c r="L63" s="847"/>
    </row>
    <row r="64" spans="1:12" s="771" customFormat="1">
      <c r="A64" s="854" t="s">
        <v>1501</v>
      </c>
      <c r="B64" s="855">
        <v>0.25</v>
      </c>
      <c r="C64" s="855">
        <v>5</v>
      </c>
      <c r="D64" s="882" t="s">
        <v>1691</v>
      </c>
      <c r="E64" s="882" t="s">
        <v>1551</v>
      </c>
      <c r="F64" s="882" t="s">
        <v>1560</v>
      </c>
      <c r="G64" s="901">
        <f t="shared" si="1"/>
        <v>1.881920833333333</v>
      </c>
      <c r="H64" s="855" t="s">
        <v>1334</v>
      </c>
      <c r="I64" s="882" t="s">
        <v>1553</v>
      </c>
      <c r="J64" s="902"/>
      <c r="K64" s="903"/>
      <c r="L64" s="848"/>
    </row>
    <row r="65" spans="1:9" s="771" customFormat="1"/>
    <row r="66" spans="1:9" s="771" customFormat="1">
      <c r="A66" s="858" t="s">
        <v>1561</v>
      </c>
      <c r="B66" s="904"/>
      <c r="C66" s="850"/>
      <c r="D66" s="850"/>
      <c r="E66" s="850"/>
      <c r="F66" s="850"/>
      <c r="G66" s="891"/>
      <c r="H66" s="851"/>
      <c r="I66" s="587"/>
    </row>
    <row r="67" spans="1:9" s="771" customFormat="1">
      <c r="A67" s="716">
        <v>1</v>
      </c>
      <c r="B67" s="587" t="s">
        <v>1562</v>
      </c>
      <c r="C67" s="587" t="s">
        <v>695</v>
      </c>
      <c r="D67" s="905">
        <v>1.1419999999999999</v>
      </c>
      <c r="E67" s="587" t="s">
        <v>1563</v>
      </c>
      <c r="F67" s="906" t="s">
        <v>1564</v>
      </c>
      <c r="G67" s="873"/>
      <c r="H67" s="720"/>
      <c r="I67" s="587"/>
    </row>
    <row r="68" spans="1:9" s="771" customFormat="1">
      <c r="A68" s="854">
        <v>1</v>
      </c>
      <c r="B68" s="855" t="s">
        <v>1563</v>
      </c>
      <c r="C68" s="855" t="s">
        <v>695</v>
      </c>
      <c r="D68" s="907">
        <v>1.1299999999999999</v>
      </c>
      <c r="E68" s="855" t="s">
        <v>1565</v>
      </c>
      <c r="F68" s="908" t="s">
        <v>1566</v>
      </c>
      <c r="G68" s="909"/>
      <c r="H68" s="857"/>
      <c r="I68" s="587"/>
    </row>
    <row r="69" spans="1:9" s="771" customFormat="1"/>
    <row r="70" spans="1:9" s="771" customFormat="1">
      <c r="A70" s="858" t="s">
        <v>1692</v>
      </c>
      <c r="B70" s="850"/>
      <c r="C70" s="850"/>
      <c r="D70" s="850"/>
      <c r="E70" s="850"/>
      <c r="F70" s="850"/>
      <c r="G70" s="850"/>
      <c r="H70" s="851"/>
    </row>
    <row r="71" spans="1:9" s="771" customFormat="1">
      <c r="A71" s="859"/>
      <c r="B71" s="860">
        <v>2030</v>
      </c>
      <c r="C71" s="860">
        <v>2050</v>
      </c>
      <c r="D71" s="860" t="s">
        <v>116</v>
      </c>
      <c r="E71" s="860" t="s">
        <v>612</v>
      </c>
      <c r="F71" s="587"/>
      <c r="G71" s="587"/>
      <c r="H71" s="720"/>
    </row>
    <row r="72" spans="1:9" s="771" customFormat="1">
      <c r="A72" s="716" t="s">
        <v>1567</v>
      </c>
      <c r="B72" s="861">
        <f>H36</f>
        <v>7.6663124999999999E-2</v>
      </c>
      <c r="C72" s="861">
        <f>I36</f>
        <v>0.35627444999999996</v>
      </c>
      <c r="D72" s="587" t="s">
        <v>1364</v>
      </c>
      <c r="E72" s="587" t="s">
        <v>1365</v>
      </c>
      <c r="F72" s="587"/>
      <c r="G72" s="587"/>
      <c r="H72" s="720"/>
    </row>
    <row r="73" spans="1:9" s="771" customFormat="1">
      <c r="A73" s="716" t="s">
        <v>1368</v>
      </c>
      <c r="B73" s="861">
        <f>50</f>
        <v>50</v>
      </c>
      <c r="C73" s="861">
        <v>45</v>
      </c>
      <c r="D73" s="587" t="s">
        <v>1369</v>
      </c>
      <c r="E73" s="587" t="s">
        <v>1030</v>
      </c>
      <c r="F73" s="587"/>
      <c r="G73" s="587"/>
      <c r="H73" s="720"/>
    </row>
    <row r="74" spans="1:9" s="771" customFormat="1">
      <c r="A74" s="716" t="s">
        <v>1372</v>
      </c>
      <c r="B74" s="717">
        <f>8760</f>
        <v>8760</v>
      </c>
      <c r="C74" s="772">
        <f>B74</f>
        <v>8760</v>
      </c>
      <c r="D74" s="587" t="s">
        <v>1373</v>
      </c>
      <c r="E74" s="587" t="s">
        <v>1374</v>
      </c>
      <c r="F74" s="587"/>
      <c r="G74" s="587"/>
      <c r="H74" s="720"/>
    </row>
    <row r="75" spans="1:9" s="771" customFormat="1">
      <c r="A75" s="716" t="s">
        <v>1375</v>
      </c>
      <c r="B75" s="717">
        <f>B74*30%</f>
        <v>2628</v>
      </c>
      <c r="C75" s="717">
        <f>B75</f>
        <v>2628</v>
      </c>
      <c r="D75" s="587" t="s">
        <v>1373</v>
      </c>
      <c r="E75" s="587" t="s">
        <v>1376</v>
      </c>
      <c r="F75" s="587"/>
      <c r="G75" s="587"/>
      <c r="H75" s="720"/>
    </row>
    <row r="76" spans="1:9" s="771" customFormat="1">
      <c r="A76" s="716" t="s">
        <v>1377</v>
      </c>
      <c r="B76" s="772">
        <f>B72/(B74/B73)*1000</f>
        <v>0.43757491438356166</v>
      </c>
      <c r="C76" s="772">
        <f>C72*C73/C74*1000</f>
        <v>1.8301769691780818</v>
      </c>
      <c r="D76" s="587" t="s">
        <v>1230</v>
      </c>
      <c r="E76" s="587"/>
      <c r="F76" s="587"/>
      <c r="G76" s="587"/>
      <c r="H76" s="720"/>
    </row>
    <row r="77" spans="1:9" s="771" customFormat="1">
      <c r="A77" s="716" t="s">
        <v>1378</v>
      </c>
      <c r="B77" s="772">
        <f>B72/(B75/B73)*1000</f>
        <v>1.4585830479452053</v>
      </c>
      <c r="C77" s="772">
        <f>C72/(C75/C73)*1000</f>
        <v>6.1005898972602743</v>
      </c>
      <c r="D77" s="587" t="s">
        <v>1230</v>
      </c>
      <c r="E77" s="587"/>
      <c r="F77" s="587"/>
      <c r="G77" s="587"/>
      <c r="H77" s="720"/>
    </row>
    <row r="78" spans="1:9" s="771" customFormat="1">
      <c r="A78" s="716"/>
      <c r="B78" s="587"/>
      <c r="C78" s="587"/>
      <c r="D78" s="587"/>
      <c r="E78" s="587"/>
      <c r="F78" s="587"/>
      <c r="G78" s="587"/>
      <c r="H78" s="720"/>
    </row>
    <row r="79" spans="1:9" s="771" customFormat="1">
      <c r="A79" s="716"/>
      <c r="B79" s="587"/>
      <c r="C79" s="587"/>
      <c r="D79" s="587"/>
      <c r="E79" s="587"/>
      <c r="F79" s="587"/>
      <c r="G79" s="587"/>
      <c r="H79" s="720"/>
    </row>
    <row r="80" spans="1:9" s="771" customFormat="1">
      <c r="A80" s="859" t="s">
        <v>1379</v>
      </c>
      <c r="B80" s="860">
        <v>2022</v>
      </c>
      <c r="C80" s="860">
        <v>2030</v>
      </c>
      <c r="D80" s="860">
        <v>2050</v>
      </c>
      <c r="E80" s="860" t="s">
        <v>116</v>
      </c>
      <c r="F80" s="860" t="s">
        <v>612</v>
      </c>
      <c r="G80" s="587"/>
      <c r="H80" s="720"/>
    </row>
    <row r="81" spans="1:10" s="771" customFormat="1">
      <c r="A81" s="716" t="s">
        <v>1380</v>
      </c>
      <c r="B81" s="587"/>
      <c r="C81" s="861">
        <f>B76*'H2 Production Cost'!$C$37</f>
        <v>215.94606164383561</v>
      </c>
      <c r="D81" s="866">
        <f>C76*'H2 Production Cost'!$D$37</f>
        <v>522.11542107721039</v>
      </c>
      <c r="E81" s="587" t="s">
        <v>1381</v>
      </c>
      <c r="F81" s="587" t="s">
        <v>1349</v>
      </c>
      <c r="G81" s="587"/>
      <c r="H81" s="720"/>
    </row>
    <row r="82" spans="1:10" s="771" customFormat="1">
      <c r="A82" s="716" t="s">
        <v>1382</v>
      </c>
      <c r="B82" s="587"/>
      <c r="C82" s="861">
        <f>B77*'H2 Production Cost'!$C$37</f>
        <v>719.82020547945194</v>
      </c>
      <c r="D82" s="866">
        <f>C77*'H2 Production Cost'!$D$37</f>
        <v>1740.384736924035</v>
      </c>
      <c r="E82" s="587" t="s">
        <v>1381</v>
      </c>
      <c r="F82" s="587" t="s">
        <v>1349</v>
      </c>
      <c r="G82" s="587"/>
      <c r="H82" s="720"/>
    </row>
    <row r="83" spans="1:10" s="771" customFormat="1">
      <c r="A83" s="716"/>
      <c r="B83" s="587"/>
      <c r="C83" s="772"/>
      <c r="D83" s="717"/>
      <c r="E83" s="587"/>
      <c r="F83" s="587"/>
      <c r="G83" s="587"/>
      <c r="H83" s="720"/>
    </row>
    <row r="84" spans="1:10" s="771" customFormat="1">
      <c r="A84" s="859" t="s">
        <v>1383</v>
      </c>
      <c r="B84" s="587"/>
      <c r="C84" s="860">
        <v>2030</v>
      </c>
      <c r="D84" s="860">
        <v>2050</v>
      </c>
      <c r="E84" s="860" t="s">
        <v>116</v>
      </c>
      <c r="F84" s="860" t="s">
        <v>612</v>
      </c>
      <c r="G84" s="587"/>
      <c r="H84" s="720"/>
    </row>
    <row r="85" spans="1:10" s="771" customFormat="1">
      <c r="A85" s="716" t="s">
        <v>1384</v>
      </c>
      <c r="B85" s="587"/>
      <c r="C85" s="772">
        <f>B76*'Power Sector CapEx Cost-Vietnam'!$B$35</f>
        <v>730.18291310134214</v>
      </c>
      <c r="D85" s="772">
        <f>C76*'Power Sector CapEx Cost-Vietnam'!$C$35</f>
        <v>2000.0878508000399</v>
      </c>
      <c r="E85" s="587" t="s">
        <v>1381</v>
      </c>
      <c r="F85" s="587" t="s">
        <v>1349</v>
      </c>
      <c r="G85" s="587"/>
      <c r="H85" s="720"/>
    </row>
    <row r="86" spans="1:10" s="771" customFormat="1">
      <c r="A86" s="854" t="s">
        <v>1385</v>
      </c>
      <c r="B86" s="855"/>
      <c r="C86" s="881">
        <f>B77*'Power Sector CapEx Cost-Vietnam'!$B$35</f>
        <v>2433.9430436711405</v>
      </c>
      <c r="D86" s="881">
        <f>C77*'Power Sector CapEx Cost-Vietnam'!$C$35</f>
        <v>6666.9595026668012</v>
      </c>
      <c r="E86" s="855" t="s">
        <v>1381</v>
      </c>
      <c r="F86" s="855" t="s">
        <v>1349</v>
      </c>
      <c r="G86" s="855"/>
      <c r="H86" s="857"/>
    </row>
    <row r="87" spans="1:10" s="771" customFormat="1">
      <c r="A87" s="743"/>
      <c r="H87" s="830"/>
    </row>
    <row r="88" spans="1:10" s="771" customFormat="1" ht="15.75">
      <c r="A88" s="915" t="s">
        <v>1389</v>
      </c>
      <c r="B88" s="587"/>
      <c r="C88" s="772"/>
      <c r="D88" s="717"/>
      <c r="G88" s="835"/>
      <c r="H88" s="911"/>
      <c r="I88" s="911"/>
    </row>
    <row r="89" spans="1:10" s="771" customFormat="1">
      <c r="A89" s="858" t="s">
        <v>1692</v>
      </c>
      <c r="B89" s="850"/>
      <c r="C89" s="850"/>
      <c r="D89" s="851"/>
      <c r="F89" s="587"/>
      <c r="G89" s="860">
        <v>2022</v>
      </c>
      <c r="H89" s="860">
        <v>2030</v>
      </c>
      <c r="I89" s="860">
        <v>2060</v>
      </c>
      <c r="J89" s="587"/>
    </row>
    <row r="90" spans="1:10" s="771" customFormat="1">
      <c r="A90" s="859"/>
      <c r="B90" s="860">
        <v>2030</v>
      </c>
      <c r="C90" s="860">
        <v>2050</v>
      </c>
      <c r="D90" s="916" t="s">
        <v>116</v>
      </c>
      <c r="F90" s="587" t="s">
        <v>1568</v>
      </c>
      <c r="G90" s="1009">
        <v>2.9</v>
      </c>
      <c r="H90" s="1009">
        <f>G90*89%</f>
        <v>2.581</v>
      </c>
      <c r="I90" s="1009">
        <f>G90*1.13</f>
        <v>3.2769999999999997</v>
      </c>
      <c r="J90" s="587" t="s">
        <v>1569</v>
      </c>
    </row>
    <row r="91" spans="1:10" s="771" customFormat="1">
      <c r="A91" s="859" t="s">
        <v>1494</v>
      </c>
      <c r="B91" s="769">
        <f>G20/1000</f>
        <v>0.89694111217447903</v>
      </c>
      <c r="C91" s="769">
        <f>L20/1000</f>
        <v>3.31028674623562</v>
      </c>
      <c r="D91" s="720" t="s">
        <v>1416</v>
      </c>
      <c r="E91" s="835"/>
      <c r="F91" s="587" t="s">
        <v>1477</v>
      </c>
      <c r="G91" s="582">
        <f>B13</f>
        <v>118</v>
      </c>
      <c r="H91" s="582">
        <f>B14</f>
        <v>129.80000000000001</v>
      </c>
      <c r="I91" s="582">
        <f>B15</f>
        <v>159.30000000000001</v>
      </c>
      <c r="J91" s="587" t="s">
        <v>1570</v>
      </c>
    </row>
    <row r="92" spans="1:10" s="771" customFormat="1">
      <c r="A92" s="862" t="s">
        <v>1496</v>
      </c>
      <c r="B92" s="769"/>
      <c r="C92" s="769"/>
      <c r="D92" s="720" t="s">
        <v>1416</v>
      </c>
      <c r="E92" s="846"/>
      <c r="F92" s="1253" t="s">
        <v>1423</v>
      </c>
      <c r="G92" s="582">
        <f>G91*G90</f>
        <v>342.2</v>
      </c>
      <c r="H92" s="582">
        <f t="shared" ref="H92:I92" si="2">H91*H90</f>
        <v>335.0138</v>
      </c>
      <c r="I92" s="582">
        <f t="shared" si="2"/>
        <v>522.02610000000004</v>
      </c>
      <c r="J92" s="587" t="s">
        <v>701</v>
      </c>
    </row>
    <row r="93" spans="1:10" s="771" customFormat="1">
      <c r="A93" s="865" t="s">
        <v>1498</v>
      </c>
      <c r="B93" s="769">
        <f>G22/1000</f>
        <v>0.25311</v>
      </c>
      <c r="C93" s="769">
        <f>L22/1000</f>
        <v>0.95572034999999977</v>
      </c>
      <c r="D93" s="720" t="s">
        <v>1416</v>
      </c>
      <c r="E93" s="846"/>
      <c r="F93" s="1229" t="s">
        <v>1424</v>
      </c>
      <c r="G93" s="860"/>
      <c r="H93" s="1244">
        <f>B106*1000/H92</f>
        <v>16.790450189281593</v>
      </c>
      <c r="I93" s="1244">
        <f>C106*1000/I92</f>
        <v>94.366377360264323</v>
      </c>
      <c r="J93" s="860" t="s">
        <v>1425</v>
      </c>
    </row>
    <row r="94" spans="1:10" s="771" customFormat="1">
      <c r="A94" s="865" t="s">
        <v>1500</v>
      </c>
      <c r="B94" s="769">
        <f>G23/1000</f>
        <v>0.25311</v>
      </c>
      <c r="C94" s="769">
        <f>L23/1000</f>
        <v>0.95572034999999977</v>
      </c>
      <c r="D94" s="720" t="s">
        <v>1416</v>
      </c>
      <c r="E94" s="846"/>
      <c r="F94" s="846"/>
      <c r="G94" s="846"/>
    </row>
    <row r="95" spans="1:10" s="771" customFormat="1">
      <c r="A95" s="859" t="s">
        <v>1502</v>
      </c>
      <c r="B95" s="769"/>
      <c r="C95" s="769"/>
      <c r="D95" s="720" t="s">
        <v>1416</v>
      </c>
      <c r="E95" s="846"/>
      <c r="F95" s="846"/>
      <c r="G95" s="846"/>
    </row>
    <row r="96" spans="1:10" s="771" customFormat="1">
      <c r="A96" s="865" t="s">
        <v>1504</v>
      </c>
      <c r="B96" s="769">
        <f>G25/1000</f>
        <v>0.12404750000000002</v>
      </c>
      <c r="C96" s="769">
        <f>L25/1000</f>
        <v>0.31088869999999996</v>
      </c>
      <c r="D96" s="720" t="s">
        <v>1416</v>
      </c>
      <c r="E96" s="846"/>
      <c r="F96" s="846"/>
      <c r="G96" s="846"/>
    </row>
    <row r="97" spans="1:12" s="771" customFormat="1">
      <c r="A97" s="865" t="s">
        <v>1506</v>
      </c>
      <c r="B97" s="769">
        <f>G26/1000</f>
        <v>4.0562500000000008E-2</v>
      </c>
      <c r="C97" s="769">
        <f>L26/1000</f>
        <v>9.4252500000000003E-2</v>
      </c>
      <c r="D97" s="720" t="s">
        <v>1416</v>
      </c>
      <c r="E97" s="846"/>
      <c r="F97" s="1248"/>
      <c r="G97" s="1227" t="s">
        <v>1390</v>
      </c>
      <c r="H97" s="1227" t="s">
        <v>1390</v>
      </c>
      <c r="I97" s="23" t="s">
        <v>1569</v>
      </c>
      <c r="J97" s="23" t="s">
        <v>1569</v>
      </c>
      <c r="K97" s="1227" t="s">
        <v>1391</v>
      </c>
      <c r="L97" s="1227" t="s">
        <v>1391</v>
      </c>
    </row>
    <row r="98" spans="1:12" s="771" customFormat="1">
      <c r="A98" s="865" t="s">
        <v>1572</v>
      </c>
      <c r="B98" s="769">
        <f>G27/1000</f>
        <v>1.1123160296875E-2</v>
      </c>
      <c r="C98" s="769">
        <f>L27/1000</f>
        <v>9.226155868062498E-2</v>
      </c>
      <c r="D98" s="720" t="s">
        <v>1416</v>
      </c>
      <c r="E98" s="846"/>
      <c r="F98"/>
      <c r="G98" s="23">
        <v>2030</v>
      </c>
      <c r="H98" s="23">
        <v>2060</v>
      </c>
      <c r="I98" s="23" t="s">
        <v>1394</v>
      </c>
      <c r="J98" s="23" t="s">
        <v>1395</v>
      </c>
      <c r="K98" s="23">
        <v>2030</v>
      </c>
      <c r="L98" s="23">
        <v>2060</v>
      </c>
    </row>
    <row r="99" spans="1:12" s="771" customFormat="1">
      <c r="A99" s="865" t="s">
        <v>1508</v>
      </c>
      <c r="B99" s="769"/>
      <c r="C99" s="769"/>
      <c r="D99" s="720" t="s">
        <v>1416</v>
      </c>
      <c r="E99" s="846"/>
      <c r="F99" s="829" t="s">
        <v>1494</v>
      </c>
      <c r="G99" s="577">
        <f>E20</f>
        <v>30.421875</v>
      </c>
      <c r="H99" s="577">
        <f>I20</f>
        <v>82.681125000000009</v>
      </c>
      <c r="I99" s="498">
        <f>$H$90</f>
        <v>2.581</v>
      </c>
      <c r="J99" s="498">
        <f>$I$90</f>
        <v>3.2769999999999997</v>
      </c>
      <c r="K99" s="941">
        <f>B91/(G99*I99)*1000</f>
        <v>11.423257027853111</v>
      </c>
      <c r="L99" s="941">
        <f>C91/(H99*J99)*1000</f>
        <v>12.217512628324808</v>
      </c>
    </row>
    <row r="100" spans="1:12" s="771" customFormat="1">
      <c r="A100" s="917" t="s">
        <v>1509</v>
      </c>
      <c r="B100" s="769">
        <f>G29/1000</f>
        <v>0.21594606164383562</v>
      </c>
      <c r="C100" s="769">
        <f>L29/1000</f>
        <v>0.52211542107721043</v>
      </c>
      <c r="D100" s="720" t="s">
        <v>1416</v>
      </c>
      <c r="E100" s="846"/>
      <c r="F100" s="829" t="s">
        <v>1496</v>
      </c>
      <c r="G100" s="577">
        <f>E22</f>
        <v>24.337500000000002</v>
      </c>
      <c r="H100" s="577">
        <f>I22</f>
        <v>67.558687499999991</v>
      </c>
      <c r="I100" s="498">
        <f t="shared" ref="I100:I105" si="3">$H$90</f>
        <v>2.581</v>
      </c>
      <c r="J100" s="498">
        <f t="shared" ref="J100:J105" si="4">$I$90</f>
        <v>3.2769999999999997</v>
      </c>
      <c r="K100" s="941">
        <f>(B93+B94)/(G100*I100)*1000</f>
        <v>8.058891902363424</v>
      </c>
      <c r="L100" s="941">
        <f>(C93+C94)/(H100*J100)*1000</f>
        <v>8.633823855014823</v>
      </c>
    </row>
    <row r="101" spans="1:12" s="771" customFormat="1">
      <c r="A101" s="865" t="s">
        <v>1510</v>
      </c>
      <c r="B101" s="769">
        <f>G30/1000</f>
        <v>0.71982020547945191</v>
      </c>
      <c r="C101" s="769">
        <f>L30/1000</f>
        <v>1.7403847369240351</v>
      </c>
      <c r="D101" s="720" t="s">
        <v>1416</v>
      </c>
      <c r="E101" s="846"/>
      <c r="F101" s="829" t="s">
        <v>1573</v>
      </c>
      <c r="G101" s="499">
        <f>E25</f>
        <v>18.253125000000001</v>
      </c>
      <c r="H101" s="499">
        <f>I25</f>
        <v>42.413624999999996</v>
      </c>
      <c r="I101" s="498">
        <f t="shared" si="3"/>
        <v>2.581</v>
      </c>
      <c r="J101" s="498">
        <f t="shared" si="4"/>
        <v>3.2769999999999997</v>
      </c>
      <c r="K101" s="941">
        <f t="shared" ref="K101:L103" si="5">B96/(G101*I101)*1000</f>
        <v>2.6330722959936446</v>
      </c>
      <c r="L101" s="941">
        <f t="shared" si="5"/>
        <v>2.2367791365256986</v>
      </c>
    </row>
    <row r="102" spans="1:12" s="771" customFormat="1">
      <c r="A102" s="917" t="s">
        <v>1384</v>
      </c>
      <c r="B102" s="769">
        <f>C85/1000</f>
        <v>0.73018291310134209</v>
      </c>
      <c r="C102" s="769">
        <f>D85/1000</f>
        <v>2.0000878508000399</v>
      </c>
      <c r="D102" s="720" t="s">
        <v>1416</v>
      </c>
      <c r="E102" s="846"/>
      <c r="F102" s="829" t="s">
        <v>1574</v>
      </c>
      <c r="G102" s="499">
        <f t="shared" ref="G102" si="6">E26</f>
        <v>6.0843750000000005</v>
      </c>
      <c r="H102" s="499">
        <f>I26</f>
        <v>14.137875000000001</v>
      </c>
      <c r="I102" s="498">
        <f t="shared" si="3"/>
        <v>2.581</v>
      </c>
      <c r="J102" s="498">
        <f t="shared" si="4"/>
        <v>3.2769999999999997</v>
      </c>
      <c r="K102" s="941">
        <f t="shared" si="5"/>
        <v>2.5829781738344315</v>
      </c>
      <c r="L102" s="941">
        <f t="shared" si="5"/>
        <v>2.0343810395687112</v>
      </c>
    </row>
    <row r="103" spans="1:12" s="771" customFormat="1">
      <c r="A103" s="865" t="s">
        <v>1385</v>
      </c>
      <c r="B103" s="769">
        <f>C86/1000</f>
        <v>2.4339430436711407</v>
      </c>
      <c r="C103" s="769">
        <f>D86/1000</f>
        <v>6.6669595026668009</v>
      </c>
      <c r="D103" s="720" t="s">
        <v>1416</v>
      </c>
      <c r="E103" s="846"/>
      <c r="F103" s="829" t="s">
        <v>1575</v>
      </c>
      <c r="G103" s="499">
        <f>E27</f>
        <v>4.5632812500000002</v>
      </c>
      <c r="H103" s="499">
        <f>I27</f>
        <v>21.206812499999998</v>
      </c>
      <c r="I103" s="498">
        <f t="shared" si="3"/>
        <v>2.581</v>
      </c>
      <c r="J103" s="498">
        <f t="shared" si="4"/>
        <v>3.2769999999999997</v>
      </c>
      <c r="K103" s="941">
        <f t="shared" si="5"/>
        <v>0.94441517069180758</v>
      </c>
      <c r="L103" s="941">
        <f t="shared" si="5"/>
        <v>1.3276052140857064</v>
      </c>
    </row>
    <row r="104" spans="1:12" s="771" customFormat="1">
      <c r="A104" s="859" t="s">
        <v>1514</v>
      </c>
      <c r="B104" s="769">
        <f>G31/1000</f>
        <v>0.89237500000000003</v>
      </c>
      <c r="C104" s="769">
        <f>L31/1000</f>
        <v>35.135237500000002</v>
      </c>
      <c r="D104" s="720" t="s">
        <v>1416</v>
      </c>
      <c r="E104" s="846"/>
      <c r="F104" s="829" t="s">
        <v>1577</v>
      </c>
      <c r="G104" s="577"/>
      <c r="H104" s="577"/>
      <c r="I104" s="498">
        <f t="shared" si="3"/>
        <v>2.581</v>
      </c>
      <c r="J104" s="498">
        <f t="shared" si="4"/>
        <v>3.2769999999999997</v>
      </c>
      <c r="K104" s="941">
        <f>(B98+B101+B103)/(G103*I104)*1000</f>
        <v>268.71560409304254</v>
      </c>
      <c r="L104" s="941">
        <f>(C98+C101+C103)/(H103*J104)*1000</f>
        <v>122.30576999592756</v>
      </c>
    </row>
    <row r="105" spans="1:12" s="771" customFormat="1">
      <c r="A105" s="1017" t="s">
        <v>1579</v>
      </c>
      <c r="B105" s="1018">
        <f>SUM(B91:B100)+B104+B102</f>
        <v>3.4173982472165321</v>
      </c>
      <c r="C105" s="1018">
        <f>SUM(C91:C100)+C104+C102</f>
        <v>43.376570976793502</v>
      </c>
      <c r="D105" s="734" t="s">
        <v>1416</v>
      </c>
      <c r="E105" s="846"/>
      <c r="F105" s="829" t="s">
        <v>1514</v>
      </c>
      <c r="G105" s="582">
        <f>E31</f>
        <v>2.4337499999999999</v>
      </c>
      <c r="H105" s="582">
        <f>I31</f>
        <v>106.2</v>
      </c>
      <c r="I105" s="498">
        <f t="shared" si="3"/>
        <v>2.581</v>
      </c>
      <c r="J105" s="498">
        <f t="shared" si="4"/>
        <v>3.2769999999999997</v>
      </c>
      <c r="K105" s="941">
        <f>B104/(G105*I105)*1000</f>
        <v>142.06379956089373</v>
      </c>
      <c r="L105" s="941">
        <f>C104/(H105*J105)*1000</f>
        <v>100.95827823551353</v>
      </c>
    </row>
    <row r="106" spans="1:12" s="771" customFormat="1">
      <c r="A106" s="862" t="s">
        <v>1580</v>
      </c>
      <c r="B106" s="769">
        <f>SUM(B91:B99)+B101+B104+B103</f>
        <v>5.6250325216219466</v>
      </c>
      <c r="C106" s="769">
        <f>SUM(C91:C99)+C101+C104+C103</f>
        <v>49.261711944507084</v>
      </c>
      <c r="D106" s="720" t="s">
        <v>1416</v>
      </c>
      <c r="E106" s="846"/>
      <c r="F106" s="846"/>
      <c r="G106" s="846"/>
    </row>
    <row r="107" spans="1:12" s="771" customFormat="1">
      <c r="A107" s="1254" t="s">
        <v>1693</v>
      </c>
      <c r="B107" s="1019">
        <f>B106-B103</f>
        <v>3.1910894779508059</v>
      </c>
      <c r="C107" s="1019">
        <f>C106-C103</f>
        <v>42.594752441840285</v>
      </c>
      <c r="D107" s="857" t="s">
        <v>1416</v>
      </c>
    </row>
    <row r="108" spans="1:12" s="771" customFormat="1"/>
    <row r="109" spans="1:12" s="771" customFormat="1"/>
    <row r="110" spans="1:12" s="771" customFormat="1">
      <c r="F110" s="498"/>
      <c r="G110" s="23">
        <v>2030</v>
      </c>
      <c r="H110" s="23">
        <v>2060</v>
      </c>
      <c r="I110" s="23" t="s">
        <v>116</v>
      </c>
      <c r="J110" s="587" t="s">
        <v>505</v>
      </c>
    </row>
    <row r="111" spans="1:12" s="771" customFormat="1">
      <c r="F111" t="s">
        <v>1412</v>
      </c>
      <c r="G111" s="576">
        <f>D31*B14*0.75*90%</f>
        <v>1.7523000000000002</v>
      </c>
      <c r="H111" s="576">
        <f>H31*B15*0.75*90%</f>
        <v>53.763750000000002</v>
      </c>
      <c r="I111" t="s">
        <v>1413</v>
      </c>
      <c r="J111" s="587" t="s">
        <v>1694</v>
      </c>
    </row>
    <row r="112" spans="1:12" s="771" customFormat="1">
      <c r="F112" t="s">
        <v>1415</v>
      </c>
      <c r="G112" s="576">
        <f>B104</f>
        <v>0.89237500000000003</v>
      </c>
      <c r="H112" s="576">
        <f>C104</f>
        <v>35.135237500000002</v>
      </c>
      <c r="I112" t="s">
        <v>1416</v>
      </c>
    </row>
    <row r="113" spans="6:17" s="771" customFormat="1">
      <c r="F113" t="s">
        <v>1418</v>
      </c>
      <c r="G113" s="499">
        <f>G112/G111*1000</f>
        <v>509.25925925925918</v>
      </c>
      <c r="H113" s="499">
        <f>H112/H111*1000</f>
        <v>653.51165980795611</v>
      </c>
      <c r="I113" t="s">
        <v>1419</v>
      </c>
      <c r="J113" t="s">
        <v>1420</v>
      </c>
    </row>
    <row r="114" spans="6:17" s="771" customFormat="1"/>
    <row r="115" spans="6:17" s="771" customFormat="1" ht="90">
      <c r="G115" s="100" t="s">
        <v>1584</v>
      </c>
      <c r="H115" s="100" t="s">
        <v>1584</v>
      </c>
      <c r="I115" s="100" t="s">
        <v>1585</v>
      </c>
      <c r="J115" s="100" t="s">
        <v>1585</v>
      </c>
      <c r="K115" s="100" t="s">
        <v>1586</v>
      </c>
      <c r="L115" s="100" t="s">
        <v>1586</v>
      </c>
      <c r="M115"/>
      <c r="N115" s="100" t="s">
        <v>1587</v>
      </c>
      <c r="O115" s="100" t="s">
        <v>1587</v>
      </c>
      <c r="P115" s="100" t="s">
        <v>1588</v>
      </c>
      <c r="Q115" s="100" t="s">
        <v>1588</v>
      </c>
    </row>
    <row r="116" spans="6:17" s="771" customFormat="1">
      <c r="F116"/>
      <c r="G116" s="587">
        <v>2030</v>
      </c>
      <c r="H116" s="587">
        <v>2060</v>
      </c>
      <c r="I116" s="587">
        <v>2030</v>
      </c>
      <c r="J116" s="587">
        <v>2060</v>
      </c>
      <c r="K116" s="587">
        <v>2030</v>
      </c>
      <c r="L116" s="587">
        <v>2060</v>
      </c>
      <c r="M116" s="587"/>
      <c r="N116" s="587">
        <v>2030</v>
      </c>
      <c r="O116" s="587">
        <v>2060</v>
      </c>
      <c r="P116" s="587">
        <v>2030</v>
      </c>
      <c r="Q116" s="587">
        <v>2060</v>
      </c>
    </row>
    <row r="117" spans="6:17" s="771" customFormat="1">
      <c r="F117" s="829" t="s">
        <v>1494</v>
      </c>
      <c r="G117" s="861">
        <f>'Cement Cost Model-Indonesia'!G117/'Cement Cost Model-Indonesia'!E20*'Cement Cost Model-Vietnam'!E20</f>
        <v>2.8959228417902758</v>
      </c>
      <c r="H117" s="861">
        <f>'Cement Cost Model-Indonesia'!H117/'Cement Cost Model-Indonesia'!I20*'Cement Cost Model-Vietnam'!I20</f>
        <v>5.4716020255253426</v>
      </c>
      <c r="I117" s="942">
        <f>B91*$G$128*1000</f>
        <v>72.281258391397415</v>
      </c>
      <c r="J117" s="942">
        <f>C91*$G$128*1000</f>
        <v>266.76410346962706</v>
      </c>
      <c r="K117">
        <v>-0.15</v>
      </c>
      <c r="L117">
        <f>-0.54</f>
        <v>-0.54</v>
      </c>
      <c r="N117" s="942" t="e">
        <f>K117*I161</f>
        <v>#REF!</v>
      </c>
      <c r="O117" s="942" t="e">
        <f>L117*J161</f>
        <v>#REF!</v>
      </c>
      <c r="P117" s="942" t="e">
        <f t="shared" ref="P117:Q120" si="7">(I117+N117)/G117</f>
        <v>#REF!</v>
      </c>
      <c r="Q117" s="942" t="e">
        <f t="shared" si="7"/>
        <v>#REF!</v>
      </c>
    </row>
    <row r="118" spans="6:17" s="771" customFormat="1">
      <c r="F118" s="829" t="s">
        <v>1496</v>
      </c>
      <c r="G118" s="861">
        <f>'Cement Cost Model-Indonesia'!G118/'Cement Cost Model-Indonesia'!E22*'Cement Cost Model-Vietnam'!E22</f>
        <v>2.5910888584439311</v>
      </c>
      <c r="H118" s="861">
        <f>'Cement Cost Model-Indonesia'!H118/'Cement Cost Model-Indonesia'!I22*'Cement Cost Model-Vietnam'!I22</f>
        <v>10.956379766783472</v>
      </c>
      <c r="I118" s="942">
        <f>(B93+B94)*$G$128*1000</f>
        <v>40.794449185394711</v>
      </c>
      <c r="J118" s="942">
        <f>(C93+C94)*$G$128*1000</f>
        <v>154.03613153776081</v>
      </c>
      <c r="K118">
        <f>-0.18</f>
        <v>-0.18</v>
      </c>
      <c r="L118">
        <f>-0.68</f>
        <v>-0.68</v>
      </c>
      <c r="N118" s="942" t="e">
        <f>K118*I161</f>
        <v>#REF!</v>
      </c>
      <c r="O118" s="942" t="e">
        <f>L118*J161</f>
        <v>#REF!</v>
      </c>
      <c r="P118" s="942" t="e">
        <f>(I118+N118)/G118</f>
        <v>#REF!</v>
      </c>
      <c r="Q118" s="942" t="e">
        <f>(J118+O118)/H118</f>
        <v>#REF!</v>
      </c>
    </row>
    <row r="119" spans="6:17" s="771" customFormat="1">
      <c r="F119" s="829" t="s">
        <v>1573</v>
      </c>
      <c r="G119" s="861">
        <f>'Cement Cost Model-Indonesia'!G119/'Cement Cost Model-Indonesia'!E25*'Cement Cost Model-Vietnam'!E25</f>
        <v>0.75807398490077849</v>
      </c>
      <c r="H119" s="861">
        <f>'Cement Cost Model-Indonesia'!H119/'Cement Cost Model-Indonesia'!I25*'Cement Cost Model-Vietnam'!I25</f>
        <v>1.6661983499999997</v>
      </c>
      <c r="I119" s="942">
        <f t="shared" ref="I119:J121" si="8">B96*$G$128*1000</f>
        <v>9.9965418895445683</v>
      </c>
      <c r="J119" s="942">
        <f t="shared" si="8"/>
        <v>25.053402225244792</v>
      </c>
      <c r="K119" s="576">
        <v>0</v>
      </c>
      <c r="L119" s="576">
        <v>0</v>
      </c>
      <c r="N119" s="942">
        <f>$G$90*(I135-H135)*I153*G101</f>
        <v>53.46823907638889</v>
      </c>
      <c r="O119" s="942">
        <f>$G$90*(J135-I135)*J153*H101</f>
        <v>128.10399226874998</v>
      </c>
      <c r="P119" s="942">
        <f t="shared" si="7"/>
        <v>83.718452591721814</v>
      </c>
      <c r="Q119" s="942">
        <f t="shared" si="7"/>
        <v>91.920265371763676</v>
      </c>
    </row>
    <row r="120" spans="6:17" s="771" customFormat="1">
      <c r="F120" s="829" t="s">
        <v>1574</v>
      </c>
      <c r="G120" s="861">
        <f>'Cement Cost Model-Indonesia'!G120/'Cement Cost Model-Indonesia'!E26*'Cement Cost Model-Vietnam'!E26</f>
        <v>0.15003547617827911</v>
      </c>
      <c r="H120" s="861">
        <f>'Cement Cost Model-Indonesia'!H120/'Cement Cost Model-Indonesia'!I26*'Cement Cost Model-Vietnam'!I26</f>
        <v>0.46283287500000003</v>
      </c>
      <c r="I120" s="942">
        <f t="shared" si="8"/>
        <v>3.2687859924194482</v>
      </c>
      <c r="J120" s="942">
        <f t="shared" si="8"/>
        <v>7.5954699969310076</v>
      </c>
      <c r="K120" s="576">
        <v>0</v>
      </c>
      <c r="L120" s="576">
        <v>0</v>
      </c>
      <c r="N120" s="942">
        <f>$G$90*(I136-H136)*I154*G102</f>
        <v>2.5461066226851852</v>
      </c>
      <c r="O120" s="942">
        <f>$G$90*(J136-I136)*J154*H102</f>
        <v>17.0805323025</v>
      </c>
      <c r="P120" s="942">
        <f t="shared" si="7"/>
        <v>38.756784483391833</v>
      </c>
      <c r="Q120" s="942">
        <f t="shared" si="7"/>
        <v>53.315145989642602</v>
      </c>
    </row>
    <row r="121" spans="6:17" s="771" customFormat="1">
      <c r="F121" s="829" t="s">
        <v>1575</v>
      </c>
      <c r="G121" s="861">
        <f>'Cement Cost Model-Indonesia'!G121/'Cement Cost Model-Indonesia'!E27*'Cement Cost Model-Vietnam'!E27</f>
        <v>1.5603689522541024</v>
      </c>
      <c r="H121" s="861">
        <f>'Cement Cost Model-Indonesia'!H121/'Cement Cost Model-Indonesia'!I27*'Cement Cost Model-Vietnam'!I27</f>
        <v>6.0168273750000001</v>
      </c>
      <c r="I121" s="978">
        <f t="shared" si="8"/>
        <v>0.89637548400274014</v>
      </c>
      <c r="J121" s="978">
        <f t="shared" si="8"/>
        <v>7.4350271964009087</v>
      </c>
      <c r="K121" s="576">
        <v>0</v>
      </c>
      <c r="L121" s="576">
        <v>0</v>
      </c>
      <c r="N121" s="978" t="e">
        <f>$G$90*(I138-H138)*I156*G103</f>
        <v>#REF!</v>
      </c>
      <c r="O121" s="978" t="e">
        <f>$G$90*(J138-I138)*J156*H103</f>
        <v>#REF!</v>
      </c>
      <c r="P121" s="978" t="e">
        <f t="shared" ref="P121:Q123" si="9">(I121+N121)/G121</f>
        <v>#REF!</v>
      </c>
      <c r="Q121" s="978" t="e">
        <f t="shared" si="9"/>
        <v>#REF!</v>
      </c>
    </row>
    <row r="122" spans="6:17" s="771" customFormat="1">
      <c r="F122" s="829" t="s">
        <v>1577</v>
      </c>
      <c r="G122" s="861">
        <f>G121</f>
        <v>1.5603689522541024</v>
      </c>
      <c r="H122" s="861">
        <f>H121</f>
        <v>6.0168273750000001</v>
      </c>
      <c r="I122" s="942">
        <f>(B98+B101+B103)*$G$128*1000</f>
        <v>255.04681325856549</v>
      </c>
      <c r="J122" s="942">
        <f>(C98+C101+C103)*$G$128*1000</f>
        <v>684.95266254488433</v>
      </c>
      <c r="K122" s="576">
        <v>0</v>
      </c>
      <c r="L122" s="576">
        <v>0</v>
      </c>
      <c r="N122" s="942" t="e">
        <f>$G$90*(I138-H138)*I156*G103</f>
        <v>#REF!</v>
      </c>
      <c r="O122" s="942" t="e">
        <f>$G$90*(J138-I138)*J156*H103</f>
        <v>#REF!</v>
      </c>
      <c r="P122" s="942" t="e">
        <f>(I122+N122)/G122</f>
        <v>#REF!</v>
      </c>
      <c r="Q122" s="942" t="e">
        <f t="shared" si="9"/>
        <v>#REF!</v>
      </c>
    </row>
    <row r="123" spans="6:17" s="771" customFormat="1">
      <c r="F123" s="829" t="s">
        <v>1514</v>
      </c>
      <c r="G123" s="861">
        <f>'Cement Cost Model-Indonesia'!G123/'Cement Cost Model-Indonesia'!E31*'Cement Cost Model-Vietnam'!E31</f>
        <v>0.35563964723740227</v>
      </c>
      <c r="H123" s="861">
        <f>'Cement Cost Model-Indonesia'!H123/'Cement Cost Model-Indonesia'!I31*'Cement Cost Model-Vietnam'!I31</f>
        <v>28.974900000000005</v>
      </c>
      <c r="I123" s="942">
        <f>B104*$G$128*1000</f>
        <v>71.913291833227845</v>
      </c>
      <c r="J123" s="942">
        <f>C104*$G$128*1000</f>
        <v>2831.422426633726</v>
      </c>
      <c r="K123"/>
      <c r="L123"/>
      <c r="N123" s="942" t="e">
        <f>I105*G105*H160*50%</f>
        <v>#REF!</v>
      </c>
      <c r="O123" s="942" t="e">
        <f>I105*H105*H160*50%</f>
        <v>#REF!</v>
      </c>
      <c r="P123" s="942" t="e">
        <f>(I123+N123)/G123</f>
        <v>#REF!</v>
      </c>
      <c r="Q123" s="942" t="e">
        <f t="shared" si="9"/>
        <v>#REF!</v>
      </c>
    </row>
    <row r="124" spans="6:17" s="771" customFormat="1"/>
    <row r="125" spans="6:17" s="771" customFormat="1"/>
    <row r="126" spans="6:17" s="771" customFormat="1">
      <c r="F126" s="601" t="s">
        <v>25</v>
      </c>
      <c r="G126" s="975" t="str">
        <f>Graphs!H5</f>
        <v>7%</v>
      </c>
      <c r="H126" s="639"/>
    </row>
    <row r="127" spans="6:17" s="771" customFormat="1">
      <c r="F127" s="22" t="s">
        <v>1287</v>
      </c>
      <c r="G127">
        <f>Calculations!B577</f>
        <v>30</v>
      </c>
      <c r="H127" s="595" t="s">
        <v>1134</v>
      </c>
    </row>
    <row r="128" spans="6:17" s="771" customFormat="1">
      <c r="F128" s="31" t="s">
        <v>1589</v>
      </c>
      <c r="G128" s="690">
        <f>(G126/(1-(1+G126)^(-G127)))</f>
        <v>8.0586403511111196E-2</v>
      </c>
      <c r="H128" s="605"/>
    </row>
    <row r="129" spans="6:12" s="771" customFormat="1">
      <c r="F129" s="981" t="s">
        <v>1590</v>
      </c>
      <c r="G129" s="605">
        <f>J133-H133</f>
        <v>27</v>
      </c>
      <c r="H129" s="605" t="s">
        <v>1591</v>
      </c>
    </row>
    <row r="130" spans="6:12" s="771" customFormat="1"/>
    <row r="131" spans="6:12" s="771" customFormat="1"/>
    <row r="132" spans="6:12" s="771" customFormat="1">
      <c r="F132" s="601"/>
      <c r="G132" s="521"/>
      <c r="H132" s="521"/>
      <c r="I132" s="521"/>
      <c r="J132" s="521"/>
      <c r="K132" s="521"/>
      <c r="L132" s="639"/>
    </row>
    <row r="133" spans="6:12" s="771" customFormat="1">
      <c r="F133" s="22"/>
      <c r="G133"/>
      <c r="H133" s="23">
        <v>2023</v>
      </c>
      <c r="I133" s="23">
        <v>2030</v>
      </c>
      <c r="J133" s="23">
        <v>2050</v>
      </c>
      <c r="K133"/>
      <c r="L133" s="718"/>
    </row>
    <row r="134" spans="6:12" s="771" customFormat="1">
      <c r="F134" s="22" t="s">
        <v>1592</v>
      </c>
      <c r="G134" t="s">
        <v>40</v>
      </c>
      <c r="H134" s="648">
        <v>0.92</v>
      </c>
      <c r="I134" s="648">
        <v>0.73</v>
      </c>
      <c r="J134" s="46">
        <v>0.25</v>
      </c>
      <c r="K134"/>
      <c r="L134" s="649"/>
    </row>
    <row r="135" spans="6:12" s="771" customFormat="1">
      <c r="F135" s="22"/>
      <c r="G135" t="s">
        <v>1593</v>
      </c>
      <c r="H135" s="648">
        <v>0.01</v>
      </c>
      <c r="I135" s="648">
        <v>0.15</v>
      </c>
      <c r="J135" s="873">
        <v>0.3</v>
      </c>
      <c r="K135"/>
      <c r="L135" s="595"/>
    </row>
    <row r="136" spans="6:12" s="771" customFormat="1">
      <c r="F136" s="22"/>
      <c r="G136" t="s">
        <v>1242</v>
      </c>
      <c r="H136" s="648">
        <v>0.02</v>
      </c>
      <c r="I136" s="648">
        <v>0.04</v>
      </c>
      <c r="J136" s="873">
        <v>0.1</v>
      </c>
      <c r="K136"/>
      <c r="L136" s="595"/>
    </row>
    <row r="137" spans="6:12" s="771" customFormat="1">
      <c r="F137" s="22"/>
      <c r="G137" t="s">
        <v>1594</v>
      </c>
      <c r="H137" s="648">
        <v>0.05</v>
      </c>
      <c r="I137" s="648">
        <v>0</v>
      </c>
      <c r="J137" s="873">
        <v>0.15</v>
      </c>
      <c r="K137"/>
      <c r="L137" s="595"/>
    </row>
    <row r="138" spans="6:12" s="771" customFormat="1">
      <c r="F138" s="22"/>
      <c r="G138" t="s">
        <v>1595</v>
      </c>
      <c r="H138" s="648">
        <v>0</v>
      </c>
      <c r="I138" s="648">
        <v>0.04</v>
      </c>
      <c r="J138" s="873">
        <v>0.1</v>
      </c>
      <c r="K138"/>
      <c r="L138" s="595"/>
    </row>
    <row r="139" spans="6:12" s="771" customFormat="1">
      <c r="F139" s="22"/>
      <c r="G139" t="s">
        <v>1596</v>
      </c>
      <c r="H139" s="648">
        <v>0</v>
      </c>
      <c r="I139" s="46">
        <v>0.04</v>
      </c>
      <c r="J139" s="46">
        <v>0.1</v>
      </c>
      <c r="K139"/>
      <c r="L139" s="595"/>
    </row>
    <row r="140" spans="6:12" s="771" customFormat="1">
      <c r="F140" s="22"/>
      <c r="G140" t="s">
        <v>141</v>
      </c>
      <c r="H140" s="46">
        <v>1</v>
      </c>
      <c r="I140" s="648">
        <v>1</v>
      </c>
      <c r="J140" s="46">
        <v>1</v>
      </c>
      <c r="K140"/>
      <c r="L140" s="595"/>
    </row>
    <row r="141" spans="6:12" s="771" customFormat="1">
      <c r="F141" s="22"/>
      <c r="G141"/>
      <c r="H141"/>
      <c r="I141"/>
      <c r="J141"/>
      <c r="K141"/>
      <c r="L141" s="595"/>
    </row>
    <row r="142" spans="6:12" s="771" customFormat="1">
      <c r="F142" s="22" t="s">
        <v>540</v>
      </c>
      <c r="G142" t="s">
        <v>40</v>
      </c>
      <c r="H142" s="976">
        <f>'Other Country-Specific Data'!D105*1000</f>
        <v>3.2914285714285718</v>
      </c>
      <c r="I142" s="977">
        <f t="shared" ref="I142:I150" si="10">H142+(J142-H142)/$G$129*7</f>
        <v>3.5047619047619052</v>
      </c>
      <c r="J142" s="976">
        <f>'Other Country-Specific Data'!D114*1000</f>
        <v>4.1142857142857148</v>
      </c>
      <c r="K142" t="s">
        <v>1425</v>
      </c>
      <c r="L142" s="595"/>
    </row>
    <row r="143" spans="6:12" s="771" customFormat="1">
      <c r="F143" s="22"/>
      <c r="G143" t="s">
        <v>41</v>
      </c>
      <c r="H143" s="976">
        <f>'Other Country-Specific Data'!D106*1000</f>
        <v>3.2914285714285718</v>
      </c>
      <c r="I143" s="977">
        <f t="shared" si="10"/>
        <v>3.5047619047619052</v>
      </c>
      <c r="J143" s="976">
        <f>'Other Country-Specific Data'!D115*1000</f>
        <v>4.1142857142857148</v>
      </c>
      <c r="K143" t="s">
        <v>1425</v>
      </c>
      <c r="L143" s="595"/>
    </row>
    <row r="144" spans="6:12">
      <c r="F144" s="22"/>
      <c r="G144" t="s">
        <v>42</v>
      </c>
      <c r="H144" s="976">
        <f>'Other Country-Specific Data'!D107*1000</f>
        <v>3.2914285714285718</v>
      </c>
      <c r="I144" s="977">
        <f t="shared" si="10"/>
        <v>3.5047619047619052</v>
      </c>
      <c r="J144" s="976">
        <f>'Other Country-Specific Data'!D116*1000</f>
        <v>4.1142857142857148</v>
      </c>
      <c r="K144" t="s">
        <v>1425</v>
      </c>
      <c r="L144" s="595"/>
    </row>
    <row r="145" spans="6:12">
      <c r="F145" s="22"/>
      <c r="G145" t="s">
        <v>43</v>
      </c>
      <c r="H145" s="976">
        <f>'Other Country-Specific Data'!D108*1000</f>
        <v>8.42</v>
      </c>
      <c r="I145" s="977">
        <f t="shared" si="10"/>
        <v>8.7064814814814824</v>
      </c>
      <c r="J145" s="976">
        <f>'Other Country-Specific Data'!D117*1000</f>
        <v>9.5250000000000004</v>
      </c>
      <c r="K145" t="s">
        <v>1425</v>
      </c>
      <c r="L145" s="595"/>
    </row>
    <row r="146" spans="6:12">
      <c r="F146" s="22"/>
      <c r="G146" t="s">
        <v>44</v>
      </c>
      <c r="H146" s="976">
        <f>'Other Country-Specific Data'!D109*1000</f>
        <v>8.911428571428571</v>
      </c>
      <c r="I146" s="977">
        <f t="shared" si="10"/>
        <v>9.454761904761904</v>
      </c>
      <c r="J146" s="976">
        <f>'Other Country-Specific Data'!D118*1000</f>
        <v>11.007142857142856</v>
      </c>
      <c r="K146" t="s">
        <v>1425</v>
      </c>
      <c r="L146" s="595"/>
    </row>
    <row r="147" spans="6:12">
      <c r="F147" s="22"/>
      <c r="G147" t="s">
        <v>45</v>
      </c>
      <c r="H147" s="976">
        <f>'Other Country-Specific Data'!D110*1000</f>
        <v>7.31</v>
      </c>
      <c r="I147" s="977">
        <f t="shared" si="10"/>
        <v>7.2149382716049377</v>
      </c>
      <c r="J147" s="976">
        <f>'Other Country-Specific Data'!D119*1000</f>
        <v>6.9433333333333325</v>
      </c>
      <c r="K147" t="s">
        <v>1425</v>
      </c>
      <c r="L147" s="595"/>
    </row>
    <row r="148" spans="6:12">
      <c r="F148" s="22"/>
      <c r="G148" t="s">
        <v>46</v>
      </c>
      <c r="H148" s="976">
        <f>'Other Country-Specific Data'!D111*1000</f>
        <v>3.2914285714285718</v>
      </c>
      <c r="I148" s="977">
        <f t="shared" si="10"/>
        <v>3.5047619047619052</v>
      </c>
      <c r="J148" s="976">
        <f>'Other Country-Specific Data'!D120*1000</f>
        <v>4.1142857142857148</v>
      </c>
      <c r="K148" t="s">
        <v>1425</v>
      </c>
      <c r="L148" s="595"/>
    </row>
    <row r="149" spans="6:12">
      <c r="F149" s="22"/>
      <c r="G149" t="s">
        <v>141</v>
      </c>
      <c r="H149" s="976">
        <f>'Other Country-Specific Data'!D112*1000</f>
        <v>20.278341062000003</v>
      </c>
      <c r="I149" s="977">
        <f t="shared" si="10"/>
        <v>21.862747212962965</v>
      </c>
      <c r="J149" s="976">
        <f>'Other Country-Specific Data'!D121*1000</f>
        <v>26.389621930000001</v>
      </c>
      <c r="K149" t="s">
        <v>1425</v>
      </c>
      <c r="L149" s="595"/>
    </row>
    <row r="150" spans="6:12">
      <c r="F150" s="22"/>
      <c r="G150" t="s">
        <v>1597</v>
      </c>
      <c r="H150" s="976" t="e">
        <f>'Other Country-Specific Data'!#REF!*1000</f>
        <v>#REF!</v>
      </c>
      <c r="I150" s="977" t="e">
        <f t="shared" si="10"/>
        <v>#REF!</v>
      </c>
      <c r="J150" s="976" t="e">
        <f>'Other Country-Specific Data'!#REF!*1000</f>
        <v>#REF!</v>
      </c>
      <c r="K150" t="s">
        <v>1425</v>
      </c>
      <c r="L150" s="595"/>
    </row>
    <row r="151" spans="6:12">
      <c r="F151" s="22" t="s">
        <v>1598</v>
      </c>
      <c r="L151" s="595"/>
    </row>
    <row r="152" spans="6:12">
      <c r="F152" s="22" t="s">
        <v>540</v>
      </c>
      <c r="G152" t="s">
        <v>40</v>
      </c>
      <c r="H152" s="977">
        <f>H142</f>
        <v>3.2914285714285718</v>
      </c>
      <c r="I152" s="977">
        <f t="shared" ref="I152:J152" si="11">I142</f>
        <v>3.5047619047619052</v>
      </c>
      <c r="J152" s="977">
        <f t="shared" si="11"/>
        <v>4.1142857142857148</v>
      </c>
      <c r="K152" t="s">
        <v>1425</v>
      </c>
      <c r="L152" s="595"/>
    </row>
    <row r="153" spans="6:12">
      <c r="F153" s="22"/>
      <c r="G153" t="s">
        <v>1593</v>
      </c>
      <c r="H153" s="977">
        <f>H147</f>
        <v>7.31</v>
      </c>
      <c r="I153" s="977">
        <f t="shared" ref="I153:J153" si="12">I147</f>
        <v>7.2149382716049377</v>
      </c>
      <c r="J153" s="977">
        <f t="shared" si="12"/>
        <v>6.9433333333333325</v>
      </c>
      <c r="K153" t="s">
        <v>1425</v>
      </c>
      <c r="L153" s="595"/>
    </row>
    <row r="154" spans="6:12">
      <c r="F154" s="22"/>
      <c r="G154" t="s">
        <v>1242</v>
      </c>
      <c r="H154" s="977">
        <f>H147</f>
        <v>7.31</v>
      </c>
      <c r="I154" s="977">
        <f t="shared" ref="I154:J154" si="13">I147</f>
        <v>7.2149382716049377</v>
      </c>
      <c r="J154" s="977">
        <f t="shared" si="13"/>
        <v>6.9433333333333325</v>
      </c>
      <c r="K154" t="s">
        <v>1425</v>
      </c>
      <c r="L154" s="595"/>
    </row>
    <row r="155" spans="6:12">
      <c r="F155" s="22"/>
      <c r="G155" t="s">
        <v>1594</v>
      </c>
      <c r="H155" s="977">
        <f>H145</f>
        <v>8.42</v>
      </c>
      <c r="I155" s="977">
        <f t="shared" ref="I155:J155" si="14">I145</f>
        <v>8.7064814814814824</v>
      </c>
      <c r="J155" s="977">
        <f t="shared" si="14"/>
        <v>9.5250000000000004</v>
      </c>
      <c r="K155" t="s">
        <v>1425</v>
      </c>
      <c r="L155" s="595"/>
    </row>
    <row r="156" spans="6:12">
      <c r="F156" s="22"/>
      <c r="G156" t="s">
        <v>1595</v>
      </c>
      <c r="H156" s="977" t="e">
        <f>H150</f>
        <v>#REF!</v>
      </c>
      <c r="I156" s="977" t="e">
        <f t="shared" ref="I156:J156" si="15">I150</f>
        <v>#REF!</v>
      </c>
      <c r="J156" s="977" t="e">
        <f t="shared" si="15"/>
        <v>#REF!</v>
      </c>
      <c r="K156" t="s">
        <v>1425</v>
      </c>
      <c r="L156" s="595"/>
    </row>
    <row r="157" spans="6:12">
      <c r="F157" s="22"/>
      <c r="G157" t="s">
        <v>1596</v>
      </c>
      <c r="H157" s="977">
        <f>H148</f>
        <v>3.2914285714285718</v>
      </c>
      <c r="I157" s="977">
        <f t="shared" ref="I157:J158" si="16">I148</f>
        <v>3.5047619047619052</v>
      </c>
      <c r="J157" s="977">
        <f t="shared" si="16"/>
        <v>4.1142857142857148</v>
      </c>
      <c r="K157" t="s">
        <v>1425</v>
      </c>
      <c r="L157" s="595"/>
    </row>
    <row r="158" spans="6:12">
      <c r="F158" s="22"/>
      <c r="G158" t="s">
        <v>141</v>
      </c>
      <c r="H158" s="977">
        <f>H149</f>
        <v>20.278341062000003</v>
      </c>
      <c r="I158" s="977">
        <f t="shared" si="16"/>
        <v>21.862747212962965</v>
      </c>
      <c r="J158" s="977">
        <f t="shared" si="16"/>
        <v>26.389621930000001</v>
      </c>
      <c r="K158" t="s">
        <v>1425</v>
      </c>
      <c r="L158" s="595"/>
    </row>
    <row r="159" spans="6:12">
      <c r="F159" s="22"/>
      <c r="L159" s="595"/>
    </row>
    <row r="160" spans="6:12">
      <c r="F160" s="22" t="s">
        <v>1599</v>
      </c>
      <c r="G160" t="s">
        <v>1600</v>
      </c>
      <c r="H160" s="976" t="e">
        <f>SUMPRODUCT(H134:H140,H152:H158)</f>
        <v>#REF!</v>
      </c>
      <c r="I160" s="976" t="e">
        <f t="shared" ref="I160:J160" si="17">SUMPRODUCT(I134:I140,I152:I158)</f>
        <v>#REF!</v>
      </c>
      <c r="J160" s="976" t="e">
        <f t="shared" si="17"/>
        <v>#REF!</v>
      </c>
      <c r="K160" t="s">
        <v>1425</v>
      </c>
      <c r="L160" s="595"/>
    </row>
    <row r="161" spans="1:13">
      <c r="F161" s="22" t="s">
        <v>1599</v>
      </c>
      <c r="G161" t="s">
        <v>1600</v>
      </c>
      <c r="H161" s="976" t="e">
        <f>H160/G90</f>
        <v>#REF!</v>
      </c>
      <c r="I161" s="976" t="e">
        <f>I160/H90</f>
        <v>#REF!</v>
      </c>
      <c r="J161" s="976" t="e">
        <f>J160/I90</f>
        <v>#REF!</v>
      </c>
      <c r="K161" t="s">
        <v>1601</v>
      </c>
      <c r="L161" s="595"/>
    </row>
    <row r="162" spans="1:13">
      <c r="F162" s="31"/>
      <c r="G162" s="523"/>
      <c r="H162" s="523"/>
      <c r="I162" s="523"/>
      <c r="J162" s="523"/>
      <c r="K162" s="523"/>
      <c r="L162" s="605"/>
    </row>
    <row r="166" spans="1:13">
      <c r="G166">
        <v>2030</v>
      </c>
      <c r="I166" t="s">
        <v>1602</v>
      </c>
      <c r="J166" t="s">
        <v>1603</v>
      </c>
      <c r="K166" t="s">
        <v>1604</v>
      </c>
      <c r="L166" t="s">
        <v>1605</v>
      </c>
      <c r="M166" t="s">
        <v>1606</v>
      </c>
    </row>
    <row r="167" spans="1:13" ht="45">
      <c r="G167" s="100" t="s">
        <v>1584</v>
      </c>
      <c r="H167" s="100" t="s">
        <v>1588</v>
      </c>
      <c r="I167">
        <v>0</v>
      </c>
      <c r="J167" s="980" t="e">
        <f>H168</f>
        <v>#REF!</v>
      </c>
      <c r="L167" s="980" t="e">
        <f>J167</f>
        <v>#REF!</v>
      </c>
      <c r="M167" s="980" t="e">
        <f>H168-J167</f>
        <v>#REF!</v>
      </c>
    </row>
    <row r="168" spans="1:13">
      <c r="F168" s="829" t="s">
        <v>1496</v>
      </c>
      <c r="G168" s="576">
        <f>G118</f>
        <v>2.5910888584439311</v>
      </c>
      <c r="H168" s="980" t="e">
        <f>P118</f>
        <v>#REF!</v>
      </c>
      <c r="I168" s="498">
        <f>G168+I167</f>
        <v>2.5910888584439311</v>
      </c>
      <c r="J168" s="980" t="e">
        <f>H168</f>
        <v>#REF!</v>
      </c>
      <c r="K168" s="498">
        <f>I168-I167</f>
        <v>2.5910888584439311</v>
      </c>
      <c r="L168" s="980" t="e">
        <f t="shared" ref="L168:L173" si="18">J168</f>
        <v>#REF!</v>
      </c>
      <c r="M168" s="980" t="e">
        <f t="shared" ref="M168:M172" si="19">H169-J168</f>
        <v>#REF!</v>
      </c>
    </row>
    <row r="169" spans="1:13">
      <c r="F169" s="829" t="s">
        <v>1494</v>
      </c>
      <c r="G169" s="576">
        <f>G117</f>
        <v>2.8959228417902758</v>
      </c>
      <c r="H169" s="980" t="e">
        <f>P117</f>
        <v>#REF!</v>
      </c>
      <c r="I169" s="498">
        <f t="shared" ref="I169:I173" si="20">G169+I168</f>
        <v>5.4870117002342074</v>
      </c>
      <c r="J169" s="980" t="e">
        <f>H169</f>
        <v>#REF!</v>
      </c>
      <c r="K169" s="498">
        <f t="shared" ref="K169:K173" si="21">I169-I168</f>
        <v>2.8959228417902763</v>
      </c>
      <c r="L169" s="980" t="e">
        <f t="shared" si="18"/>
        <v>#REF!</v>
      </c>
      <c r="M169" s="980" t="e">
        <f t="shared" si="19"/>
        <v>#REF!</v>
      </c>
    </row>
    <row r="170" spans="1:13">
      <c r="F170" s="829" t="s">
        <v>1574</v>
      </c>
      <c r="G170" s="576">
        <f>G120</f>
        <v>0.15003547617827911</v>
      </c>
      <c r="H170" s="980">
        <f>P120</f>
        <v>38.756784483391833</v>
      </c>
      <c r="I170" s="498">
        <f t="shared" si="20"/>
        <v>5.6370471764124863</v>
      </c>
      <c r="J170" s="980">
        <f t="shared" ref="J170:J173" si="22">H170</f>
        <v>38.756784483391833</v>
      </c>
      <c r="K170" s="498">
        <f t="shared" si="21"/>
        <v>0.15003547617827895</v>
      </c>
      <c r="L170" s="980">
        <f t="shared" si="18"/>
        <v>38.756784483391833</v>
      </c>
      <c r="M170" s="980">
        <f t="shared" si="19"/>
        <v>44.961668108329981</v>
      </c>
    </row>
    <row r="171" spans="1:13">
      <c r="F171" s="829" t="s">
        <v>1573</v>
      </c>
      <c r="G171" s="576">
        <f>G119</f>
        <v>0.75807398490077849</v>
      </c>
      <c r="H171" s="980">
        <f>P119</f>
        <v>83.718452591721814</v>
      </c>
      <c r="I171" s="498">
        <f t="shared" si="20"/>
        <v>6.3951211613132646</v>
      </c>
      <c r="J171" s="980">
        <f t="shared" si="22"/>
        <v>83.718452591721814</v>
      </c>
      <c r="K171" s="498">
        <f t="shared" si="21"/>
        <v>0.75807398490077826</v>
      </c>
      <c r="L171" s="980">
        <f t="shared" si="18"/>
        <v>83.718452591721814</v>
      </c>
      <c r="M171" s="980" t="e">
        <f t="shared" si="19"/>
        <v>#REF!</v>
      </c>
    </row>
    <row r="172" spans="1:13" ht="13.9" customHeight="1">
      <c r="A172" s="1141" t="s">
        <v>1695</v>
      </c>
      <c r="B172" s="1141"/>
      <c r="C172" s="1141"/>
      <c r="D172" s="1141"/>
      <c r="F172" s="829" t="s">
        <v>1577</v>
      </c>
      <c r="G172" s="576">
        <f>G122</f>
        <v>1.5603689522541024</v>
      </c>
      <c r="H172" s="980" t="e">
        <f>P122</f>
        <v>#REF!</v>
      </c>
      <c r="I172" s="498">
        <f t="shared" si="20"/>
        <v>7.9554901135673672</v>
      </c>
      <c r="J172" s="980" t="e">
        <f t="shared" si="22"/>
        <v>#REF!</v>
      </c>
      <c r="K172" s="498">
        <f t="shared" si="21"/>
        <v>1.5603689522541027</v>
      </c>
      <c r="L172" s="980" t="e">
        <f t="shared" si="18"/>
        <v>#REF!</v>
      </c>
      <c r="M172" s="980" t="e">
        <f t="shared" si="19"/>
        <v>#REF!</v>
      </c>
    </row>
    <row r="173" spans="1:13">
      <c r="A173" s="1141"/>
      <c r="B173" s="1141"/>
      <c r="C173" s="1141"/>
      <c r="D173" s="1141"/>
      <c r="F173" s="829" t="s">
        <v>1514</v>
      </c>
      <c r="G173" s="576">
        <f>G123</f>
        <v>0.35563964723740227</v>
      </c>
      <c r="H173" s="980" t="e">
        <f>P123</f>
        <v>#REF!</v>
      </c>
      <c r="I173" s="498">
        <f t="shared" si="20"/>
        <v>8.3111297608047696</v>
      </c>
      <c r="J173" s="980" t="e">
        <f t="shared" si="22"/>
        <v>#REF!</v>
      </c>
      <c r="K173" s="498">
        <f t="shared" si="21"/>
        <v>0.35563964723740238</v>
      </c>
      <c r="L173" s="980" t="e">
        <f t="shared" si="18"/>
        <v>#REF!</v>
      </c>
      <c r="M173" s="980"/>
    </row>
    <row r="176" spans="1:13">
      <c r="G176" s="498"/>
      <c r="H176" s="498"/>
    </row>
    <row r="177" spans="6:20">
      <c r="G177">
        <v>2060</v>
      </c>
      <c r="I177" t="s">
        <v>1602</v>
      </c>
      <c r="J177" t="s">
        <v>1603</v>
      </c>
      <c r="K177" t="s">
        <v>1604</v>
      </c>
      <c r="L177" t="s">
        <v>1605</v>
      </c>
      <c r="M177" t="s">
        <v>1606</v>
      </c>
    </row>
    <row r="178" spans="6:20" ht="45">
      <c r="G178" s="100" t="s">
        <v>1584</v>
      </c>
      <c r="H178" s="100" t="s">
        <v>1588</v>
      </c>
      <c r="I178">
        <v>0</v>
      </c>
      <c r="J178" s="980" t="e">
        <f>H179</f>
        <v>#REF!</v>
      </c>
      <c r="L178" s="980" t="e">
        <f>J178</f>
        <v>#REF!</v>
      </c>
      <c r="M178" s="980" t="e">
        <f>H179-J178</f>
        <v>#REF!</v>
      </c>
    </row>
    <row r="179" spans="6:20">
      <c r="F179" s="829" t="s">
        <v>1496</v>
      </c>
      <c r="G179" s="498">
        <f>H118</f>
        <v>10.956379766783472</v>
      </c>
      <c r="H179" s="980" t="e">
        <f>Q118</f>
        <v>#REF!</v>
      </c>
      <c r="I179" s="498">
        <f>G179+I178</f>
        <v>10.956379766783472</v>
      </c>
      <c r="J179" s="980" t="e">
        <f>H179</f>
        <v>#REF!</v>
      </c>
      <c r="K179" s="498">
        <f>I179-I178</f>
        <v>10.956379766783472</v>
      </c>
      <c r="L179" s="980" t="e">
        <f t="shared" ref="L179:L184" si="23">J179</f>
        <v>#REF!</v>
      </c>
      <c r="M179" s="980" t="e">
        <f t="shared" ref="M179:M183" si="24">H180-J179</f>
        <v>#REF!</v>
      </c>
    </row>
    <row r="180" spans="6:20">
      <c r="F180" s="829" t="s">
        <v>1574</v>
      </c>
      <c r="G180" s="498">
        <f>H120</f>
        <v>0.46283287500000003</v>
      </c>
      <c r="H180" s="980">
        <f>Q120</f>
        <v>53.315145989642602</v>
      </c>
      <c r="I180" s="498">
        <f t="shared" ref="I180:I184" si="25">G180+I179</f>
        <v>11.419212641783473</v>
      </c>
      <c r="J180" s="980">
        <f>H180</f>
        <v>53.315145989642602</v>
      </c>
      <c r="K180" s="498">
        <f>I180-I179</f>
        <v>0.46283287500000014</v>
      </c>
      <c r="L180" s="980">
        <f t="shared" si="23"/>
        <v>53.315145989642602</v>
      </c>
      <c r="M180" s="980" t="e">
        <f t="shared" si="24"/>
        <v>#REF!</v>
      </c>
    </row>
    <row r="181" spans="6:20">
      <c r="F181" s="829" t="s">
        <v>1494</v>
      </c>
      <c r="G181" s="498">
        <f>H117</f>
        <v>5.4716020255253426</v>
      </c>
      <c r="H181" s="980" t="e">
        <f>Q117</f>
        <v>#REF!</v>
      </c>
      <c r="I181" s="498">
        <f t="shared" si="25"/>
        <v>16.890814667308817</v>
      </c>
      <c r="J181" s="980" t="e">
        <f t="shared" ref="J181:J184" si="26">H181</f>
        <v>#REF!</v>
      </c>
      <c r="K181" s="498">
        <f t="shared" ref="K181:K184" si="27">I181-I180</f>
        <v>5.4716020255253444</v>
      </c>
      <c r="L181" s="980" t="e">
        <f t="shared" si="23"/>
        <v>#REF!</v>
      </c>
      <c r="M181" s="980" t="e">
        <f t="shared" si="24"/>
        <v>#REF!</v>
      </c>
    </row>
    <row r="182" spans="6:20">
      <c r="F182" s="829" t="s">
        <v>1573</v>
      </c>
      <c r="G182" s="498">
        <f>H119</f>
        <v>1.6661983499999997</v>
      </c>
      <c r="H182" s="980">
        <f>Q119</f>
        <v>91.920265371763676</v>
      </c>
      <c r="I182" s="498">
        <f t="shared" si="25"/>
        <v>18.557013017308815</v>
      </c>
      <c r="J182" s="980">
        <f t="shared" si="26"/>
        <v>91.920265371763676</v>
      </c>
      <c r="K182" s="498">
        <f t="shared" si="27"/>
        <v>1.6661983499999984</v>
      </c>
      <c r="L182" s="980">
        <f t="shared" si="23"/>
        <v>91.920265371763676</v>
      </c>
      <c r="M182" s="980" t="e">
        <f t="shared" si="24"/>
        <v>#REF!</v>
      </c>
    </row>
    <row r="183" spans="6:20">
      <c r="F183" s="829" t="s">
        <v>1577</v>
      </c>
      <c r="G183" s="498">
        <f>H122</f>
        <v>6.0168273750000001</v>
      </c>
      <c r="H183" s="980" t="e">
        <f>Q122</f>
        <v>#REF!</v>
      </c>
      <c r="I183" s="498">
        <f t="shared" si="25"/>
        <v>24.573840392308817</v>
      </c>
      <c r="J183" s="980" t="e">
        <f t="shared" si="26"/>
        <v>#REF!</v>
      </c>
      <c r="K183" s="498">
        <f t="shared" si="27"/>
        <v>6.0168273750000019</v>
      </c>
      <c r="L183" s="980" t="e">
        <f t="shared" si="23"/>
        <v>#REF!</v>
      </c>
      <c r="M183" s="980" t="e">
        <f t="shared" si="24"/>
        <v>#REF!</v>
      </c>
    </row>
    <row r="184" spans="6:20">
      <c r="F184" s="829" t="s">
        <v>1514</v>
      </c>
      <c r="G184" s="498">
        <f>H123</f>
        <v>28.974900000000005</v>
      </c>
      <c r="H184" s="980" t="e">
        <f>Q123</f>
        <v>#REF!</v>
      </c>
      <c r="I184" s="498">
        <f t="shared" si="25"/>
        <v>53.548740392308822</v>
      </c>
      <c r="J184" s="980" t="e">
        <f t="shared" si="26"/>
        <v>#REF!</v>
      </c>
      <c r="K184" s="498">
        <f t="shared" si="27"/>
        <v>28.974900000000005</v>
      </c>
      <c r="L184" s="980" t="e">
        <f t="shared" si="23"/>
        <v>#REF!</v>
      </c>
      <c r="M184" s="980"/>
    </row>
    <row r="190" spans="6:20">
      <c r="F190" t="s">
        <v>1609</v>
      </c>
      <c r="N190" t="s">
        <v>1610</v>
      </c>
    </row>
    <row r="191" spans="6:20">
      <c r="F191" t="s">
        <v>1611</v>
      </c>
      <c r="G191" s="829" t="s">
        <v>1496</v>
      </c>
      <c r="H191" s="829" t="s">
        <v>1494</v>
      </c>
      <c r="I191" s="829" t="s">
        <v>1574</v>
      </c>
      <c r="J191" s="829" t="s">
        <v>1573</v>
      </c>
      <c r="K191" s="829" t="s">
        <v>1577</v>
      </c>
      <c r="L191" s="829" t="s">
        <v>1514</v>
      </c>
      <c r="N191" t="s">
        <v>1611</v>
      </c>
      <c r="O191" s="829" t="s">
        <v>1496</v>
      </c>
      <c r="P191" s="829" t="s">
        <v>1574</v>
      </c>
      <c r="Q191" s="829" t="s">
        <v>1494</v>
      </c>
      <c r="R191" s="829" t="s">
        <v>1573</v>
      </c>
      <c r="S191" s="829" t="s">
        <v>1577</v>
      </c>
      <c r="T191" s="829" t="s">
        <v>1514</v>
      </c>
    </row>
    <row r="192" spans="6:20">
      <c r="F192">
        <v>0.1</v>
      </c>
      <c r="G192" s="980" t="e">
        <f>$H$168</f>
        <v>#REF!</v>
      </c>
      <c r="N192">
        <v>0.1</v>
      </c>
      <c r="O192" s="980" t="e">
        <f>$H$179</f>
        <v>#REF!</v>
      </c>
    </row>
    <row r="193" spans="6:16">
      <c r="F193">
        <v>0.15</v>
      </c>
      <c r="G193" s="980" t="e">
        <f t="shared" ref="G193:G226" si="28">$H$168</f>
        <v>#REF!</v>
      </c>
      <c r="N193">
        <v>0.15</v>
      </c>
      <c r="O193" s="980" t="e">
        <f t="shared" ref="O193:O256" si="29">$H$179</f>
        <v>#REF!</v>
      </c>
    </row>
    <row r="194" spans="6:16">
      <c r="F194">
        <v>0.2</v>
      </c>
      <c r="G194" s="980" t="e">
        <f t="shared" si="28"/>
        <v>#REF!</v>
      </c>
      <c r="N194">
        <v>0.2</v>
      </c>
      <c r="O194" s="980" t="e">
        <f t="shared" si="29"/>
        <v>#REF!</v>
      </c>
    </row>
    <row r="195" spans="6:16">
      <c r="F195">
        <v>0.25</v>
      </c>
      <c r="G195" s="980" t="e">
        <f t="shared" si="28"/>
        <v>#REF!</v>
      </c>
      <c r="N195">
        <v>0.25</v>
      </c>
      <c r="O195" s="980" t="e">
        <f t="shared" si="29"/>
        <v>#REF!</v>
      </c>
    </row>
    <row r="196" spans="6:16">
      <c r="F196">
        <v>0.3</v>
      </c>
      <c r="G196" s="980" t="e">
        <f t="shared" si="28"/>
        <v>#REF!</v>
      </c>
      <c r="N196">
        <v>0.3</v>
      </c>
      <c r="O196" s="980" t="e">
        <f t="shared" si="29"/>
        <v>#REF!</v>
      </c>
    </row>
    <row r="197" spans="6:16">
      <c r="F197">
        <v>0.35</v>
      </c>
      <c r="G197" s="980" t="e">
        <f t="shared" si="28"/>
        <v>#REF!</v>
      </c>
      <c r="N197">
        <v>0.35</v>
      </c>
      <c r="O197" s="980" t="e">
        <f t="shared" si="29"/>
        <v>#REF!</v>
      </c>
    </row>
    <row r="198" spans="6:16">
      <c r="F198">
        <v>0.4</v>
      </c>
      <c r="G198" s="980" t="e">
        <f t="shared" si="28"/>
        <v>#REF!</v>
      </c>
      <c r="N198">
        <v>0.4</v>
      </c>
      <c r="O198" s="980" t="e">
        <f t="shared" si="29"/>
        <v>#REF!</v>
      </c>
    </row>
    <row r="199" spans="6:16">
      <c r="F199">
        <v>0.45</v>
      </c>
      <c r="G199" s="980" t="e">
        <f t="shared" si="28"/>
        <v>#REF!</v>
      </c>
      <c r="N199">
        <v>0.45</v>
      </c>
      <c r="O199" s="980" t="e">
        <f t="shared" si="29"/>
        <v>#REF!</v>
      </c>
    </row>
    <row r="200" spans="6:16">
      <c r="F200">
        <v>0.5</v>
      </c>
      <c r="G200" s="980" t="e">
        <f t="shared" si="28"/>
        <v>#REF!</v>
      </c>
      <c r="N200">
        <v>0.5</v>
      </c>
      <c r="O200" s="980" t="e">
        <f t="shared" si="29"/>
        <v>#REF!</v>
      </c>
    </row>
    <row r="201" spans="6:16">
      <c r="F201">
        <v>0.55000000000000004</v>
      </c>
      <c r="G201" s="980" t="e">
        <f t="shared" si="28"/>
        <v>#REF!</v>
      </c>
      <c r="N201">
        <v>0.55000000000000004</v>
      </c>
      <c r="O201" s="980" t="e">
        <f t="shared" si="29"/>
        <v>#REF!</v>
      </c>
    </row>
    <row r="202" spans="6:16">
      <c r="F202">
        <v>0.6</v>
      </c>
      <c r="G202" s="980" t="e">
        <f t="shared" si="28"/>
        <v>#REF!</v>
      </c>
      <c r="N202">
        <v>0.6</v>
      </c>
      <c r="O202" s="980" t="e">
        <f t="shared" si="29"/>
        <v>#REF!</v>
      </c>
    </row>
    <row r="203" spans="6:16">
      <c r="F203">
        <v>0.65</v>
      </c>
      <c r="G203" s="980" t="e">
        <f t="shared" si="28"/>
        <v>#REF!</v>
      </c>
      <c r="N203">
        <v>0.65</v>
      </c>
      <c r="O203" s="980" t="e">
        <f t="shared" si="29"/>
        <v>#REF!</v>
      </c>
    </row>
    <row r="204" spans="6:16">
      <c r="F204">
        <v>0.7</v>
      </c>
      <c r="G204" s="980" t="e">
        <f t="shared" si="28"/>
        <v>#REF!</v>
      </c>
      <c r="N204">
        <v>0.7</v>
      </c>
      <c r="O204" s="980" t="e">
        <f t="shared" si="29"/>
        <v>#REF!</v>
      </c>
    </row>
    <row r="205" spans="6:16">
      <c r="F205">
        <v>0.75</v>
      </c>
      <c r="G205" s="980" t="e">
        <f t="shared" si="28"/>
        <v>#REF!</v>
      </c>
      <c r="N205">
        <v>0.75</v>
      </c>
      <c r="O205" s="980" t="e">
        <f t="shared" si="29"/>
        <v>#REF!</v>
      </c>
    </row>
    <row r="206" spans="6:16">
      <c r="F206">
        <v>0.8</v>
      </c>
      <c r="G206" s="980" t="e">
        <f t="shared" si="28"/>
        <v>#REF!</v>
      </c>
      <c r="N206">
        <v>0.8</v>
      </c>
      <c r="O206" s="980" t="e">
        <f t="shared" si="29"/>
        <v>#REF!</v>
      </c>
    </row>
    <row r="207" spans="6:16">
      <c r="F207">
        <v>0.85</v>
      </c>
      <c r="G207" s="980" t="e">
        <f t="shared" si="28"/>
        <v>#REF!</v>
      </c>
      <c r="N207">
        <v>0.85</v>
      </c>
      <c r="O207" s="980" t="e">
        <f t="shared" si="29"/>
        <v>#REF!</v>
      </c>
      <c r="P207" s="980"/>
    </row>
    <row r="208" spans="6:16">
      <c r="F208">
        <v>0.9</v>
      </c>
      <c r="G208" s="980" t="e">
        <f t="shared" si="28"/>
        <v>#REF!</v>
      </c>
      <c r="N208">
        <v>0.9</v>
      </c>
      <c r="O208" s="980" t="e">
        <f t="shared" si="29"/>
        <v>#REF!</v>
      </c>
      <c r="P208" s="980"/>
    </row>
    <row r="209" spans="6:16">
      <c r="F209">
        <v>0.95</v>
      </c>
      <c r="G209" s="980" t="e">
        <f t="shared" si="28"/>
        <v>#REF!</v>
      </c>
      <c r="N209">
        <v>0.95</v>
      </c>
      <c r="O209" s="980" t="e">
        <f t="shared" si="29"/>
        <v>#REF!</v>
      </c>
      <c r="P209" s="980"/>
    </row>
    <row r="210" spans="6:16">
      <c r="F210">
        <v>1</v>
      </c>
      <c r="G210" s="980" t="e">
        <f t="shared" si="28"/>
        <v>#REF!</v>
      </c>
      <c r="N210">
        <v>1</v>
      </c>
      <c r="O210" s="980" t="e">
        <f t="shared" si="29"/>
        <v>#REF!</v>
      </c>
      <c r="P210" s="980"/>
    </row>
    <row r="211" spans="6:16">
      <c r="F211">
        <v>1.05</v>
      </c>
      <c r="G211" s="980" t="e">
        <f t="shared" si="28"/>
        <v>#REF!</v>
      </c>
      <c r="H211" s="980"/>
      <c r="N211">
        <v>1.05</v>
      </c>
      <c r="O211" s="980" t="e">
        <f t="shared" si="29"/>
        <v>#REF!</v>
      </c>
      <c r="P211" s="980"/>
    </row>
    <row r="212" spans="6:16">
      <c r="F212">
        <v>1.1000000000000001</v>
      </c>
      <c r="G212" s="980" t="e">
        <f t="shared" si="28"/>
        <v>#REF!</v>
      </c>
      <c r="H212" s="980"/>
      <c r="N212">
        <v>1.1000000000000001</v>
      </c>
      <c r="O212" s="980" t="e">
        <f t="shared" si="29"/>
        <v>#REF!</v>
      </c>
      <c r="P212" s="980"/>
    </row>
    <row r="213" spans="6:16">
      <c r="F213">
        <v>1.1499999999999999</v>
      </c>
      <c r="G213" s="980" t="e">
        <f t="shared" si="28"/>
        <v>#REF!</v>
      </c>
      <c r="H213" s="980"/>
      <c r="N213">
        <v>1.1499999999999999</v>
      </c>
      <c r="O213" s="980" t="e">
        <f t="shared" si="29"/>
        <v>#REF!</v>
      </c>
      <c r="P213" s="980"/>
    </row>
    <row r="214" spans="6:16">
      <c r="F214">
        <v>1.2</v>
      </c>
      <c r="G214" s="980" t="e">
        <f t="shared" si="28"/>
        <v>#REF!</v>
      </c>
      <c r="H214" s="980"/>
      <c r="N214">
        <v>1.2</v>
      </c>
      <c r="O214" s="980" t="e">
        <f t="shared" si="29"/>
        <v>#REF!</v>
      </c>
      <c r="P214" s="980"/>
    </row>
    <row r="215" spans="6:16">
      <c r="F215">
        <v>1.25</v>
      </c>
      <c r="G215" s="980" t="e">
        <f t="shared" si="28"/>
        <v>#REF!</v>
      </c>
      <c r="H215" s="980"/>
      <c r="N215">
        <v>1.25</v>
      </c>
      <c r="O215" s="980" t="e">
        <f t="shared" si="29"/>
        <v>#REF!</v>
      </c>
      <c r="P215" s="980"/>
    </row>
    <row r="216" spans="6:16">
      <c r="F216">
        <v>1.3</v>
      </c>
      <c r="G216" s="980" t="e">
        <f t="shared" si="28"/>
        <v>#REF!</v>
      </c>
      <c r="H216" s="980"/>
      <c r="N216">
        <v>1.3</v>
      </c>
      <c r="O216" s="980" t="e">
        <f t="shared" si="29"/>
        <v>#REF!</v>
      </c>
      <c r="P216" s="980"/>
    </row>
    <row r="217" spans="6:16">
      <c r="F217">
        <v>1.35</v>
      </c>
      <c r="G217" s="980" t="e">
        <f t="shared" si="28"/>
        <v>#REF!</v>
      </c>
      <c r="H217" s="980"/>
      <c r="N217">
        <v>1.35</v>
      </c>
      <c r="O217" s="980" t="e">
        <f t="shared" si="29"/>
        <v>#REF!</v>
      </c>
      <c r="P217" s="980"/>
    </row>
    <row r="218" spans="6:16">
      <c r="F218">
        <v>1.4</v>
      </c>
      <c r="G218" s="980" t="e">
        <f t="shared" si="28"/>
        <v>#REF!</v>
      </c>
      <c r="H218" s="980"/>
      <c r="N218">
        <v>1.4</v>
      </c>
      <c r="O218" s="980" t="e">
        <f t="shared" si="29"/>
        <v>#REF!</v>
      </c>
      <c r="P218" s="980"/>
    </row>
    <row r="219" spans="6:16">
      <c r="F219">
        <v>1.45</v>
      </c>
      <c r="G219" s="980" t="e">
        <f t="shared" si="28"/>
        <v>#REF!</v>
      </c>
      <c r="H219" s="980"/>
      <c r="N219">
        <v>1.45</v>
      </c>
      <c r="O219" s="980" t="e">
        <f t="shared" si="29"/>
        <v>#REF!</v>
      </c>
      <c r="P219" s="980"/>
    </row>
    <row r="220" spans="6:16">
      <c r="F220">
        <v>1.5</v>
      </c>
      <c r="G220" s="980" t="e">
        <f t="shared" si="28"/>
        <v>#REF!</v>
      </c>
      <c r="H220" s="980"/>
      <c r="N220">
        <v>1.5</v>
      </c>
      <c r="O220" s="980" t="e">
        <f t="shared" si="29"/>
        <v>#REF!</v>
      </c>
      <c r="P220" s="980"/>
    </row>
    <row r="221" spans="6:16">
      <c r="F221">
        <v>1.55</v>
      </c>
      <c r="G221" s="980" t="e">
        <f t="shared" si="28"/>
        <v>#REF!</v>
      </c>
      <c r="H221" s="980"/>
      <c r="N221">
        <v>1.55</v>
      </c>
      <c r="O221" s="980" t="e">
        <f t="shared" si="29"/>
        <v>#REF!</v>
      </c>
      <c r="P221" s="980"/>
    </row>
    <row r="222" spans="6:16">
      <c r="F222">
        <v>1.6</v>
      </c>
      <c r="G222" s="980" t="e">
        <f t="shared" si="28"/>
        <v>#REF!</v>
      </c>
      <c r="H222" s="980"/>
      <c r="N222">
        <v>1.6</v>
      </c>
      <c r="O222" s="980" t="e">
        <f t="shared" si="29"/>
        <v>#REF!</v>
      </c>
      <c r="P222" s="980"/>
    </row>
    <row r="223" spans="6:16">
      <c r="F223">
        <v>1.65</v>
      </c>
      <c r="G223" s="980" t="e">
        <f t="shared" si="28"/>
        <v>#REF!</v>
      </c>
      <c r="H223" s="980"/>
      <c r="I223" s="980"/>
      <c r="N223">
        <v>1.65</v>
      </c>
      <c r="O223" s="980" t="e">
        <f t="shared" si="29"/>
        <v>#REF!</v>
      </c>
      <c r="P223" s="980"/>
    </row>
    <row r="224" spans="6:16">
      <c r="F224">
        <v>1.7</v>
      </c>
      <c r="G224" s="980" t="e">
        <f t="shared" si="28"/>
        <v>#REF!</v>
      </c>
      <c r="I224" s="980"/>
      <c r="N224">
        <v>1.7</v>
      </c>
      <c r="O224" s="980" t="e">
        <f t="shared" si="29"/>
        <v>#REF!</v>
      </c>
      <c r="P224" s="980"/>
    </row>
    <row r="225" spans="6:16">
      <c r="F225">
        <v>1.75</v>
      </c>
      <c r="G225" s="980" t="e">
        <f t="shared" si="28"/>
        <v>#REF!</v>
      </c>
      <c r="I225" s="980"/>
      <c r="N225">
        <v>1.75</v>
      </c>
      <c r="O225" s="980" t="e">
        <f t="shared" si="29"/>
        <v>#REF!</v>
      </c>
      <c r="P225" s="980"/>
    </row>
    <row r="226" spans="6:16">
      <c r="F226">
        <v>1.8</v>
      </c>
      <c r="G226" s="980" t="e">
        <f t="shared" si="28"/>
        <v>#REF!</v>
      </c>
      <c r="I226" s="980"/>
      <c r="N226">
        <v>1.8</v>
      </c>
      <c r="O226" s="980" t="e">
        <f t="shared" si="29"/>
        <v>#REF!</v>
      </c>
      <c r="P226" s="980"/>
    </row>
    <row r="227" spans="6:16">
      <c r="F227">
        <v>1.85</v>
      </c>
      <c r="H227" s="980" t="e">
        <f>$H$169</f>
        <v>#REF!</v>
      </c>
      <c r="I227" s="980"/>
      <c r="N227">
        <v>1.85</v>
      </c>
      <c r="O227" s="980" t="e">
        <f t="shared" si="29"/>
        <v>#REF!</v>
      </c>
      <c r="P227" s="980"/>
    </row>
    <row r="228" spans="6:16">
      <c r="F228">
        <v>1.9</v>
      </c>
      <c r="H228" s="980" t="e">
        <f>H227</f>
        <v>#REF!</v>
      </c>
      <c r="I228" s="980"/>
      <c r="N228">
        <v>1.9</v>
      </c>
      <c r="O228" s="980" t="e">
        <f t="shared" si="29"/>
        <v>#REF!</v>
      </c>
      <c r="P228" s="980"/>
    </row>
    <row r="229" spans="6:16">
      <c r="F229">
        <v>1.95</v>
      </c>
      <c r="H229" s="980" t="e">
        <f t="shared" ref="H229" si="30">$H$169</f>
        <v>#REF!</v>
      </c>
      <c r="I229" s="980"/>
      <c r="N229">
        <v>1.95</v>
      </c>
      <c r="O229" s="980" t="e">
        <f t="shared" si="29"/>
        <v>#REF!</v>
      </c>
      <c r="P229" s="980"/>
    </row>
    <row r="230" spans="6:16">
      <c r="F230">
        <v>2</v>
      </c>
      <c r="H230" s="980" t="e">
        <f t="shared" ref="H230" si="31">H229</f>
        <v>#REF!</v>
      </c>
      <c r="I230" s="980"/>
      <c r="N230">
        <v>2</v>
      </c>
      <c r="O230" s="980" t="e">
        <f t="shared" si="29"/>
        <v>#REF!</v>
      </c>
      <c r="P230" s="980"/>
    </row>
    <row r="231" spans="6:16">
      <c r="F231">
        <v>2.0499999999999998</v>
      </c>
      <c r="H231" s="980" t="e">
        <f t="shared" ref="H231" si="32">$H$169</f>
        <v>#REF!</v>
      </c>
      <c r="I231" s="980"/>
      <c r="N231">
        <v>2.0499999999999998</v>
      </c>
      <c r="O231" s="980" t="e">
        <f t="shared" si="29"/>
        <v>#REF!</v>
      </c>
      <c r="P231" s="980"/>
    </row>
    <row r="232" spans="6:16">
      <c r="F232">
        <v>2.1</v>
      </c>
      <c r="H232" s="980" t="e">
        <f t="shared" ref="H232" si="33">H231</f>
        <v>#REF!</v>
      </c>
      <c r="I232" s="980"/>
      <c r="N232">
        <v>2.1</v>
      </c>
      <c r="O232" s="980" t="e">
        <f t="shared" si="29"/>
        <v>#REF!</v>
      </c>
      <c r="P232" s="980"/>
    </row>
    <row r="233" spans="6:16">
      <c r="F233">
        <v>2.15</v>
      </c>
      <c r="H233" s="980" t="e">
        <f t="shared" ref="H233" si="34">$H$169</f>
        <v>#REF!</v>
      </c>
      <c r="I233" s="980"/>
      <c r="N233">
        <v>2.15</v>
      </c>
      <c r="O233" s="980" t="e">
        <f t="shared" si="29"/>
        <v>#REF!</v>
      </c>
      <c r="P233" s="980"/>
    </row>
    <row r="234" spans="6:16">
      <c r="F234">
        <v>2.2000000000000002</v>
      </c>
      <c r="H234" s="980" t="e">
        <f t="shared" ref="H234" si="35">H233</f>
        <v>#REF!</v>
      </c>
      <c r="I234" s="980"/>
      <c r="N234">
        <v>2.2000000000000002</v>
      </c>
      <c r="O234" s="980" t="e">
        <f t="shared" si="29"/>
        <v>#REF!</v>
      </c>
      <c r="P234" s="980"/>
    </row>
    <row r="235" spans="6:16">
      <c r="F235">
        <v>2.25</v>
      </c>
      <c r="H235" s="980" t="e">
        <f t="shared" ref="H235" si="36">$H$169</f>
        <v>#REF!</v>
      </c>
      <c r="I235" s="980"/>
      <c r="N235">
        <v>2.25</v>
      </c>
      <c r="O235" s="980" t="e">
        <f t="shared" si="29"/>
        <v>#REF!</v>
      </c>
      <c r="P235" s="980"/>
    </row>
    <row r="236" spans="6:16">
      <c r="F236">
        <v>2.2999999999999998</v>
      </c>
      <c r="H236" s="980" t="e">
        <f t="shared" ref="H236" si="37">H235</f>
        <v>#REF!</v>
      </c>
      <c r="I236" s="980"/>
      <c r="N236">
        <v>2.2999999999999998</v>
      </c>
      <c r="O236" s="980" t="e">
        <f t="shared" si="29"/>
        <v>#REF!</v>
      </c>
      <c r="P236" s="980"/>
    </row>
    <row r="237" spans="6:16">
      <c r="F237">
        <v>2.35</v>
      </c>
      <c r="H237" s="980" t="e">
        <f t="shared" ref="H237" si="38">$H$169</f>
        <v>#REF!</v>
      </c>
      <c r="I237" s="980"/>
      <c r="N237">
        <v>2.35</v>
      </c>
      <c r="O237" s="980" t="e">
        <f t="shared" si="29"/>
        <v>#REF!</v>
      </c>
      <c r="P237" s="980"/>
    </row>
    <row r="238" spans="6:16">
      <c r="F238">
        <v>2.4</v>
      </c>
      <c r="H238" s="980" t="e">
        <f t="shared" ref="H238" si="39">H237</f>
        <v>#REF!</v>
      </c>
      <c r="I238" s="980"/>
      <c r="N238">
        <v>2.4</v>
      </c>
      <c r="O238" s="980" t="e">
        <f t="shared" si="29"/>
        <v>#REF!</v>
      </c>
      <c r="P238" s="980"/>
    </row>
    <row r="239" spans="6:16">
      <c r="F239">
        <v>2.4500000000000002</v>
      </c>
      <c r="H239" s="980" t="e">
        <f t="shared" ref="H239" si="40">$H$169</f>
        <v>#REF!</v>
      </c>
      <c r="I239" s="980"/>
      <c r="N239">
        <v>2.4500000000000002</v>
      </c>
      <c r="O239" s="980" t="e">
        <f t="shared" si="29"/>
        <v>#REF!</v>
      </c>
      <c r="P239" s="980"/>
    </row>
    <row r="240" spans="6:16">
      <c r="F240">
        <v>2.5</v>
      </c>
      <c r="H240" s="980" t="e">
        <f t="shared" ref="H240" si="41">H239</f>
        <v>#REF!</v>
      </c>
      <c r="I240" s="980"/>
      <c r="N240">
        <v>2.5</v>
      </c>
      <c r="O240" s="980" t="e">
        <f t="shared" si="29"/>
        <v>#REF!</v>
      </c>
      <c r="P240" s="980"/>
    </row>
    <row r="241" spans="6:16">
      <c r="F241">
        <v>2.5499999999999998</v>
      </c>
      <c r="H241" s="980" t="e">
        <f t="shared" ref="H241" si="42">$H$169</f>
        <v>#REF!</v>
      </c>
      <c r="I241" s="980"/>
      <c r="N241">
        <v>2.5499999999999998</v>
      </c>
      <c r="O241" s="980" t="e">
        <f t="shared" si="29"/>
        <v>#REF!</v>
      </c>
      <c r="P241" s="980"/>
    </row>
    <row r="242" spans="6:16">
      <c r="F242">
        <v>2.6</v>
      </c>
      <c r="H242" s="980" t="e">
        <f t="shared" ref="H242" si="43">H241</f>
        <v>#REF!</v>
      </c>
      <c r="I242" s="980"/>
      <c r="N242">
        <v>2.6</v>
      </c>
      <c r="O242" s="980" t="e">
        <f t="shared" si="29"/>
        <v>#REF!</v>
      </c>
      <c r="P242" s="980"/>
    </row>
    <row r="243" spans="6:16">
      <c r="F243">
        <v>2.65</v>
      </c>
      <c r="H243" s="980" t="e">
        <f t="shared" ref="H243" si="44">$H$169</f>
        <v>#REF!</v>
      </c>
      <c r="I243" s="980"/>
      <c r="N243">
        <v>2.65</v>
      </c>
      <c r="O243" s="980" t="e">
        <f t="shared" si="29"/>
        <v>#REF!</v>
      </c>
      <c r="P243" s="980"/>
    </row>
    <row r="244" spans="6:16">
      <c r="F244">
        <v>2.7</v>
      </c>
      <c r="H244" s="980" t="e">
        <f t="shared" ref="H244" si="45">H243</f>
        <v>#REF!</v>
      </c>
      <c r="I244" s="980"/>
      <c r="N244">
        <v>2.7</v>
      </c>
      <c r="O244" s="980" t="e">
        <f t="shared" si="29"/>
        <v>#REF!</v>
      </c>
      <c r="P244" s="980"/>
    </row>
    <row r="245" spans="6:16">
      <c r="F245">
        <v>2.75</v>
      </c>
      <c r="H245" s="980" t="e">
        <f t="shared" ref="H245" si="46">$H$169</f>
        <v>#REF!</v>
      </c>
      <c r="I245" s="980"/>
      <c r="N245">
        <v>2.75</v>
      </c>
      <c r="O245" s="980" t="e">
        <f t="shared" si="29"/>
        <v>#REF!</v>
      </c>
      <c r="P245" s="980"/>
    </row>
    <row r="246" spans="6:16">
      <c r="F246">
        <v>2.8</v>
      </c>
      <c r="H246" s="980" t="e">
        <f t="shared" ref="H246" si="47">H245</f>
        <v>#REF!</v>
      </c>
      <c r="I246" s="980"/>
      <c r="N246">
        <v>2.8</v>
      </c>
      <c r="O246" s="980" t="e">
        <f t="shared" si="29"/>
        <v>#REF!</v>
      </c>
      <c r="P246" s="980"/>
    </row>
    <row r="247" spans="6:16">
      <c r="F247">
        <v>2.85</v>
      </c>
      <c r="H247" s="980" t="e">
        <f t="shared" ref="H247" si="48">$H$169</f>
        <v>#REF!</v>
      </c>
      <c r="I247" s="980"/>
      <c r="N247">
        <v>2.85</v>
      </c>
      <c r="O247" s="980" t="e">
        <f t="shared" si="29"/>
        <v>#REF!</v>
      </c>
      <c r="P247" s="980"/>
    </row>
    <row r="248" spans="6:16">
      <c r="F248">
        <v>2.9</v>
      </c>
      <c r="H248" s="980" t="e">
        <f t="shared" ref="H248" si="49">H247</f>
        <v>#REF!</v>
      </c>
      <c r="I248" s="980"/>
      <c r="N248">
        <v>2.9</v>
      </c>
      <c r="O248" s="980" t="e">
        <f t="shared" si="29"/>
        <v>#REF!</v>
      </c>
      <c r="P248" s="980"/>
    </row>
    <row r="249" spans="6:16">
      <c r="F249">
        <v>2.95</v>
      </c>
      <c r="H249" s="980" t="e">
        <f>$H$169</f>
        <v>#REF!</v>
      </c>
      <c r="I249" s="980"/>
      <c r="N249">
        <v>2.95</v>
      </c>
      <c r="O249" s="980" t="e">
        <f t="shared" si="29"/>
        <v>#REF!</v>
      </c>
      <c r="P249" s="980"/>
    </row>
    <row r="250" spans="6:16">
      <c r="F250">
        <v>3</v>
      </c>
      <c r="H250" s="980" t="e">
        <f>H249</f>
        <v>#REF!</v>
      </c>
      <c r="I250" s="980"/>
      <c r="N250">
        <v>3</v>
      </c>
      <c r="O250" s="980" t="e">
        <f t="shared" si="29"/>
        <v>#REF!</v>
      </c>
      <c r="P250" s="980"/>
    </row>
    <row r="251" spans="6:16">
      <c r="F251">
        <v>3.05</v>
      </c>
      <c r="H251" s="980" t="e">
        <f t="shared" ref="H251" si="50">$H$169</f>
        <v>#REF!</v>
      </c>
      <c r="I251" s="980"/>
      <c r="N251">
        <v>3.05</v>
      </c>
      <c r="O251" s="980" t="e">
        <f t="shared" si="29"/>
        <v>#REF!</v>
      </c>
      <c r="P251" s="980"/>
    </row>
    <row r="252" spans="6:16">
      <c r="F252">
        <v>3.1</v>
      </c>
      <c r="H252" s="980" t="e">
        <f t="shared" ref="H252" si="51">H251</f>
        <v>#REF!</v>
      </c>
      <c r="I252" s="980"/>
      <c r="N252">
        <v>3.1</v>
      </c>
      <c r="O252" s="980" t="e">
        <f t="shared" si="29"/>
        <v>#REF!</v>
      </c>
      <c r="P252" s="980"/>
    </row>
    <row r="253" spans="6:16">
      <c r="F253">
        <v>3.15</v>
      </c>
      <c r="H253" s="980" t="e">
        <f t="shared" ref="H253" si="52">$H$169</f>
        <v>#REF!</v>
      </c>
      <c r="I253" s="980"/>
      <c r="N253">
        <v>3.15</v>
      </c>
      <c r="O253" s="980" t="e">
        <f t="shared" si="29"/>
        <v>#REF!</v>
      </c>
      <c r="P253" s="980"/>
    </row>
    <row r="254" spans="6:16">
      <c r="F254">
        <v>3.2</v>
      </c>
      <c r="H254" s="980" t="e">
        <f t="shared" ref="H254" si="53">H253</f>
        <v>#REF!</v>
      </c>
      <c r="I254" s="980"/>
      <c r="N254">
        <v>3.2</v>
      </c>
      <c r="O254" s="980" t="e">
        <f t="shared" si="29"/>
        <v>#REF!</v>
      </c>
      <c r="P254" s="980"/>
    </row>
    <row r="255" spans="6:16">
      <c r="F255">
        <v>3.25</v>
      </c>
      <c r="H255" s="980" t="e">
        <f t="shared" ref="H255" si="54">$H$169</f>
        <v>#REF!</v>
      </c>
      <c r="I255" s="980"/>
      <c r="N255">
        <v>3.25</v>
      </c>
      <c r="O255" s="980" t="e">
        <f t="shared" si="29"/>
        <v>#REF!</v>
      </c>
      <c r="P255" s="980"/>
    </row>
    <row r="256" spans="6:16">
      <c r="F256">
        <v>3.3</v>
      </c>
      <c r="H256" s="980" t="e">
        <f t="shared" ref="H256" si="55">H255</f>
        <v>#REF!</v>
      </c>
      <c r="I256" s="980"/>
      <c r="N256">
        <v>3.3</v>
      </c>
      <c r="O256" s="980" t="e">
        <f t="shared" si="29"/>
        <v>#REF!</v>
      </c>
      <c r="P256" s="980"/>
    </row>
    <row r="257" spans="6:16">
      <c r="F257">
        <v>3.35</v>
      </c>
      <c r="H257" s="980" t="e">
        <f t="shared" ref="H257" si="56">$H$169</f>
        <v>#REF!</v>
      </c>
      <c r="I257" s="980"/>
      <c r="N257">
        <v>3.35</v>
      </c>
      <c r="O257" s="980" t="e">
        <f t="shared" ref="O257:O286" si="57">$H$179</f>
        <v>#REF!</v>
      </c>
      <c r="P257" s="980"/>
    </row>
    <row r="258" spans="6:16">
      <c r="F258">
        <v>3.4</v>
      </c>
      <c r="H258" s="980" t="e">
        <f t="shared" ref="H258" si="58">H257</f>
        <v>#REF!</v>
      </c>
      <c r="I258" s="980"/>
      <c r="N258">
        <v>3.4</v>
      </c>
      <c r="O258" s="980" t="e">
        <f t="shared" si="57"/>
        <v>#REF!</v>
      </c>
      <c r="P258" s="980"/>
    </row>
    <row r="259" spans="6:16">
      <c r="F259">
        <v>3.45</v>
      </c>
      <c r="H259" s="980" t="e">
        <f t="shared" ref="H259" si="59">$H$169</f>
        <v>#REF!</v>
      </c>
      <c r="J259" s="980"/>
      <c r="N259">
        <v>3.45</v>
      </c>
      <c r="O259" s="980" t="e">
        <f t="shared" si="57"/>
        <v>#REF!</v>
      </c>
      <c r="P259" s="980"/>
    </row>
    <row r="260" spans="6:16">
      <c r="F260">
        <v>3.5</v>
      </c>
      <c r="H260" s="980" t="e">
        <f t="shared" ref="H260" si="60">H259</f>
        <v>#REF!</v>
      </c>
      <c r="J260" s="980"/>
      <c r="N260">
        <v>3.5</v>
      </c>
      <c r="O260" s="980" t="e">
        <f t="shared" si="57"/>
        <v>#REF!</v>
      </c>
      <c r="P260" s="980"/>
    </row>
    <row r="261" spans="6:16">
      <c r="F261">
        <v>3.55</v>
      </c>
      <c r="H261" s="980" t="e">
        <f t="shared" ref="H261" si="61">$H$169</f>
        <v>#REF!</v>
      </c>
      <c r="J261" s="980"/>
      <c r="N261">
        <v>3.55</v>
      </c>
      <c r="O261" s="980" t="e">
        <f t="shared" si="57"/>
        <v>#REF!</v>
      </c>
      <c r="P261" s="980"/>
    </row>
    <row r="262" spans="6:16">
      <c r="F262">
        <v>3.6</v>
      </c>
      <c r="H262" s="980" t="e">
        <f t="shared" ref="H262" si="62">H261</f>
        <v>#REF!</v>
      </c>
      <c r="J262" s="980"/>
      <c r="N262">
        <v>3.6</v>
      </c>
      <c r="O262" s="980" t="e">
        <f t="shared" si="57"/>
        <v>#REF!</v>
      </c>
      <c r="P262" s="980"/>
    </row>
    <row r="263" spans="6:16">
      <c r="F263">
        <v>3.65</v>
      </c>
      <c r="H263" s="980" t="e">
        <f t="shared" ref="H263" si="63">$H$169</f>
        <v>#REF!</v>
      </c>
      <c r="J263" s="980"/>
      <c r="N263">
        <v>3.65</v>
      </c>
      <c r="O263" s="980" t="e">
        <f t="shared" si="57"/>
        <v>#REF!</v>
      </c>
      <c r="P263" s="980"/>
    </row>
    <row r="264" spans="6:16">
      <c r="F264">
        <v>3.7</v>
      </c>
      <c r="H264" s="980" t="e">
        <f t="shared" ref="H264" si="64">H263</f>
        <v>#REF!</v>
      </c>
      <c r="J264" s="980"/>
      <c r="K264" s="980"/>
      <c r="N264">
        <v>3.7</v>
      </c>
      <c r="O264" s="980" t="e">
        <f t="shared" si="57"/>
        <v>#REF!</v>
      </c>
      <c r="P264" s="980"/>
    </row>
    <row r="265" spans="6:16">
      <c r="F265">
        <v>3.75</v>
      </c>
      <c r="H265" s="980" t="e">
        <f t="shared" ref="H265" si="65">$H$169</f>
        <v>#REF!</v>
      </c>
      <c r="K265" s="980"/>
      <c r="N265">
        <v>3.75</v>
      </c>
      <c r="O265" s="980" t="e">
        <f t="shared" si="57"/>
        <v>#REF!</v>
      </c>
      <c r="P265" s="980"/>
    </row>
    <row r="266" spans="6:16">
      <c r="F266">
        <v>3.8</v>
      </c>
      <c r="H266" s="980" t="e">
        <f t="shared" ref="H266" si="66">H265</f>
        <v>#REF!</v>
      </c>
      <c r="K266" s="980"/>
      <c r="N266">
        <v>3.8</v>
      </c>
      <c r="O266" s="980" t="e">
        <f t="shared" si="57"/>
        <v>#REF!</v>
      </c>
      <c r="P266" s="980"/>
    </row>
    <row r="267" spans="6:16">
      <c r="F267">
        <v>3.85</v>
      </c>
      <c r="I267" s="980">
        <f>$H$170</f>
        <v>38.756784483391833</v>
      </c>
      <c r="K267" s="980"/>
      <c r="N267">
        <v>3.85</v>
      </c>
      <c r="O267" s="980" t="e">
        <f t="shared" si="57"/>
        <v>#REF!</v>
      </c>
      <c r="P267" s="980"/>
    </row>
    <row r="268" spans="6:16">
      <c r="F268">
        <v>3.9</v>
      </c>
      <c r="I268" s="980">
        <f>$H$170</f>
        <v>38.756784483391833</v>
      </c>
      <c r="K268" s="980"/>
      <c r="N268">
        <v>3.9</v>
      </c>
      <c r="O268" s="980" t="e">
        <f t="shared" si="57"/>
        <v>#REF!</v>
      </c>
      <c r="P268" s="980"/>
    </row>
    <row r="269" spans="6:16">
      <c r="F269">
        <v>3.95</v>
      </c>
      <c r="J269" s="980">
        <f>$H$171</f>
        <v>83.718452591721814</v>
      </c>
      <c r="K269" s="980"/>
      <c r="N269">
        <v>3.95</v>
      </c>
      <c r="O269" s="980" t="e">
        <f t="shared" si="57"/>
        <v>#REF!</v>
      </c>
      <c r="P269" s="980"/>
    </row>
    <row r="270" spans="6:16">
      <c r="F270">
        <v>4</v>
      </c>
      <c r="J270" s="980">
        <f t="shared" ref="J270:J278" si="67">$H$171</f>
        <v>83.718452591721814</v>
      </c>
      <c r="K270" s="980"/>
      <c r="N270">
        <v>4</v>
      </c>
      <c r="O270" s="980" t="e">
        <f t="shared" si="57"/>
        <v>#REF!</v>
      </c>
      <c r="P270" s="980"/>
    </row>
    <row r="271" spans="6:16">
      <c r="F271">
        <v>4.05</v>
      </c>
      <c r="J271" s="980">
        <f t="shared" si="67"/>
        <v>83.718452591721814</v>
      </c>
      <c r="K271" s="980"/>
      <c r="N271">
        <v>4.05</v>
      </c>
      <c r="O271" s="980" t="e">
        <f t="shared" si="57"/>
        <v>#REF!</v>
      </c>
      <c r="P271" s="980"/>
    </row>
    <row r="272" spans="6:16">
      <c r="F272">
        <v>4.0999999999999996</v>
      </c>
      <c r="J272" s="980">
        <f t="shared" si="67"/>
        <v>83.718452591721814</v>
      </c>
      <c r="K272" s="980"/>
      <c r="N272">
        <v>4.0999999999999996</v>
      </c>
      <c r="O272" s="980" t="e">
        <f t="shared" si="57"/>
        <v>#REF!</v>
      </c>
      <c r="P272" s="980"/>
    </row>
    <row r="273" spans="6:16">
      <c r="F273">
        <v>4.1500000000000004</v>
      </c>
      <c r="J273" s="980">
        <f t="shared" si="67"/>
        <v>83.718452591721814</v>
      </c>
      <c r="K273" s="980"/>
      <c r="N273">
        <v>4.1500000000000004</v>
      </c>
      <c r="O273" s="980" t="e">
        <f t="shared" si="57"/>
        <v>#REF!</v>
      </c>
      <c r="P273" s="980"/>
    </row>
    <row r="274" spans="6:16">
      <c r="F274">
        <v>4.2</v>
      </c>
      <c r="J274" s="980">
        <f t="shared" si="67"/>
        <v>83.718452591721814</v>
      </c>
      <c r="L274" s="980"/>
      <c r="N274">
        <v>4.2</v>
      </c>
      <c r="O274" s="980" t="e">
        <f t="shared" si="57"/>
        <v>#REF!</v>
      </c>
      <c r="P274" s="980"/>
    </row>
    <row r="275" spans="6:16">
      <c r="F275">
        <v>4.25</v>
      </c>
      <c r="J275" s="980">
        <f t="shared" si="67"/>
        <v>83.718452591721814</v>
      </c>
      <c r="L275" s="980"/>
      <c r="N275">
        <v>4.25</v>
      </c>
      <c r="O275" s="980" t="e">
        <f t="shared" si="57"/>
        <v>#REF!</v>
      </c>
      <c r="P275" s="980"/>
    </row>
    <row r="276" spans="6:16">
      <c r="F276">
        <v>4.3</v>
      </c>
      <c r="J276" s="980">
        <f t="shared" si="67"/>
        <v>83.718452591721814</v>
      </c>
      <c r="L276" s="980"/>
      <c r="N276">
        <v>4.3</v>
      </c>
      <c r="O276" s="980" t="e">
        <f t="shared" si="57"/>
        <v>#REF!</v>
      </c>
      <c r="P276" s="980"/>
    </row>
    <row r="277" spans="6:16">
      <c r="F277">
        <v>4.3499999999999996</v>
      </c>
      <c r="J277" s="980">
        <f t="shared" si="67"/>
        <v>83.718452591721814</v>
      </c>
      <c r="L277" s="980"/>
      <c r="N277">
        <v>4.3499999999999996</v>
      </c>
      <c r="O277" s="980" t="e">
        <f t="shared" si="57"/>
        <v>#REF!</v>
      </c>
      <c r="P277" s="980"/>
    </row>
    <row r="278" spans="6:16">
      <c r="F278">
        <v>4.4000000000000004</v>
      </c>
      <c r="J278" s="980">
        <f t="shared" si="67"/>
        <v>83.718452591721814</v>
      </c>
      <c r="L278" s="980"/>
      <c r="N278">
        <v>4.4000000000000004</v>
      </c>
      <c r="O278" s="980" t="e">
        <f t="shared" si="57"/>
        <v>#REF!</v>
      </c>
      <c r="P278" s="980"/>
    </row>
    <row r="279" spans="6:16">
      <c r="F279">
        <v>4.45</v>
      </c>
      <c r="K279" s="980" t="e">
        <f>$H$172</f>
        <v>#REF!</v>
      </c>
      <c r="L279" s="980"/>
      <c r="N279">
        <v>4.45</v>
      </c>
      <c r="O279" s="980" t="e">
        <f t="shared" si="57"/>
        <v>#REF!</v>
      </c>
      <c r="P279" s="980"/>
    </row>
    <row r="280" spans="6:16">
      <c r="F280">
        <v>4.5</v>
      </c>
      <c r="K280" s="980" t="e">
        <f t="shared" ref="K280:K300" si="68">$H$172</f>
        <v>#REF!</v>
      </c>
      <c r="N280">
        <v>4.5</v>
      </c>
      <c r="O280" s="980" t="e">
        <f t="shared" si="57"/>
        <v>#REF!</v>
      </c>
      <c r="P280" s="980"/>
    </row>
    <row r="281" spans="6:16">
      <c r="F281">
        <v>4.55</v>
      </c>
      <c r="K281" s="980" t="e">
        <f t="shared" si="68"/>
        <v>#REF!</v>
      </c>
      <c r="N281">
        <v>4.55</v>
      </c>
      <c r="O281" s="980" t="e">
        <f t="shared" si="57"/>
        <v>#REF!</v>
      </c>
      <c r="P281" s="980"/>
    </row>
    <row r="282" spans="6:16">
      <c r="F282">
        <v>4.5999999999999996</v>
      </c>
      <c r="K282" s="980" t="e">
        <f t="shared" si="68"/>
        <v>#REF!</v>
      </c>
      <c r="N282">
        <v>4.5999999999999996</v>
      </c>
      <c r="O282" s="980" t="e">
        <f t="shared" si="57"/>
        <v>#REF!</v>
      </c>
      <c r="P282" s="980"/>
    </row>
    <row r="283" spans="6:16">
      <c r="F283">
        <v>4.6500000000000004</v>
      </c>
      <c r="K283" s="980" t="e">
        <f t="shared" si="68"/>
        <v>#REF!</v>
      </c>
      <c r="N283">
        <v>4.6500000000000004</v>
      </c>
      <c r="O283" s="980" t="e">
        <f t="shared" si="57"/>
        <v>#REF!</v>
      </c>
      <c r="P283" s="980"/>
    </row>
    <row r="284" spans="6:16">
      <c r="F284">
        <v>4.7</v>
      </c>
      <c r="K284" s="980" t="e">
        <f t="shared" si="68"/>
        <v>#REF!</v>
      </c>
      <c r="N284">
        <v>4.7</v>
      </c>
      <c r="O284" s="980" t="e">
        <f t="shared" si="57"/>
        <v>#REF!</v>
      </c>
      <c r="P284" s="980"/>
    </row>
    <row r="285" spans="6:16">
      <c r="F285">
        <v>4.7500000000000098</v>
      </c>
      <c r="K285" s="980" t="e">
        <f t="shared" si="68"/>
        <v>#REF!</v>
      </c>
      <c r="N285">
        <v>4.75</v>
      </c>
      <c r="O285" s="980" t="e">
        <f t="shared" si="57"/>
        <v>#REF!</v>
      </c>
      <c r="P285" s="980"/>
    </row>
    <row r="286" spans="6:16">
      <c r="F286">
        <v>4.8000000000000096</v>
      </c>
      <c r="K286" s="980" t="e">
        <f t="shared" si="68"/>
        <v>#REF!</v>
      </c>
      <c r="N286">
        <v>4.8</v>
      </c>
      <c r="O286" s="980" t="e">
        <f t="shared" si="57"/>
        <v>#REF!</v>
      </c>
      <c r="P286" s="980"/>
    </row>
    <row r="287" spans="6:16">
      <c r="F287">
        <v>4.8500000000000103</v>
      </c>
      <c r="K287" s="980" t="e">
        <f t="shared" si="68"/>
        <v>#REF!</v>
      </c>
      <c r="N287">
        <v>4.8499999999999996</v>
      </c>
      <c r="O287" s="980"/>
      <c r="P287" s="980">
        <f>$H$180</f>
        <v>53.315145989642602</v>
      </c>
    </row>
    <row r="288" spans="6:16">
      <c r="F288">
        <v>4.9000000000000101</v>
      </c>
      <c r="K288" s="980" t="e">
        <f t="shared" si="68"/>
        <v>#REF!</v>
      </c>
      <c r="N288">
        <v>4.9000000000000004</v>
      </c>
      <c r="P288" s="980">
        <f t="shared" ref="P288:P292" si="69">$H$180</f>
        <v>53.315145989642602</v>
      </c>
    </row>
    <row r="289" spans="6:17">
      <c r="F289">
        <v>4.9500000000000099</v>
      </c>
      <c r="K289" s="980" t="e">
        <f t="shared" si="68"/>
        <v>#REF!</v>
      </c>
      <c r="N289">
        <v>4.95</v>
      </c>
      <c r="P289" s="980">
        <f t="shared" si="69"/>
        <v>53.315145989642602</v>
      </c>
    </row>
    <row r="290" spans="6:17">
      <c r="F290">
        <v>5.0000000000000098</v>
      </c>
      <c r="K290" s="980" t="e">
        <f t="shared" si="68"/>
        <v>#REF!</v>
      </c>
      <c r="N290">
        <v>5</v>
      </c>
      <c r="P290" s="980">
        <f t="shared" si="69"/>
        <v>53.315145989642602</v>
      </c>
    </row>
    <row r="291" spans="6:17">
      <c r="F291">
        <v>5.0500000000000096</v>
      </c>
      <c r="K291" s="980" t="e">
        <f t="shared" si="68"/>
        <v>#REF!</v>
      </c>
      <c r="N291">
        <v>5.05</v>
      </c>
      <c r="P291" s="980">
        <f t="shared" si="69"/>
        <v>53.315145989642602</v>
      </c>
    </row>
    <row r="292" spans="6:17">
      <c r="F292">
        <v>5.1000000000000103</v>
      </c>
      <c r="K292" s="980" t="e">
        <f t="shared" si="68"/>
        <v>#REF!</v>
      </c>
      <c r="N292">
        <v>5.0999999999999996</v>
      </c>
      <c r="P292" s="980">
        <f t="shared" si="69"/>
        <v>53.315145989642602</v>
      </c>
    </row>
    <row r="293" spans="6:17">
      <c r="F293">
        <v>5.1500000000000101</v>
      </c>
      <c r="K293" s="980" t="e">
        <f t="shared" si="68"/>
        <v>#REF!</v>
      </c>
      <c r="N293">
        <v>5.15</v>
      </c>
      <c r="P293" s="980"/>
      <c r="Q293" s="980" t="e">
        <f>$H$181</f>
        <v>#REF!</v>
      </c>
    </row>
    <row r="294" spans="6:17">
      <c r="F294">
        <v>5.2000000000000099</v>
      </c>
      <c r="K294" s="980" t="e">
        <f t="shared" si="68"/>
        <v>#REF!</v>
      </c>
      <c r="N294">
        <v>5.2</v>
      </c>
      <c r="P294" s="980"/>
      <c r="Q294" s="980" t="e">
        <f t="shared" ref="Q294:Q339" si="70">$H$181</f>
        <v>#REF!</v>
      </c>
    </row>
    <row r="295" spans="6:17">
      <c r="F295">
        <v>5.2500000000000098</v>
      </c>
      <c r="K295" s="980" t="e">
        <f t="shared" si="68"/>
        <v>#REF!</v>
      </c>
      <c r="N295">
        <v>5.25</v>
      </c>
      <c r="P295" s="980"/>
      <c r="Q295" s="980" t="e">
        <f t="shared" si="70"/>
        <v>#REF!</v>
      </c>
    </row>
    <row r="296" spans="6:17">
      <c r="F296">
        <v>5.3000000000000096</v>
      </c>
      <c r="K296" s="980" t="e">
        <f t="shared" si="68"/>
        <v>#REF!</v>
      </c>
      <c r="N296">
        <v>5.3</v>
      </c>
      <c r="P296" s="980"/>
      <c r="Q296" s="980" t="e">
        <f t="shared" si="70"/>
        <v>#REF!</v>
      </c>
    </row>
    <row r="297" spans="6:17">
      <c r="F297">
        <v>5.3500000000000103</v>
      </c>
      <c r="K297" s="980" t="e">
        <f t="shared" si="68"/>
        <v>#REF!</v>
      </c>
      <c r="N297">
        <v>5.35</v>
      </c>
      <c r="P297" s="980"/>
      <c r="Q297" s="980" t="e">
        <f t="shared" si="70"/>
        <v>#REF!</v>
      </c>
    </row>
    <row r="298" spans="6:17">
      <c r="F298">
        <v>5.4000000000000101</v>
      </c>
      <c r="K298" s="980" t="e">
        <f t="shared" si="68"/>
        <v>#REF!</v>
      </c>
      <c r="N298">
        <v>5.4</v>
      </c>
      <c r="P298" s="980"/>
      <c r="Q298" s="980" t="e">
        <f t="shared" si="70"/>
        <v>#REF!</v>
      </c>
    </row>
    <row r="299" spans="6:17">
      <c r="F299">
        <v>5.4500000000000197</v>
      </c>
      <c r="K299" s="980" t="e">
        <f t="shared" si="68"/>
        <v>#REF!</v>
      </c>
      <c r="N299">
        <v>5.45</v>
      </c>
      <c r="P299" s="980"/>
      <c r="Q299" s="980" t="e">
        <f t="shared" si="70"/>
        <v>#REF!</v>
      </c>
    </row>
    <row r="300" spans="6:17">
      <c r="F300">
        <v>5.5000000000000204</v>
      </c>
      <c r="K300" s="980" t="e">
        <f t="shared" si="68"/>
        <v>#REF!</v>
      </c>
      <c r="N300">
        <v>5.5</v>
      </c>
      <c r="P300" s="980"/>
      <c r="Q300" s="980" t="e">
        <f t="shared" si="70"/>
        <v>#REF!</v>
      </c>
    </row>
    <row r="301" spans="6:17">
      <c r="F301">
        <v>5.5500000000000203</v>
      </c>
      <c r="L301" s="980" t="e">
        <f>$H$173</f>
        <v>#REF!</v>
      </c>
      <c r="N301">
        <v>5.55</v>
      </c>
      <c r="P301" s="980"/>
      <c r="Q301" s="980" t="e">
        <f t="shared" si="70"/>
        <v>#REF!</v>
      </c>
    </row>
    <row r="302" spans="6:17">
      <c r="F302">
        <v>5.6000000000000201</v>
      </c>
      <c r="L302" s="980" t="e">
        <f t="shared" ref="L302:L305" si="71">$H$173</f>
        <v>#REF!</v>
      </c>
      <c r="N302">
        <v>5.6</v>
      </c>
      <c r="P302" s="980"/>
      <c r="Q302" s="980" t="e">
        <f t="shared" si="70"/>
        <v>#REF!</v>
      </c>
    </row>
    <row r="303" spans="6:17">
      <c r="F303">
        <v>5.6500000000000199</v>
      </c>
      <c r="L303" s="980" t="e">
        <f t="shared" si="71"/>
        <v>#REF!</v>
      </c>
      <c r="N303">
        <v>5.65</v>
      </c>
      <c r="P303" s="980"/>
      <c r="Q303" s="980" t="e">
        <f t="shared" si="70"/>
        <v>#REF!</v>
      </c>
    </row>
    <row r="304" spans="6:17">
      <c r="F304">
        <v>5.7000000000000197</v>
      </c>
      <c r="L304" s="980" t="e">
        <f t="shared" si="71"/>
        <v>#REF!</v>
      </c>
      <c r="N304">
        <v>5.7</v>
      </c>
      <c r="P304" s="980"/>
      <c r="Q304" s="980" t="e">
        <f t="shared" si="70"/>
        <v>#REF!</v>
      </c>
    </row>
    <row r="305" spans="6:17">
      <c r="F305">
        <v>5.7500000000000204</v>
      </c>
      <c r="L305" s="980" t="e">
        <f t="shared" si="71"/>
        <v>#REF!</v>
      </c>
      <c r="N305">
        <v>5.75</v>
      </c>
      <c r="P305" s="980"/>
      <c r="Q305" s="980" t="e">
        <f t="shared" si="70"/>
        <v>#REF!</v>
      </c>
    </row>
    <row r="306" spans="6:17">
      <c r="N306">
        <v>5.8</v>
      </c>
      <c r="P306" s="980"/>
      <c r="Q306" s="980" t="e">
        <f t="shared" si="70"/>
        <v>#REF!</v>
      </c>
    </row>
    <row r="307" spans="6:17">
      <c r="N307">
        <v>5.85</v>
      </c>
      <c r="Q307" s="980" t="e">
        <f t="shared" si="70"/>
        <v>#REF!</v>
      </c>
    </row>
    <row r="308" spans="6:17">
      <c r="N308">
        <v>5.9</v>
      </c>
      <c r="Q308" s="980" t="e">
        <f t="shared" si="70"/>
        <v>#REF!</v>
      </c>
    </row>
    <row r="309" spans="6:17">
      <c r="N309">
        <v>5.95</v>
      </c>
      <c r="Q309" s="980" t="e">
        <f t="shared" si="70"/>
        <v>#REF!</v>
      </c>
    </row>
    <row r="310" spans="6:17">
      <c r="N310">
        <v>6</v>
      </c>
      <c r="Q310" s="980" t="e">
        <f t="shared" si="70"/>
        <v>#REF!</v>
      </c>
    </row>
    <row r="311" spans="6:17">
      <c r="N311">
        <v>6.05</v>
      </c>
      <c r="Q311" s="980" t="e">
        <f t="shared" si="70"/>
        <v>#REF!</v>
      </c>
    </row>
    <row r="312" spans="6:17">
      <c r="N312">
        <v>6.1</v>
      </c>
      <c r="Q312" s="980" t="e">
        <f t="shared" si="70"/>
        <v>#REF!</v>
      </c>
    </row>
    <row r="313" spans="6:17">
      <c r="N313">
        <v>6.15</v>
      </c>
      <c r="Q313" s="980" t="e">
        <f t="shared" si="70"/>
        <v>#REF!</v>
      </c>
    </row>
    <row r="314" spans="6:17">
      <c r="N314">
        <v>6.2</v>
      </c>
      <c r="Q314" s="980" t="e">
        <f t="shared" si="70"/>
        <v>#REF!</v>
      </c>
    </row>
    <row r="315" spans="6:17">
      <c r="N315">
        <v>6.25</v>
      </c>
      <c r="Q315" s="980" t="e">
        <f t="shared" si="70"/>
        <v>#REF!</v>
      </c>
    </row>
    <row r="316" spans="6:17">
      <c r="N316">
        <v>6.3</v>
      </c>
      <c r="Q316" s="980" t="e">
        <f t="shared" si="70"/>
        <v>#REF!</v>
      </c>
    </row>
    <row r="317" spans="6:17">
      <c r="N317">
        <v>6.35</v>
      </c>
      <c r="Q317" s="980" t="e">
        <f t="shared" si="70"/>
        <v>#REF!</v>
      </c>
    </row>
    <row r="318" spans="6:17">
      <c r="N318">
        <v>6.4</v>
      </c>
      <c r="Q318" s="980" t="e">
        <f t="shared" si="70"/>
        <v>#REF!</v>
      </c>
    </row>
    <row r="319" spans="6:17">
      <c r="N319">
        <v>6.45</v>
      </c>
      <c r="Q319" s="980" t="e">
        <f t="shared" si="70"/>
        <v>#REF!</v>
      </c>
    </row>
    <row r="320" spans="6:17">
      <c r="N320">
        <v>6.5</v>
      </c>
      <c r="Q320" s="980" t="e">
        <f t="shared" si="70"/>
        <v>#REF!</v>
      </c>
    </row>
    <row r="321" spans="14:18">
      <c r="N321">
        <v>6.55</v>
      </c>
      <c r="Q321" s="980" t="e">
        <f t="shared" si="70"/>
        <v>#REF!</v>
      </c>
    </row>
    <row r="322" spans="14:18">
      <c r="N322">
        <v>6.6</v>
      </c>
      <c r="Q322" s="980" t="e">
        <f t="shared" si="70"/>
        <v>#REF!</v>
      </c>
    </row>
    <row r="323" spans="14:18">
      <c r="N323">
        <v>6.65</v>
      </c>
      <c r="Q323" s="980" t="e">
        <f t="shared" si="70"/>
        <v>#REF!</v>
      </c>
    </row>
    <row r="324" spans="14:18">
      <c r="N324">
        <v>6.7</v>
      </c>
      <c r="Q324" s="980" t="e">
        <f t="shared" si="70"/>
        <v>#REF!</v>
      </c>
    </row>
    <row r="325" spans="14:18">
      <c r="N325">
        <v>6.75</v>
      </c>
      <c r="Q325" s="980" t="e">
        <f t="shared" si="70"/>
        <v>#REF!</v>
      </c>
    </row>
    <row r="326" spans="14:18">
      <c r="N326">
        <v>6.8</v>
      </c>
      <c r="Q326" s="980" t="e">
        <f t="shared" si="70"/>
        <v>#REF!</v>
      </c>
    </row>
    <row r="327" spans="14:18">
      <c r="N327">
        <v>6.85</v>
      </c>
      <c r="Q327" s="980" t="e">
        <f t="shared" si="70"/>
        <v>#REF!</v>
      </c>
    </row>
    <row r="328" spans="14:18">
      <c r="N328">
        <v>6.9</v>
      </c>
      <c r="Q328" s="980" t="e">
        <f t="shared" si="70"/>
        <v>#REF!</v>
      </c>
    </row>
    <row r="329" spans="14:18">
      <c r="N329">
        <v>6.95</v>
      </c>
      <c r="Q329" s="980" t="e">
        <f t="shared" si="70"/>
        <v>#REF!</v>
      </c>
    </row>
    <row r="330" spans="14:18">
      <c r="N330">
        <v>7</v>
      </c>
      <c r="Q330" s="980" t="e">
        <f t="shared" si="70"/>
        <v>#REF!</v>
      </c>
    </row>
    <row r="331" spans="14:18">
      <c r="N331">
        <v>7.05</v>
      </c>
      <c r="Q331" s="980" t="e">
        <f t="shared" si="70"/>
        <v>#REF!</v>
      </c>
      <c r="R331" s="980"/>
    </row>
    <row r="332" spans="14:18">
      <c r="N332">
        <v>7.1</v>
      </c>
      <c r="Q332" s="980" t="e">
        <f t="shared" si="70"/>
        <v>#REF!</v>
      </c>
      <c r="R332" s="980"/>
    </row>
    <row r="333" spans="14:18">
      <c r="N333">
        <v>7.15</v>
      </c>
      <c r="Q333" s="980" t="e">
        <f t="shared" si="70"/>
        <v>#REF!</v>
      </c>
      <c r="R333" s="980"/>
    </row>
    <row r="334" spans="14:18">
      <c r="N334">
        <v>7.2</v>
      </c>
      <c r="Q334" s="980" t="e">
        <f t="shared" si="70"/>
        <v>#REF!</v>
      </c>
      <c r="R334" s="980"/>
    </row>
    <row r="335" spans="14:18">
      <c r="N335">
        <v>7.25</v>
      </c>
      <c r="Q335" s="980" t="e">
        <f t="shared" si="70"/>
        <v>#REF!</v>
      </c>
      <c r="R335" s="980"/>
    </row>
    <row r="336" spans="14:18">
      <c r="N336">
        <v>7.3</v>
      </c>
      <c r="Q336" s="980" t="e">
        <f t="shared" si="70"/>
        <v>#REF!</v>
      </c>
      <c r="R336" s="980"/>
    </row>
    <row r="337" spans="14:19">
      <c r="N337">
        <v>7.35</v>
      </c>
      <c r="Q337" s="980" t="e">
        <f t="shared" si="70"/>
        <v>#REF!</v>
      </c>
      <c r="R337" s="980"/>
    </row>
    <row r="338" spans="14:19">
      <c r="N338">
        <v>7.4</v>
      </c>
      <c r="Q338" s="980" t="e">
        <f t="shared" si="70"/>
        <v>#REF!</v>
      </c>
      <c r="R338" s="980"/>
    </row>
    <row r="339" spans="14:19">
      <c r="N339">
        <v>7.45</v>
      </c>
      <c r="Q339" s="980" t="e">
        <f t="shared" si="70"/>
        <v>#REF!</v>
      </c>
      <c r="R339" s="980"/>
    </row>
    <row r="340" spans="14:19">
      <c r="N340">
        <v>7.5</v>
      </c>
      <c r="R340" s="980">
        <f>$H$182</f>
        <v>91.920265371763676</v>
      </c>
      <c r="S340" s="980"/>
    </row>
    <row r="341" spans="14:19">
      <c r="N341">
        <v>7.55</v>
      </c>
      <c r="R341" s="980">
        <f t="shared" ref="R341:R356" si="72">$H$182</f>
        <v>91.920265371763676</v>
      </c>
      <c r="S341" s="980"/>
    </row>
    <row r="342" spans="14:19">
      <c r="N342">
        <v>7.6</v>
      </c>
      <c r="R342" s="980">
        <f t="shared" si="72"/>
        <v>91.920265371763676</v>
      </c>
      <c r="S342" s="980"/>
    </row>
    <row r="343" spans="14:19">
      <c r="N343">
        <v>7.65</v>
      </c>
      <c r="R343" s="980">
        <f t="shared" si="72"/>
        <v>91.920265371763676</v>
      </c>
      <c r="S343" s="980"/>
    </row>
    <row r="344" spans="14:19">
      <c r="N344">
        <v>7.7</v>
      </c>
      <c r="R344" s="980">
        <f t="shared" si="72"/>
        <v>91.920265371763676</v>
      </c>
      <c r="S344" s="980"/>
    </row>
    <row r="345" spans="14:19">
      <c r="N345">
        <v>7.75</v>
      </c>
      <c r="R345" s="980">
        <f t="shared" si="72"/>
        <v>91.920265371763676</v>
      </c>
      <c r="S345" s="980"/>
    </row>
    <row r="346" spans="14:19">
      <c r="N346">
        <v>7.8</v>
      </c>
      <c r="R346" s="980">
        <f t="shared" si="72"/>
        <v>91.920265371763676</v>
      </c>
      <c r="S346" s="980"/>
    </row>
    <row r="347" spans="14:19">
      <c r="N347">
        <v>7.85</v>
      </c>
      <c r="R347" s="980">
        <f t="shared" si="72"/>
        <v>91.920265371763676</v>
      </c>
      <c r="S347" s="980"/>
    </row>
    <row r="348" spans="14:19">
      <c r="N348">
        <v>7.9</v>
      </c>
      <c r="R348" s="980">
        <f t="shared" si="72"/>
        <v>91.920265371763676</v>
      </c>
      <c r="S348" s="980"/>
    </row>
    <row r="349" spans="14:19">
      <c r="N349">
        <v>7.95</v>
      </c>
      <c r="R349" s="980">
        <f t="shared" si="72"/>
        <v>91.920265371763676</v>
      </c>
      <c r="S349" s="980"/>
    </row>
    <row r="350" spans="14:19">
      <c r="N350">
        <v>8</v>
      </c>
      <c r="R350" s="980">
        <f t="shared" si="72"/>
        <v>91.920265371763676</v>
      </c>
      <c r="S350" s="980"/>
    </row>
    <row r="351" spans="14:19">
      <c r="N351">
        <v>8.0500000000000007</v>
      </c>
      <c r="R351" s="980">
        <f t="shared" si="72"/>
        <v>91.920265371763676</v>
      </c>
      <c r="S351" s="980"/>
    </row>
    <row r="352" spans="14:19">
      <c r="N352">
        <v>8.1</v>
      </c>
      <c r="R352" s="980">
        <f t="shared" si="72"/>
        <v>91.920265371763676</v>
      </c>
      <c r="S352" s="980"/>
    </row>
    <row r="353" spans="14:19">
      <c r="N353">
        <v>8.15</v>
      </c>
      <c r="R353" s="980">
        <f t="shared" si="72"/>
        <v>91.920265371763676</v>
      </c>
      <c r="S353" s="980"/>
    </row>
    <row r="354" spans="14:19">
      <c r="N354">
        <v>8.1999999999999993</v>
      </c>
      <c r="R354" s="980">
        <f t="shared" si="72"/>
        <v>91.920265371763676</v>
      </c>
      <c r="S354" s="980"/>
    </row>
    <row r="355" spans="14:19">
      <c r="N355">
        <v>8.25</v>
      </c>
      <c r="R355" s="980">
        <f t="shared" si="72"/>
        <v>91.920265371763676</v>
      </c>
      <c r="S355" s="980"/>
    </row>
    <row r="356" spans="14:19">
      <c r="N356">
        <v>8.3000000000000007</v>
      </c>
      <c r="R356" s="980">
        <f t="shared" si="72"/>
        <v>91.920265371763676</v>
      </c>
      <c r="S356" s="980"/>
    </row>
    <row r="357" spans="14:19">
      <c r="N357">
        <v>8.35</v>
      </c>
      <c r="S357" s="980" t="e">
        <f>$H$183</f>
        <v>#REF!</v>
      </c>
    </row>
    <row r="358" spans="14:19">
      <c r="N358">
        <v>8.4</v>
      </c>
      <c r="S358" s="980" t="e">
        <f t="shared" ref="S358:S417" si="73">$H$183</f>
        <v>#REF!</v>
      </c>
    </row>
    <row r="359" spans="14:19">
      <c r="N359">
        <v>8.4499999999999993</v>
      </c>
      <c r="S359" s="980" t="e">
        <f t="shared" si="73"/>
        <v>#REF!</v>
      </c>
    </row>
    <row r="360" spans="14:19">
      <c r="N360">
        <v>8.5</v>
      </c>
      <c r="S360" s="980" t="e">
        <f t="shared" si="73"/>
        <v>#REF!</v>
      </c>
    </row>
    <row r="361" spans="14:19">
      <c r="N361">
        <v>8.5500000000000007</v>
      </c>
      <c r="S361" s="980" t="e">
        <f t="shared" si="73"/>
        <v>#REF!</v>
      </c>
    </row>
    <row r="362" spans="14:19">
      <c r="N362">
        <v>8.6</v>
      </c>
      <c r="S362" s="980" t="e">
        <f t="shared" si="73"/>
        <v>#REF!</v>
      </c>
    </row>
    <row r="363" spans="14:19">
      <c r="N363">
        <v>8.65</v>
      </c>
      <c r="S363" s="980" t="e">
        <f t="shared" si="73"/>
        <v>#REF!</v>
      </c>
    </row>
    <row r="364" spans="14:19">
      <c r="N364">
        <v>8.6999999999999993</v>
      </c>
      <c r="S364" s="980" t="e">
        <f t="shared" si="73"/>
        <v>#REF!</v>
      </c>
    </row>
    <row r="365" spans="14:19">
      <c r="N365">
        <v>8.75</v>
      </c>
      <c r="S365" s="980" t="e">
        <f t="shared" si="73"/>
        <v>#REF!</v>
      </c>
    </row>
    <row r="366" spans="14:19">
      <c r="N366">
        <v>8.8000000000000007</v>
      </c>
      <c r="S366" s="980" t="e">
        <f t="shared" si="73"/>
        <v>#REF!</v>
      </c>
    </row>
    <row r="367" spans="14:19">
      <c r="N367">
        <v>8.85</v>
      </c>
      <c r="S367" s="980" t="e">
        <f t="shared" si="73"/>
        <v>#REF!</v>
      </c>
    </row>
    <row r="368" spans="14:19">
      <c r="N368">
        <v>8.9</v>
      </c>
      <c r="S368" s="980" t="e">
        <f t="shared" si="73"/>
        <v>#REF!</v>
      </c>
    </row>
    <row r="369" spans="14:19">
      <c r="N369">
        <v>8.9499999999999993</v>
      </c>
      <c r="S369" s="980" t="e">
        <f t="shared" si="73"/>
        <v>#REF!</v>
      </c>
    </row>
    <row r="370" spans="14:19">
      <c r="N370">
        <v>9</v>
      </c>
      <c r="S370" s="980" t="e">
        <f t="shared" si="73"/>
        <v>#REF!</v>
      </c>
    </row>
    <row r="371" spans="14:19">
      <c r="N371">
        <v>9.0500000000000007</v>
      </c>
      <c r="S371" s="980" t="e">
        <f t="shared" si="73"/>
        <v>#REF!</v>
      </c>
    </row>
    <row r="372" spans="14:19">
      <c r="N372">
        <v>9.1</v>
      </c>
      <c r="S372" s="980" t="e">
        <f t="shared" si="73"/>
        <v>#REF!</v>
      </c>
    </row>
    <row r="373" spans="14:19">
      <c r="N373">
        <v>9.15</v>
      </c>
      <c r="S373" s="980" t="e">
        <f t="shared" si="73"/>
        <v>#REF!</v>
      </c>
    </row>
    <row r="374" spans="14:19">
      <c r="N374">
        <v>9.1999999999999993</v>
      </c>
      <c r="S374" s="980" t="e">
        <f t="shared" si="73"/>
        <v>#REF!</v>
      </c>
    </row>
    <row r="375" spans="14:19">
      <c r="N375">
        <v>9.25</v>
      </c>
      <c r="S375" s="980" t="e">
        <f t="shared" si="73"/>
        <v>#REF!</v>
      </c>
    </row>
    <row r="376" spans="14:19">
      <c r="N376">
        <v>9.3000000000000007</v>
      </c>
      <c r="S376" s="980" t="e">
        <f t="shared" si="73"/>
        <v>#REF!</v>
      </c>
    </row>
    <row r="377" spans="14:19">
      <c r="N377">
        <v>9.35</v>
      </c>
      <c r="S377" s="980" t="e">
        <f t="shared" si="73"/>
        <v>#REF!</v>
      </c>
    </row>
    <row r="378" spans="14:19">
      <c r="N378">
        <v>9.4</v>
      </c>
      <c r="S378" s="980" t="e">
        <f t="shared" si="73"/>
        <v>#REF!</v>
      </c>
    </row>
    <row r="379" spans="14:19">
      <c r="N379">
        <v>9.4499999999999993</v>
      </c>
      <c r="S379" s="980" t="e">
        <f t="shared" si="73"/>
        <v>#REF!</v>
      </c>
    </row>
    <row r="380" spans="14:19">
      <c r="N380">
        <v>9.5</v>
      </c>
      <c r="S380" s="980" t="e">
        <f t="shared" si="73"/>
        <v>#REF!</v>
      </c>
    </row>
    <row r="381" spans="14:19">
      <c r="N381">
        <v>9.5500000000000007</v>
      </c>
      <c r="S381" s="980" t="e">
        <f t="shared" si="73"/>
        <v>#REF!</v>
      </c>
    </row>
    <row r="382" spans="14:19">
      <c r="N382">
        <v>9.6</v>
      </c>
      <c r="S382" s="980" t="e">
        <f t="shared" si="73"/>
        <v>#REF!</v>
      </c>
    </row>
    <row r="383" spans="14:19">
      <c r="N383">
        <v>9.65</v>
      </c>
      <c r="S383" s="980" t="e">
        <f t="shared" si="73"/>
        <v>#REF!</v>
      </c>
    </row>
    <row r="384" spans="14:19">
      <c r="N384">
        <v>9.6999999999999993</v>
      </c>
      <c r="S384" s="980" t="e">
        <f t="shared" si="73"/>
        <v>#REF!</v>
      </c>
    </row>
    <row r="385" spans="14:19">
      <c r="N385">
        <v>9.75</v>
      </c>
      <c r="S385" s="980" t="e">
        <f t="shared" si="73"/>
        <v>#REF!</v>
      </c>
    </row>
    <row r="386" spans="14:19">
      <c r="N386">
        <v>9.8000000000000007</v>
      </c>
      <c r="S386" s="980" t="e">
        <f t="shared" si="73"/>
        <v>#REF!</v>
      </c>
    </row>
    <row r="387" spans="14:19">
      <c r="N387">
        <v>9.85</v>
      </c>
      <c r="S387" s="980" t="e">
        <f t="shared" si="73"/>
        <v>#REF!</v>
      </c>
    </row>
    <row r="388" spans="14:19">
      <c r="N388">
        <v>9.9</v>
      </c>
      <c r="S388" s="980" t="e">
        <f t="shared" si="73"/>
        <v>#REF!</v>
      </c>
    </row>
    <row r="389" spans="14:19">
      <c r="N389">
        <v>9.9499999999999993</v>
      </c>
      <c r="S389" s="980" t="e">
        <f t="shared" si="73"/>
        <v>#REF!</v>
      </c>
    </row>
    <row r="390" spans="14:19">
      <c r="N390">
        <v>10</v>
      </c>
      <c r="S390" s="980" t="e">
        <f t="shared" si="73"/>
        <v>#REF!</v>
      </c>
    </row>
    <row r="391" spans="14:19">
      <c r="N391">
        <v>10.050000000000001</v>
      </c>
      <c r="S391" s="980" t="e">
        <f t="shared" si="73"/>
        <v>#REF!</v>
      </c>
    </row>
    <row r="392" spans="14:19">
      <c r="N392">
        <v>10.1</v>
      </c>
      <c r="S392" s="980" t="e">
        <f t="shared" si="73"/>
        <v>#REF!</v>
      </c>
    </row>
    <row r="393" spans="14:19">
      <c r="N393">
        <v>10.15</v>
      </c>
      <c r="S393" s="980" t="e">
        <f t="shared" si="73"/>
        <v>#REF!</v>
      </c>
    </row>
    <row r="394" spans="14:19">
      <c r="N394">
        <v>10.199999999999999</v>
      </c>
      <c r="S394" s="980" t="e">
        <f t="shared" si="73"/>
        <v>#REF!</v>
      </c>
    </row>
    <row r="395" spans="14:19">
      <c r="N395">
        <v>10.25</v>
      </c>
      <c r="S395" s="980" t="e">
        <f t="shared" si="73"/>
        <v>#REF!</v>
      </c>
    </row>
    <row r="396" spans="14:19">
      <c r="N396">
        <v>10.3</v>
      </c>
      <c r="S396" s="980" t="e">
        <f t="shared" si="73"/>
        <v>#REF!</v>
      </c>
    </row>
    <row r="397" spans="14:19">
      <c r="N397">
        <v>10.35</v>
      </c>
      <c r="S397" s="980" t="e">
        <f t="shared" si="73"/>
        <v>#REF!</v>
      </c>
    </row>
    <row r="398" spans="14:19">
      <c r="N398">
        <v>10.4</v>
      </c>
      <c r="S398" s="980" t="e">
        <f t="shared" si="73"/>
        <v>#REF!</v>
      </c>
    </row>
    <row r="399" spans="14:19">
      <c r="N399">
        <v>10.45</v>
      </c>
      <c r="S399" s="980" t="e">
        <f t="shared" si="73"/>
        <v>#REF!</v>
      </c>
    </row>
    <row r="400" spans="14:19">
      <c r="N400">
        <v>10.5</v>
      </c>
      <c r="S400" s="980" t="e">
        <f t="shared" si="73"/>
        <v>#REF!</v>
      </c>
    </row>
    <row r="401" spans="14:19">
      <c r="N401">
        <v>10.55</v>
      </c>
      <c r="S401" s="980" t="e">
        <f t="shared" si="73"/>
        <v>#REF!</v>
      </c>
    </row>
    <row r="402" spans="14:19">
      <c r="N402">
        <v>10.6</v>
      </c>
      <c r="S402" s="980" t="e">
        <f t="shared" si="73"/>
        <v>#REF!</v>
      </c>
    </row>
    <row r="403" spans="14:19">
      <c r="N403">
        <v>10.65</v>
      </c>
      <c r="S403" s="980" t="e">
        <f t="shared" si="73"/>
        <v>#REF!</v>
      </c>
    </row>
    <row r="404" spans="14:19">
      <c r="N404">
        <v>10.7</v>
      </c>
      <c r="S404" s="980" t="e">
        <f t="shared" si="73"/>
        <v>#REF!</v>
      </c>
    </row>
    <row r="405" spans="14:19">
      <c r="N405">
        <v>10.75</v>
      </c>
      <c r="S405" s="980" t="e">
        <f t="shared" si="73"/>
        <v>#REF!</v>
      </c>
    </row>
    <row r="406" spans="14:19">
      <c r="N406">
        <v>10.8</v>
      </c>
      <c r="S406" s="980" t="e">
        <f t="shared" si="73"/>
        <v>#REF!</v>
      </c>
    </row>
    <row r="407" spans="14:19">
      <c r="N407">
        <v>10.85</v>
      </c>
      <c r="S407" s="980" t="e">
        <f t="shared" si="73"/>
        <v>#REF!</v>
      </c>
    </row>
    <row r="408" spans="14:19">
      <c r="N408">
        <v>10.9</v>
      </c>
      <c r="S408" s="980" t="e">
        <f t="shared" si="73"/>
        <v>#REF!</v>
      </c>
    </row>
    <row r="409" spans="14:19">
      <c r="N409">
        <v>10.95</v>
      </c>
      <c r="S409" s="980" t="e">
        <f t="shared" si="73"/>
        <v>#REF!</v>
      </c>
    </row>
    <row r="410" spans="14:19">
      <c r="N410">
        <v>11</v>
      </c>
      <c r="S410" s="980" t="e">
        <f t="shared" si="73"/>
        <v>#REF!</v>
      </c>
    </row>
    <row r="411" spans="14:19">
      <c r="N411">
        <v>11.05</v>
      </c>
      <c r="S411" s="980" t="e">
        <f t="shared" si="73"/>
        <v>#REF!</v>
      </c>
    </row>
    <row r="412" spans="14:19">
      <c r="N412">
        <v>11.1</v>
      </c>
      <c r="S412" s="980" t="e">
        <f t="shared" si="73"/>
        <v>#REF!</v>
      </c>
    </row>
    <row r="413" spans="14:19">
      <c r="N413">
        <v>11.15</v>
      </c>
      <c r="S413" s="980" t="e">
        <f t="shared" si="73"/>
        <v>#REF!</v>
      </c>
    </row>
    <row r="414" spans="14:19">
      <c r="N414">
        <v>11.2</v>
      </c>
      <c r="S414" s="980" t="e">
        <f t="shared" si="73"/>
        <v>#REF!</v>
      </c>
    </row>
    <row r="415" spans="14:19">
      <c r="N415">
        <v>11.25</v>
      </c>
      <c r="S415" s="980" t="e">
        <f t="shared" si="73"/>
        <v>#REF!</v>
      </c>
    </row>
    <row r="416" spans="14:19">
      <c r="N416">
        <v>11.3</v>
      </c>
      <c r="S416" s="980" t="e">
        <f t="shared" si="73"/>
        <v>#REF!</v>
      </c>
    </row>
    <row r="417" spans="14:20">
      <c r="N417">
        <v>11.35</v>
      </c>
      <c r="S417" s="980" t="e">
        <f t="shared" si="73"/>
        <v>#REF!</v>
      </c>
    </row>
    <row r="418" spans="14:20">
      <c r="N418">
        <v>11.4</v>
      </c>
      <c r="S418" s="980"/>
      <c r="T418" s="980" t="e">
        <f>$H$184</f>
        <v>#REF!</v>
      </c>
    </row>
    <row r="419" spans="14:20">
      <c r="N419">
        <v>11.45</v>
      </c>
      <c r="S419" s="980"/>
      <c r="T419" s="980" t="e">
        <f t="shared" ref="T419:T482" si="74">$H$184</f>
        <v>#REF!</v>
      </c>
    </row>
    <row r="420" spans="14:20">
      <c r="N420">
        <v>11.5</v>
      </c>
      <c r="S420" s="980"/>
      <c r="T420" s="980" t="e">
        <f t="shared" si="74"/>
        <v>#REF!</v>
      </c>
    </row>
    <row r="421" spans="14:20">
      <c r="N421">
        <v>11.55</v>
      </c>
      <c r="S421" s="980"/>
      <c r="T421" s="980" t="e">
        <f t="shared" si="74"/>
        <v>#REF!</v>
      </c>
    </row>
    <row r="422" spans="14:20">
      <c r="N422">
        <v>11.6</v>
      </c>
      <c r="S422" s="980"/>
      <c r="T422" s="980" t="e">
        <f t="shared" si="74"/>
        <v>#REF!</v>
      </c>
    </row>
    <row r="423" spans="14:20">
      <c r="N423">
        <v>11.65</v>
      </c>
      <c r="S423" s="980"/>
      <c r="T423" s="980" t="e">
        <f t="shared" si="74"/>
        <v>#REF!</v>
      </c>
    </row>
    <row r="424" spans="14:20">
      <c r="N424">
        <v>11.7</v>
      </c>
      <c r="S424" s="980"/>
      <c r="T424" s="980" t="e">
        <f t="shared" si="74"/>
        <v>#REF!</v>
      </c>
    </row>
    <row r="425" spans="14:20">
      <c r="N425">
        <v>11.75</v>
      </c>
      <c r="S425" s="980"/>
      <c r="T425" s="980" t="e">
        <f t="shared" si="74"/>
        <v>#REF!</v>
      </c>
    </row>
    <row r="426" spans="14:20">
      <c r="N426">
        <v>11.8</v>
      </c>
      <c r="S426" s="980"/>
      <c r="T426" s="980" t="e">
        <f t="shared" si="74"/>
        <v>#REF!</v>
      </c>
    </row>
    <row r="427" spans="14:20">
      <c r="N427">
        <v>11.85</v>
      </c>
      <c r="S427" s="980"/>
      <c r="T427" s="980" t="e">
        <f t="shared" si="74"/>
        <v>#REF!</v>
      </c>
    </row>
    <row r="428" spans="14:20">
      <c r="N428">
        <v>11.9</v>
      </c>
      <c r="S428" s="980"/>
      <c r="T428" s="980" t="e">
        <f t="shared" si="74"/>
        <v>#REF!</v>
      </c>
    </row>
    <row r="429" spans="14:20">
      <c r="N429">
        <v>11.95</v>
      </c>
      <c r="S429" s="980"/>
      <c r="T429" s="980" t="e">
        <f t="shared" si="74"/>
        <v>#REF!</v>
      </c>
    </row>
    <row r="430" spans="14:20">
      <c r="N430">
        <v>12</v>
      </c>
      <c r="S430" s="980"/>
      <c r="T430" s="980" t="e">
        <f t="shared" si="74"/>
        <v>#REF!</v>
      </c>
    </row>
    <row r="431" spans="14:20">
      <c r="N431">
        <v>12.05</v>
      </c>
      <c r="S431" s="980"/>
      <c r="T431" s="980" t="e">
        <f t="shared" si="74"/>
        <v>#REF!</v>
      </c>
    </row>
    <row r="432" spans="14:20">
      <c r="N432">
        <v>12.1</v>
      </c>
      <c r="S432" s="980"/>
      <c r="T432" s="980" t="e">
        <f t="shared" si="74"/>
        <v>#REF!</v>
      </c>
    </row>
    <row r="433" spans="14:20">
      <c r="N433">
        <v>12.15</v>
      </c>
      <c r="S433" s="980"/>
      <c r="T433" s="980" t="e">
        <f t="shared" si="74"/>
        <v>#REF!</v>
      </c>
    </row>
    <row r="434" spans="14:20">
      <c r="N434">
        <v>12.2</v>
      </c>
      <c r="S434" s="980"/>
      <c r="T434" s="980" t="e">
        <f t="shared" si="74"/>
        <v>#REF!</v>
      </c>
    </row>
    <row r="435" spans="14:20">
      <c r="N435">
        <v>12.25</v>
      </c>
      <c r="S435" s="980"/>
      <c r="T435" s="980" t="e">
        <f t="shared" si="74"/>
        <v>#REF!</v>
      </c>
    </row>
    <row r="436" spans="14:20">
      <c r="N436">
        <v>12.3</v>
      </c>
      <c r="S436" s="980"/>
      <c r="T436" s="980" t="e">
        <f t="shared" si="74"/>
        <v>#REF!</v>
      </c>
    </row>
    <row r="437" spans="14:20">
      <c r="N437">
        <v>12.35</v>
      </c>
      <c r="S437" s="980"/>
      <c r="T437" s="980" t="e">
        <f t="shared" si="74"/>
        <v>#REF!</v>
      </c>
    </row>
    <row r="438" spans="14:20">
      <c r="N438">
        <v>12.4</v>
      </c>
      <c r="S438" s="980"/>
      <c r="T438" s="980" t="e">
        <f t="shared" si="74"/>
        <v>#REF!</v>
      </c>
    </row>
    <row r="439" spans="14:20">
      <c r="N439">
        <v>12.45</v>
      </c>
      <c r="S439" s="980"/>
      <c r="T439" s="980" t="e">
        <f t="shared" si="74"/>
        <v>#REF!</v>
      </c>
    </row>
    <row r="440" spans="14:20">
      <c r="N440">
        <v>12.5</v>
      </c>
      <c r="S440" s="980"/>
      <c r="T440" s="980" t="e">
        <f t="shared" si="74"/>
        <v>#REF!</v>
      </c>
    </row>
    <row r="441" spans="14:20">
      <c r="N441">
        <v>12.55</v>
      </c>
      <c r="S441" s="980"/>
      <c r="T441" s="980" t="e">
        <f t="shared" si="74"/>
        <v>#REF!</v>
      </c>
    </row>
    <row r="442" spans="14:20">
      <c r="N442">
        <v>12.6</v>
      </c>
      <c r="S442" s="980"/>
      <c r="T442" s="980" t="e">
        <f t="shared" si="74"/>
        <v>#REF!</v>
      </c>
    </row>
    <row r="443" spans="14:20">
      <c r="N443">
        <v>12.65</v>
      </c>
      <c r="S443" s="980"/>
      <c r="T443" s="980" t="e">
        <f t="shared" si="74"/>
        <v>#REF!</v>
      </c>
    </row>
    <row r="444" spans="14:20">
      <c r="N444">
        <v>12.7</v>
      </c>
      <c r="S444" s="980"/>
      <c r="T444" s="980" t="e">
        <f t="shared" si="74"/>
        <v>#REF!</v>
      </c>
    </row>
    <row r="445" spans="14:20">
      <c r="N445">
        <v>12.75</v>
      </c>
      <c r="S445" s="980"/>
      <c r="T445" s="980" t="e">
        <f t="shared" si="74"/>
        <v>#REF!</v>
      </c>
    </row>
    <row r="446" spans="14:20">
      <c r="N446">
        <v>12.8</v>
      </c>
      <c r="S446" s="980"/>
      <c r="T446" s="980" t="e">
        <f t="shared" si="74"/>
        <v>#REF!</v>
      </c>
    </row>
    <row r="447" spans="14:20">
      <c r="N447">
        <v>12.85</v>
      </c>
      <c r="S447" s="980"/>
      <c r="T447" s="980" t="e">
        <f t="shared" si="74"/>
        <v>#REF!</v>
      </c>
    </row>
    <row r="448" spans="14:20">
      <c r="N448">
        <v>12.9</v>
      </c>
      <c r="S448" s="980"/>
      <c r="T448" s="980" t="e">
        <f t="shared" si="74"/>
        <v>#REF!</v>
      </c>
    </row>
    <row r="449" spans="14:20">
      <c r="N449">
        <v>12.95</v>
      </c>
      <c r="S449" s="980"/>
      <c r="T449" s="980" t="e">
        <f t="shared" si="74"/>
        <v>#REF!</v>
      </c>
    </row>
    <row r="450" spans="14:20">
      <c r="N450">
        <v>13</v>
      </c>
      <c r="S450" s="980"/>
      <c r="T450" s="980" t="e">
        <f t="shared" si="74"/>
        <v>#REF!</v>
      </c>
    </row>
    <row r="451" spans="14:20">
      <c r="N451">
        <v>13.05</v>
      </c>
      <c r="S451" s="980"/>
      <c r="T451" s="980" t="e">
        <f t="shared" si="74"/>
        <v>#REF!</v>
      </c>
    </row>
    <row r="452" spans="14:20">
      <c r="N452">
        <v>13.1</v>
      </c>
      <c r="S452" s="980"/>
      <c r="T452" s="980" t="e">
        <f t="shared" si="74"/>
        <v>#REF!</v>
      </c>
    </row>
    <row r="453" spans="14:20">
      <c r="N453">
        <v>13.15</v>
      </c>
      <c r="S453" s="980"/>
      <c r="T453" s="980" t="e">
        <f t="shared" si="74"/>
        <v>#REF!</v>
      </c>
    </row>
    <row r="454" spans="14:20">
      <c r="N454">
        <v>13.2</v>
      </c>
      <c r="S454" s="980"/>
      <c r="T454" s="980" t="e">
        <f t="shared" si="74"/>
        <v>#REF!</v>
      </c>
    </row>
    <row r="455" spans="14:20">
      <c r="N455">
        <v>13.25</v>
      </c>
      <c r="S455" s="980"/>
      <c r="T455" s="980" t="e">
        <f t="shared" si="74"/>
        <v>#REF!</v>
      </c>
    </row>
    <row r="456" spans="14:20">
      <c r="N456">
        <v>13.3</v>
      </c>
      <c r="S456" s="980"/>
      <c r="T456" s="980" t="e">
        <f t="shared" si="74"/>
        <v>#REF!</v>
      </c>
    </row>
    <row r="457" spans="14:20">
      <c r="N457">
        <v>13.35</v>
      </c>
      <c r="S457" s="980"/>
      <c r="T457" s="980" t="e">
        <f t="shared" si="74"/>
        <v>#REF!</v>
      </c>
    </row>
    <row r="458" spans="14:20">
      <c r="N458">
        <v>13.4</v>
      </c>
      <c r="S458" s="980"/>
      <c r="T458" s="980" t="e">
        <f t="shared" si="74"/>
        <v>#REF!</v>
      </c>
    </row>
    <row r="459" spans="14:20">
      <c r="N459">
        <v>13.45</v>
      </c>
      <c r="S459" s="980"/>
      <c r="T459" s="980" t="e">
        <f t="shared" si="74"/>
        <v>#REF!</v>
      </c>
    </row>
    <row r="460" spans="14:20">
      <c r="N460">
        <v>13.5</v>
      </c>
      <c r="S460" s="980"/>
      <c r="T460" s="980" t="e">
        <f t="shared" si="74"/>
        <v>#REF!</v>
      </c>
    </row>
    <row r="461" spans="14:20">
      <c r="N461">
        <v>13.55</v>
      </c>
      <c r="S461" s="980"/>
      <c r="T461" s="980" t="e">
        <f t="shared" si="74"/>
        <v>#REF!</v>
      </c>
    </row>
    <row r="462" spans="14:20">
      <c r="N462">
        <v>13.6</v>
      </c>
      <c r="S462" s="980"/>
      <c r="T462" s="980" t="e">
        <f t="shared" si="74"/>
        <v>#REF!</v>
      </c>
    </row>
    <row r="463" spans="14:20">
      <c r="N463">
        <v>13.65</v>
      </c>
      <c r="S463" s="980"/>
      <c r="T463" s="980" t="e">
        <f t="shared" si="74"/>
        <v>#REF!</v>
      </c>
    </row>
    <row r="464" spans="14:20">
      <c r="N464">
        <v>13.7</v>
      </c>
      <c r="S464" s="980"/>
      <c r="T464" s="980" t="e">
        <f t="shared" si="74"/>
        <v>#REF!</v>
      </c>
    </row>
    <row r="465" spans="14:20">
      <c r="N465">
        <v>13.75</v>
      </c>
      <c r="S465" s="980"/>
      <c r="T465" s="980" t="e">
        <f t="shared" si="74"/>
        <v>#REF!</v>
      </c>
    </row>
    <row r="466" spans="14:20">
      <c r="N466">
        <v>13.8</v>
      </c>
      <c r="S466" s="980"/>
      <c r="T466" s="980" t="e">
        <f t="shared" si="74"/>
        <v>#REF!</v>
      </c>
    </row>
    <row r="467" spans="14:20">
      <c r="N467">
        <v>13.85</v>
      </c>
      <c r="S467" s="980"/>
      <c r="T467" s="980" t="e">
        <f t="shared" si="74"/>
        <v>#REF!</v>
      </c>
    </row>
    <row r="468" spans="14:20">
      <c r="N468">
        <v>13.9</v>
      </c>
      <c r="S468" s="980"/>
      <c r="T468" s="980" t="e">
        <f t="shared" si="74"/>
        <v>#REF!</v>
      </c>
    </row>
    <row r="469" spans="14:20">
      <c r="N469">
        <v>13.95</v>
      </c>
      <c r="S469" s="980"/>
      <c r="T469" s="980" t="e">
        <f t="shared" si="74"/>
        <v>#REF!</v>
      </c>
    </row>
    <row r="470" spans="14:20">
      <c r="N470">
        <v>14</v>
      </c>
      <c r="S470" s="980"/>
      <c r="T470" s="980" t="e">
        <f t="shared" si="74"/>
        <v>#REF!</v>
      </c>
    </row>
    <row r="471" spans="14:20">
      <c r="N471">
        <v>14.05</v>
      </c>
      <c r="S471" s="980"/>
      <c r="T471" s="980" t="e">
        <f t="shared" si="74"/>
        <v>#REF!</v>
      </c>
    </row>
    <row r="472" spans="14:20">
      <c r="N472">
        <v>14.1</v>
      </c>
      <c r="S472" s="980"/>
      <c r="T472" s="980" t="e">
        <f t="shared" si="74"/>
        <v>#REF!</v>
      </c>
    </row>
    <row r="473" spans="14:20">
      <c r="N473">
        <v>14.15</v>
      </c>
      <c r="S473" s="980"/>
      <c r="T473" s="980" t="e">
        <f t="shared" si="74"/>
        <v>#REF!</v>
      </c>
    </row>
    <row r="474" spans="14:20">
      <c r="N474">
        <v>14.2</v>
      </c>
      <c r="S474" s="980"/>
      <c r="T474" s="980" t="e">
        <f t="shared" si="74"/>
        <v>#REF!</v>
      </c>
    </row>
    <row r="475" spans="14:20">
      <c r="N475">
        <v>14.25</v>
      </c>
      <c r="S475" s="980"/>
      <c r="T475" s="980" t="e">
        <f t="shared" si="74"/>
        <v>#REF!</v>
      </c>
    </row>
    <row r="476" spans="14:20">
      <c r="N476">
        <v>14.3</v>
      </c>
      <c r="S476" s="980"/>
      <c r="T476" s="980" t="e">
        <f t="shared" si="74"/>
        <v>#REF!</v>
      </c>
    </row>
    <row r="477" spans="14:20">
      <c r="N477">
        <v>14.35</v>
      </c>
      <c r="S477" s="980"/>
      <c r="T477" s="980" t="e">
        <f t="shared" si="74"/>
        <v>#REF!</v>
      </c>
    </row>
    <row r="478" spans="14:20">
      <c r="N478">
        <v>14.4</v>
      </c>
      <c r="S478" s="980"/>
      <c r="T478" s="980" t="e">
        <f t="shared" si="74"/>
        <v>#REF!</v>
      </c>
    </row>
    <row r="479" spans="14:20">
      <c r="N479">
        <v>14.45</v>
      </c>
      <c r="S479" s="980"/>
      <c r="T479" s="980" t="e">
        <f t="shared" si="74"/>
        <v>#REF!</v>
      </c>
    </row>
    <row r="480" spans="14:20">
      <c r="N480">
        <v>14.5</v>
      </c>
      <c r="S480" s="980"/>
      <c r="T480" s="980" t="e">
        <f t="shared" si="74"/>
        <v>#REF!</v>
      </c>
    </row>
    <row r="481" spans="14:20">
      <c r="N481">
        <v>14.55</v>
      </c>
      <c r="S481" s="980"/>
      <c r="T481" s="980" t="e">
        <f t="shared" si="74"/>
        <v>#REF!</v>
      </c>
    </row>
    <row r="482" spans="14:20">
      <c r="N482">
        <v>14.6</v>
      </c>
      <c r="S482" s="980"/>
      <c r="T482" s="980" t="e">
        <f t="shared" si="74"/>
        <v>#REF!</v>
      </c>
    </row>
    <row r="483" spans="14:20">
      <c r="N483">
        <v>14.65</v>
      </c>
      <c r="S483" s="980"/>
      <c r="T483" s="980" t="e">
        <f t="shared" ref="T483:T546" si="75">$H$184</f>
        <v>#REF!</v>
      </c>
    </row>
    <row r="484" spans="14:20">
      <c r="N484">
        <v>14.7</v>
      </c>
      <c r="S484" s="980"/>
      <c r="T484" s="980" t="e">
        <f t="shared" si="75"/>
        <v>#REF!</v>
      </c>
    </row>
    <row r="485" spans="14:20">
      <c r="N485">
        <v>14.75</v>
      </c>
      <c r="S485" s="980"/>
      <c r="T485" s="980" t="e">
        <f t="shared" si="75"/>
        <v>#REF!</v>
      </c>
    </row>
    <row r="486" spans="14:20">
      <c r="N486">
        <v>14.8</v>
      </c>
      <c r="S486" s="980"/>
      <c r="T486" s="980" t="e">
        <f t="shared" si="75"/>
        <v>#REF!</v>
      </c>
    </row>
    <row r="487" spans="14:20">
      <c r="N487">
        <v>14.85</v>
      </c>
      <c r="S487" s="980"/>
      <c r="T487" s="980" t="e">
        <f t="shared" si="75"/>
        <v>#REF!</v>
      </c>
    </row>
    <row r="488" spans="14:20">
      <c r="N488">
        <v>14.9</v>
      </c>
      <c r="S488" s="980"/>
      <c r="T488" s="980" t="e">
        <f t="shared" si="75"/>
        <v>#REF!</v>
      </c>
    </row>
    <row r="489" spans="14:20">
      <c r="N489">
        <v>14.95</v>
      </c>
      <c r="S489" s="980"/>
      <c r="T489" s="980" t="e">
        <f t="shared" si="75"/>
        <v>#REF!</v>
      </c>
    </row>
    <row r="490" spans="14:20">
      <c r="N490">
        <v>15</v>
      </c>
      <c r="S490" s="980"/>
      <c r="T490" s="980" t="e">
        <f t="shared" si="75"/>
        <v>#REF!</v>
      </c>
    </row>
    <row r="491" spans="14:20">
      <c r="N491">
        <v>15.05</v>
      </c>
      <c r="S491" s="980"/>
      <c r="T491" s="980" t="e">
        <f t="shared" si="75"/>
        <v>#REF!</v>
      </c>
    </row>
    <row r="492" spans="14:20">
      <c r="N492">
        <v>15.1</v>
      </c>
      <c r="S492" s="980"/>
      <c r="T492" s="980" t="e">
        <f t="shared" si="75"/>
        <v>#REF!</v>
      </c>
    </row>
    <row r="493" spans="14:20">
      <c r="N493">
        <v>15.15</v>
      </c>
      <c r="S493" s="980"/>
      <c r="T493" s="980" t="e">
        <f t="shared" si="75"/>
        <v>#REF!</v>
      </c>
    </row>
    <row r="494" spans="14:20">
      <c r="N494">
        <v>15.2</v>
      </c>
      <c r="S494" s="980"/>
      <c r="T494" s="980" t="e">
        <f t="shared" si="75"/>
        <v>#REF!</v>
      </c>
    </row>
    <row r="495" spans="14:20">
      <c r="N495">
        <v>15.25</v>
      </c>
      <c r="S495" s="980"/>
      <c r="T495" s="980" t="e">
        <f t="shared" si="75"/>
        <v>#REF!</v>
      </c>
    </row>
    <row r="496" spans="14:20">
      <c r="N496">
        <v>15.3</v>
      </c>
      <c r="S496" s="980"/>
      <c r="T496" s="980" t="e">
        <f t="shared" si="75"/>
        <v>#REF!</v>
      </c>
    </row>
    <row r="497" spans="14:20">
      <c r="N497">
        <v>15.35</v>
      </c>
      <c r="S497" s="980"/>
      <c r="T497" s="980" t="e">
        <f t="shared" si="75"/>
        <v>#REF!</v>
      </c>
    </row>
    <row r="498" spans="14:20">
      <c r="N498">
        <v>15.4</v>
      </c>
      <c r="S498" s="980"/>
      <c r="T498" s="980" t="e">
        <f t="shared" si="75"/>
        <v>#REF!</v>
      </c>
    </row>
    <row r="499" spans="14:20">
      <c r="N499">
        <v>15.45</v>
      </c>
      <c r="S499" s="980"/>
      <c r="T499" s="980" t="e">
        <f t="shared" si="75"/>
        <v>#REF!</v>
      </c>
    </row>
    <row r="500" spans="14:20">
      <c r="N500">
        <v>15.5</v>
      </c>
      <c r="S500" s="980"/>
      <c r="T500" s="980" t="e">
        <f t="shared" si="75"/>
        <v>#REF!</v>
      </c>
    </row>
    <row r="501" spans="14:20">
      <c r="N501">
        <v>15.55</v>
      </c>
      <c r="S501" s="980"/>
      <c r="T501" s="980" t="e">
        <f t="shared" si="75"/>
        <v>#REF!</v>
      </c>
    </row>
    <row r="502" spans="14:20">
      <c r="N502">
        <v>15.6</v>
      </c>
      <c r="S502" s="980"/>
      <c r="T502" s="980" t="e">
        <f t="shared" si="75"/>
        <v>#REF!</v>
      </c>
    </row>
    <row r="503" spans="14:20">
      <c r="N503">
        <v>15.65</v>
      </c>
      <c r="S503" s="980"/>
      <c r="T503" s="980" t="e">
        <f t="shared" si="75"/>
        <v>#REF!</v>
      </c>
    </row>
    <row r="504" spans="14:20">
      <c r="N504">
        <v>15.7</v>
      </c>
      <c r="S504" s="980"/>
      <c r="T504" s="980" t="e">
        <f t="shared" si="75"/>
        <v>#REF!</v>
      </c>
    </row>
    <row r="505" spans="14:20">
      <c r="N505">
        <v>15.75</v>
      </c>
      <c r="S505" s="980"/>
      <c r="T505" s="980" t="e">
        <f t="shared" si="75"/>
        <v>#REF!</v>
      </c>
    </row>
    <row r="506" spans="14:20">
      <c r="N506">
        <v>15.8</v>
      </c>
      <c r="S506" s="980"/>
      <c r="T506" s="980" t="e">
        <f t="shared" si="75"/>
        <v>#REF!</v>
      </c>
    </row>
    <row r="507" spans="14:20">
      <c r="N507">
        <v>15.85</v>
      </c>
      <c r="S507" s="980"/>
      <c r="T507" s="980" t="e">
        <f t="shared" si="75"/>
        <v>#REF!</v>
      </c>
    </row>
    <row r="508" spans="14:20">
      <c r="N508">
        <v>15.9</v>
      </c>
      <c r="S508" s="980"/>
      <c r="T508" s="980" t="e">
        <f t="shared" si="75"/>
        <v>#REF!</v>
      </c>
    </row>
    <row r="509" spans="14:20">
      <c r="N509">
        <v>15.95</v>
      </c>
      <c r="S509" s="980"/>
      <c r="T509" s="980" t="e">
        <f t="shared" si="75"/>
        <v>#REF!</v>
      </c>
    </row>
    <row r="510" spans="14:20">
      <c r="N510">
        <v>16</v>
      </c>
      <c r="S510" s="980"/>
      <c r="T510" s="980" t="e">
        <f t="shared" si="75"/>
        <v>#REF!</v>
      </c>
    </row>
    <row r="511" spans="14:20">
      <c r="N511">
        <v>16.05</v>
      </c>
      <c r="S511" s="980"/>
      <c r="T511" s="980" t="e">
        <f t="shared" si="75"/>
        <v>#REF!</v>
      </c>
    </row>
    <row r="512" spans="14:20">
      <c r="N512">
        <v>16.100000000000001</v>
      </c>
      <c r="S512" s="980"/>
      <c r="T512" s="980" t="e">
        <f t="shared" si="75"/>
        <v>#REF!</v>
      </c>
    </row>
    <row r="513" spans="14:20">
      <c r="N513">
        <v>16.149999999999999</v>
      </c>
      <c r="S513" s="980"/>
      <c r="T513" s="980" t="e">
        <f t="shared" si="75"/>
        <v>#REF!</v>
      </c>
    </row>
    <row r="514" spans="14:20">
      <c r="N514">
        <v>16.2</v>
      </c>
      <c r="S514" s="980"/>
      <c r="T514" s="980" t="e">
        <f t="shared" si="75"/>
        <v>#REF!</v>
      </c>
    </row>
    <row r="515" spans="14:20">
      <c r="N515">
        <v>16.25</v>
      </c>
      <c r="S515" s="980"/>
      <c r="T515" s="980" t="e">
        <f t="shared" si="75"/>
        <v>#REF!</v>
      </c>
    </row>
    <row r="516" spans="14:20">
      <c r="N516">
        <v>16.3</v>
      </c>
      <c r="S516" s="980"/>
      <c r="T516" s="980" t="e">
        <f t="shared" si="75"/>
        <v>#REF!</v>
      </c>
    </row>
    <row r="517" spans="14:20">
      <c r="N517">
        <v>16.350000000000001</v>
      </c>
      <c r="S517" s="980"/>
      <c r="T517" s="980" t="e">
        <f t="shared" si="75"/>
        <v>#REF!</v>
      </c>
    </row>
    <row r="518" spans="14:20">
      <c r="N518">
        <v>16.399999999999999</v>
      </c>
      <c r="S518" s="980"/>
      <c r="T518" s="980" t="e">
        <f t="shared" si="75"/>
        <v>#REF!</v>
      </c>
    </row>
    <row r="519" spans="14:20">
      <c r="N519">
        <v>16.45</v>
      </c>
      <c r="S519" s="980"/>
      <c r="T519" s="980" t="e">
        <f t="shared" si="75"/>
        <v>#REF!</v>
      </c>
    </row>
    <row r="520" spans="14:20">
      <c r="N520">
        <v>16.5</v>
      </c>
      <c r="S520" s="980"/>
      <c r="T520" s="980" t="e">
        <f t="shared" si="75"/>
        <v>#REF!</v>
      </c>
    </row>
    <row r="521" spans="14:20">
      <c r="N521">
        <v>16.55</v>
      </c>
      <c r="S521" s="980"/>
      <c r="T521" s="980" t="e">
        <f t="shared" si="75"/>
        <v>#REF!</v>
      </c>
    </row>
    <row r="522" spans="14:20">
      <c r="N522">
        <v>16.600000000000001</v>
      </c>
      <c r="S522" s="980"/>
      <c r="T522" s="980" t="e">
        <f t="shared" si="75"/>
        <v>#REF!</v>
      </c>
    </row>
    <row r="523" spans="14:20">
      <c r="N523">
        <v>16.649999999999999</v>
      </c>
      <c r="S523" s="980"/>
      <c r="T523" s="980" t="e">
        <f t="shared" si="75"/>
        <v>#REF!</v>
      </c>
    </row>
    <row r="524" spans="14:20">
      <c r="N524">
        <v>16.7</v>
      </c>
      <c r="S524" s="980"/>
      <c r="T524" s="980" t="e">
        <f t="shared" si="75"/>
        <v>#REF!</v>
      </c>
    </row>
    <row r="525" spans="14:20">
      <c r="N525">
        <v>16.75</v>
      </c>
      <c r="S525" s="980"/>
      <c r="T525" s="980" t="e">
        <f t="shared" si="75"/>
        <v>#REF!</v>
      </c>
    </row>
    <row r="526" spans="14:20">
      <c r="N526">
        <v>16.8</v>
      </c>
      <c r="S526" s="980"/>
      <c r="T526" s="980" t="e">
        <f t="shared" si="75"/>
        <v>#REF!</v>
      </c>
    </row>
    <row r="527" spans="14:20">
      <c r="N527">
        <v>16.850000000000001</v>
      </c>
      <c r="S527" s="980"/>
      <c r="T527" s="980" t="e">
        <f t="shared" si="75"/>
        <v>#REF!</v>
      </c>
    </row>
    <row r="528" spans="14:20">
      <c r="N528">
        <v>16.899999999999999</v>
      </c>
      <c r="S528" s="980"/>
      <c r="T528" s="980" t="e">
        <f t="shared" si="75"/>
        <v>#REF!</v>
      </c>
    </row>
    <row r="529" spans="14:20">
      <c r="N529">
        <v>16.95</v>
      </c>
      <c r="S529" s="980"/>
      <c r="T529" s="980" t="e">
        <f t="shared" si="75"/>
        <v>#REF!</v>
      </c>
    </row>
    <row r="530" spans="14:20">
      <c r="N530">
        <v>17</v>
      </c>
      <c r="S530" s="980"/>
      <c r="T530" s="980" t="e">
        <f t="shared" si="75"/>
        <v>#REF!</v>
      </c>
    </row>
    <row r="531" spans="14:20">
      <c r="N531">
        <v>17.05</v>
      </c>
      <c r="S531" s="980"/>
      <c r="T531" s="980" t="e">
        <f t="shared" si="75"/>
        <v>#REF!</v>
      </c>
    </row>
    <row r="532" spans="14:20">
      <c r="N532">
        <v>17.100000000000001</v>
      </c>
      <c r="S532" s="980"/>
      <c r="T532" s="980" t="e">
        <f t="shared" si="75"/>
        <v>#REF!</v>
      </c>
    </row>
    <row r="533" spans="14:20">
      <c r="N533">
        <v>17.149999999999999</v>
      </c>
      <c r="S533" s="980"/>
      <c r="T533" s="980" t="e">
        <f t="shared" si="75"/>
        <v>#REF!</v>
      </c>
    </row>
    <row r="534" spans="14:20">
      <c r="N534">
        <v>17.2</v>
      </c>
      <c r="S534" s="980"/>
      <c r="T534" s="980" t="e">
        <f t="shared" si="75"/>
        <v>#REF!</v>
      </c>
    </row>
    <row r="535" spans="14:20">
      <c r="N535">
        <v>17.25</v>
      </c>
      <c r="S535" s="980"/>
      <c r="T535" s="980" t="e">
        <f t="shared" si="75"/>
        <v>#REF!</v>
      </c>
    </row>
    <row r="536" spans="14:20">
      <c r="N536">
        <v>17.3</v>
      </c>
      <c r="S536" s="980"/>
      <c r="T536" s="980" t="e">
        <f t="shared" si="75"/>
        <v>#REF!</v>
      </c>
    </row>
    <row r="537" spans="14:20">
      <c r="N537">
        <v>17.350000000000001</v>
      </c>
      <c r="S537" s="980"/>
      <c r="T537" s="980" t="e">
        <f t="shared" si="75"/>
        <v>#REF!</v>
      </c>
    </row>
    <row r="538" spans="14:20">
      <c r="N538">
        <v>17.399999999999999</v>
      </c>
      <c r="S538" s="980"/>
      <c r="T538" s="980" t="e">
        <f t="shared" si="75"/>
        <v>#REF!</v>
      </c>
    </row>
    <row r="539" spans="14:20">
      <c r="N539">
        <v>17.45</v>
      </c>
      <c r="S539" s="980"/>
      <c r="T539" s="980" t="e">
        <f t="shared" si="75"/>
        <v>#REF!</v>
      </c>
    </row>
    <row r="540" spans="14:20">
      <c r="N540">
        <v>17.5</v>
      </c>
      <c r="S540" s="980"/>
      <c r="T540" s="980" t="e">
        <f t="shared" si="75"/>
        <v>#REF!</v>
      </c>
    </row>
    <row r="541" spans="14:20">
      <c r="N541">
        <v>17.55</v>
      </c>
      <c r="S541" s="980"/>
      <c r="T541" s="980" t="e">
        <f t="shared" si="75"/>
        <v>#REF!</v>
      </c>
    </row>
    <row r="542" spans="14:20">
      <c r="N542">
        <v>17.600000000000001</v>
      </c>
      <c r="S542" s="980"/>
      <c r="T542" s="980" t="e">
        <f t="shared" si="75"/>
        <v>#REF!</v>
      </c>
    </row>
    <row r="543" spans="14:20">
      <c r="N543">
        <v>17.649999999999999</v>
      </c>
      <c r="S543" s="980"/>
      <c r="T543" s="980" t="e">
        <f t="shared" si="75"/>
        <v>#REF!</v>
      </c>
    </row>
    <row r="544" spans="14:20">
      <c r="N544">
        <v>17.7</v>
      </c>
      <c r="S544" s="980"/>
      <c r="T544" s="980" t="e">
        <f t="shared" si="75"/>
        <v>#REF!</v>
      </c>
    </row>
    <row r="545" spans="14:20">
      <c r="N545">
        <v>17.75</v>
      </c>
      <c r="S545" s="980"/>
      <c r="T545" s="980" t="e">
        <f t="shared" si="75"/>
        <v>#REF!</v>
      </c>
    </row>
    <row r="546" spans="14:20">
      <c r="N546">
        <v>17.8</v>
      </c>
      <c r="S546" s="980"/>
      <c r="T546" s="980" t="e">
        <f t="shared" si="75"/>
        <v>#REF!</v>
      </c>
    </row>
    <row r="547" spans="14:20">
      <c r="N547">
        <v>17.850000000000001</v>
      </c>
      <c r="S547" s="980"/>
      <c r="T547" s="980" t="e">
        <f t="shared" ref="T547:T610" si="76">$H$184</f>
        <v>#REF!</v>
      </c>
    </row>
    <row r="548" spans="14:20">
      <c r="N548">
        <v>17.899999999999999</v>
      </c>
      <c r="S548" s="980"/>
      <c r="T548" s="980" t="e">
        <f t="shared" si="76"/>
        <v>#REF!</v>
      </c>
    </row>
    <row r="549" spans="14:20">
      <c r="N549">
        <v>17.95</v>
      </c>
      <c r="S549" s="980"/>
      <c r="T549" s="980" t="e">
        <f t="shared" si="76"/>
        <v>#REF!</v>
      </c>
    </row>
    <row r="550" spans="14:20">
      <c r="N550">
        <v>18</v>
      </c>
      <c r="S550" s="980"/>
      <c r="T550" s="980" t="e">
        <f t="shared" si="76"/>
        <v>#REF!</v>
      </c>
    </row>
    <row r="551" spans="14:20">
      <c r="N551">
        <v>18.05</v>
      </c>
      <c r="S551" s="980"/>
      <c r="T551" s="980" t="e">
        <f t="shared" si="76"/>
        <v>#REF!</v>
      </c>
    </row>
    <row r="552" spans="14:20">
      <c r="N552">
        <v>18.100000000000001</v>
      </c>
      <c r="S552" s="980"/>
      <c r="T552" s="980" t="e">
        <f t="shared" si="76"/>
        <v>#REF!</v>
      </c>
    </row>
    <row r="553" spans="14:20">
      <c r="N553">
        <v>18.149999999999999</v>
      </c>
      <c r="S553" s="980"/>
      <c r="T553" s="980" t="e">
        <f t="shared" si="76"/>
        <v>#REF!</v>
      </c>
    </row>
    <row r="554" spans="14:20">
      <c r="N554">
        <v>18.2</v>
      </c>
      <c r="S554" s="980"/>
      <c r="T554" s="980" t="e">
        <f t="shared" si="76"/>
        <v>#REF!</v>
      </c>
    </row>
    <row r="555" spans="14:20">
      <c r="N555">
        <v>18.25</v>
      </c>
      <c r="S555" s="980"/>
      <c r="T555" s="980" t="e">
        <f t="shared" si="76"/>
        <v>#REF!</v>
      </c>
    </row>
    <row r="556" spans="14:20">
      <c r="N556">
        <v>18.3</v>
      </c>
      <c r="S556" s="980"/>
      <c r="T556" s="980" t="e">
        <f t="shared" si="76"/>
        <v>#REF!</v>
      </c>
    </row>
    <row r="557" spans="14:20">
      <c r="N557">
        <v>18.350000000000001</v>
      </c>
      <c r="S557" s="980"/>
      <c r="T557" s="980" t="e">
        <f t="shared" si="76"/>
        <v>#REF!</v>
      </c>
    </row>
    <row r="558" spans="14:20">
      <c r="N558">
        <v>18.399999999999999</v>
      </c>
      <c r="S558" s="980"/>
      <c r="T558" s="980" t="e">
        <f t="shared" si="76"/>
        <v>#REF!</v>
      </c>
    </row>
    <row r="559" spans="14:20">
      <c r="N559">
        <v>18.45</v>
      </c>
      <c r="S559" s="980"/>
      <c r="T559" s="980" t="e">
        <f t="shared" si="76"/>
        <v>#REF!</v>
      </c>
    </row>
    <row r="560" spans="14:20">
      <c r="N560">
        <v>18.5</v>
      </c>
      <c r="S560" s="980"/>
      <c r="T560" s="980" t="e">
        <f t="shared" si="76"/>
        <v>#REF!</v>
      </c>
    </row>
    <row r="561" spans="14:20">
      <c r="N561">
        <v>18.55</v>
      </c>
      <c r="S561" s="980"/>
      <c r="T561" s="980" t="e">
        <f t="shared" si="76"/>
        <v>#REF!</v>
      </c>
    </row>
    <row r="562" spans="14:20">
      <c r="N562">
        <v>18.600000000000001</v>
      </c>
      <c r="S562" s="980"/>
      <c r="T562" s="980" t="e">
        <f t="shared" si="76"/>
        <v>#REF!</v>
      </c>
    </row>
    <row r="563" spans="14:20">
      <c r="N563">
        <v>18.649999999999999</v>
      </c>
      <c r="S563" s="980"/>
      <c r="T563" s="980" t="e">
        <f t="shared" si="76"/>
        <v>#REF!</v>
      </c>
    </row>
    <row r="564" spans="14:20">
      <c r="N564">
        <v>18.7</v>
      </c>
      <c r="S564" s="980"/>
      <c r="T564" s="980" t="e">
        <f t="shared" si="76"/>
        <v>#REF!</v>
      </c>
    </row>
    <row r="565" spans="14:20">
      <c r="N565">
        <v>18.75</v>
      </c>
      <c r="S565" s="980"/>
      <c r="T565" s="980" t="e">
        <f t="shared" si="76"/>
        <v>#REF!</v>
      </c>
    </row>
    <row r="566" spans="14:20">
      <c r="N566">
        <v>18.8</v>
      </c>
      <c r="S566" s="980"/>
      <c r="T566" s="980" t="e">
        <f t="shared" si="76"/>
        <v>#REF!</v>
      </c>
    </row>
    <row r="567" spans="14:20">
      <c r="N567">
        <v>18.850000000000001</v>
      </c>
      <c r="S567" s="980"/>
      <c r="T567" s="980" t="e">
        <f t="shared" si="76"/>
        <v>#REF!</v>
      </c>
    </row>
    <row r="568" spans="14:20">
      <c r="N568">
        <v>18.899999999999999</v>
      </c>
      <c r="S568" s="980"/>
      <c r="T568" s="980" t="e">
        <f t="shared" si="76"/>
        <v>#REF!</v>
      </c>
    </row>
    <row r="569" spans="14:20">
      <c r="N569">
        <v>18.95</v>
      </c>
      <c r="S569" s="980"/>
      <c r="T569" s="980" t="e">
        <f t="shared" si="76"/>
        <v>#REF!</v>
      </c>
    </row>
    <row r="570" spans="14:20">
      <c r="N570">
        <v>19</v>
      </c>
      <c r="S570" s="980"/>
      <c r="T570" s="980" t="e">
        <f t="shared" si="76"/>
        <v>#REF!</v>
      </c>
    </row>
    <row r="571" spans="14:20">
      <c r="N571">
        <v>19.05</v>
      </c>
      <c r="S571" s="980"/>
      <c r="T571" s="980" t="e">
        <f t="shared" si="76"/>
        <v>#REF!</v>
      </c>
    </row>
    <row r="572" spans="14:20">
      <c r="N572">
        <v>19.100000000000001</v>
      </c>
      <c r="S572" s="980"/>
      <c r="T572" s="980" t="e">
        <f t="shared" si="76"/>
        <v>#REF!</v>
      </c>
    </row>
    <row r="573" spans="14:20">
      <c r="N573">
        <v>19.149999999999999</v>
      </c>
      <c r="S573" s="980"/>
      <c r="T573" s="980" t="e">
        <f t="shared" si="76"/>
        <v>#REF!</v>
      </c>
    </row>
    <row r="574" spans="14:20">
      <c r="N574">
        <v>19.2</v>
      </c>
      <c r="S574" s="980"/>
      <c r="T574" s="980" t="e">
        <f t="shared" si="76"/>
        <v>#REF!</v>
      </c>
    </row>
    <row r="575" spans="14:20">
      <c r="N575">
        <v>19.25</v>
      </c>
      <c r="S575" s="980"/>
      <c r="T575" s="980" t="e">
        <f t="shared" si="76"/>
        <v>#REF!</v>
      </c>
    </row>
    <row r="576" spans="14:20">
      <c r="N576">
        <v>19.3</v>
      </c>
      <c r="T576" s="980" t="e">
        <f t="shared" si="76"/>
        <v>#REF!</v>
      </c>
    </row>
    <row r="577" spans="14:20">
      <c r="N577">
        <v>19.350000000000001</v>
      </c>
      <c r="T577" s="980" t="e">
        <f t="shared" si="76"/>
        <v>#REF!</v>
      </c>
    </row>
    <row r="578" spans="14:20">
      <c r="N578">
        <v>19.399999999999999</v>
      </c>
      <c r="T578" s="980" t="e">
        <f t="shared" si="76"/>
        <v>#REF!</v>
      </c>
    </row>
    <row r="579" spans="14:20">
      <c r="N579">
        <v>19.45</v>
      </c>
      <c r="T579" s="980" t="e">
        <f t="shared" si="76"/>
        <v>#REF!</v>
      </c>
    </row>
    <row r="580" spans="14:20">
      <c r="N580">
        <v>19.5</v>
      </c>
      <c r="T580" s="980" t="e">
        <f t="shared" si="76"/>
        <v>#REF!</v>
      </c>
    </row>
    <row r="581" spans="14:20">
      <c r="N581">
        <v>19.55</v>
      </c>
      <c r="T581" s="980" t="e">
        <f t="shared" si="76"/>
        <v>#REF!</v>
      </c>
    </row>
    <row r="582" spans="14:20">
      <c r="N582">
        <v>19.600000000000001</v>
      </c>
      <c r="T582" s="980" t="e">
        <f t="shared" si="76"/>
        <v>#REF!</v>
      </c>
    </row>
    <row r="583" spans="14:20">
      <c r="N583">
        <v>19.649999999999999</v>
      </c>
      <c r="T583" s="980" t="e">
        <f t="shared" si="76"/>
        <v>#REF!</v>
      </c>
    </row>
    <row r="584" spans="14:20">
      <c r="N584">
        <v>19.7</v>
      </c>
      <c r="T584" s="980" t="e">
        <f t="shared" si="76"/>
        <v>#REF!</v>
      </c>
    </row>
    <row r="585" spans="14:20">
      <c r="N585">
        <v>19.75</v>
      </c>
      <c r="T585" s="980" t="e">
        <f t="shared" si="76"/>
        <v>#REF!</v>
      </c>
    </row>
    <row r="586" spans="14:20">
      <c r="N586">
        <v>19.8</v>
      </c>
      <c r="T586" s="980" t="e">
        <f t="shared" si="76"/>
        <v>#REF!</v>
      </c>
    </row>
    <row r="587" spans="14:20">
      <c r="N587">
        <v>19.850000000000001</v>
      </c>
      <c r="T587" s="980" t="e">
        <f t="shared" si="76"/>
        <v>#REF!</v>
      </c>
    </row>
    <row r="588" spans="14:20">
      <c r="N588">
        <v>19.899999999999999</v>
      </c>
      <c r="T588" s="980" t="e">
        <f t="shared" si="76"/>
        <v>#REF!</v>
      </c>
    </row>
    <row r="589" spans="14:20">
      <c r="N589">
        <v>19.95</v>
      </c>
      <c r="T589" s="980" t="e">
        <f t="shared" si="76"/>
        <v>#REF!</v>
      </c>
    </row>
    <row r="590" spans="14:20">
      <c r="N590">
        <v>20</v>
      </c>
      <c r="T590" s="980" t="e">
        <f t="shared" si="76"/>
        <v>#REF!</v>
      </c>
    </row>
    <row r="591" spans="14:20">
      <c r="N591">
        <v>20.05</v>
      </c>
      <c r="T591" s="980" t="e">
        <f t="shared" si="76"/>
        <v>#REF!</v>
      </c>
    </row>
    <row r="592" spans="14:20">
      <c r="N592">
        <v>20.100000000000001</v>
      </c>
      <c r="T592" s="980" t="e">
        <f t="shared" si="76"/>
        <v>#REF!</v>
      </c>
    </row>
    <row r="593" spans="14:20">
      <c r="N593">
        <v>20.149999999999999</v>
      </c>
      <c r="T593" s="980" t="e">
        <f t="shared" si="76"/>
        <v>#REF!</v>
      </c>
    </row>
    <row r="594" spans="14:20">
      <c r="N594">
        <v>20.2</v>
      </c>
      <c r="T594" s="980" t="e">
        <f t="shared" si="76"/>
        <v>#REF!</v>
      </c>
    </row>
    <row r="595" spans="14:20">
      <c r="N595">
        <v>20.25</v>
      </c>
      <c r="T595" s="980" t="e">
        <f t="shared" si="76"/>
        <v>#REF!</v>
      </c>
    </row>
    <row r="596" spans="14:20">
      <c r="N596">
        <v>20.3</v>
      </c>
      <c r="T596" s="980" t="e">
        <f t="shared" si="76"/>
        <v>#REF!</v>
      </c>
    </row>
    <row r="597" spans="14:20">
      <c r="N597">
        <v>20.350000000000001</v>
      </c>
      <c r="T597" s="980" t="e">
        <f t="shared" si="76"/>
        <v>#REF!</v>
      </c>
    </row>
    <row r="598" spans="14:20">
      <c r="N598">
        <v>20.399999999999999</v>
      </c>
      <c r="T598" s="980" t="e">
        <f t="shared" si="76"/>
        <v>#REF!</v>
      </c>
    </row>
    <row r="599" spans="14:20">
      <c r="N599">
        <v>20.45</v>
      </c>
      <c r="T599" s="980" t="e">
        <f t="shared" si="76"/>
        <v>#REF!</v>
      </c>
    </row>
    <row r="600" spans="14:20">
      <c r="N600">
        <v>20.5</v>
      </c>
      <c r="T600" s="980" t="e">
        <f t="shared" si="76"/>
        <v>#REF!</v>
      </c>
    </row>
    <row r="601" spans="14:20">
      <c r="N601">
        <v>20.55</v>
      </c>
      <c r="T601" s="980" t="e">
        <f t="shared" si="76"/>
        <v>#REF!</v>
      </c>
    </row>
    <row r="602" spans="14:20">
      <c r="N602">
        <v>20.6</v>
      </c>
      <c r="T602" s="980" t="e">
        <f t="shared" si="76"/>
        <v>#REF!</v>
      </c>
    </row>
    <row r="603" spans="14:20">
      <c r="N603">
        <v>20.65</v>
      </c>
      <c r="T603" s="980" t="e">
        <f t="shared" si="76"/>
        <v>#REF!</v>
      </c>
    </row>
    <row r="604" spans="14:20">
      <c r="N604">
        <v>20.7</v>
      </c>
      <c r="T604" s="980" t="e">
        <f t="shared" si="76"/>
        <v>#REF!</v>
      </c>
    </row>
    <row r="605" spans="14:20">
      <c r="N605">
        <v>20.75</v>
      </c>
      <c r="T605" s="980" t="e">
        <f t="shared" si="76"/>
        <v>#REF!</v>
      </c>
    </row>
    <row r="606" spans="14:20">
      <c r="N606">
        <v>20.8</v>
      </c>
      <c r="T606" s="980" t="e">
        <f t="shared" si="76"/>
        <v>#REF!</v>
      </c>
    </row>
    <row r="607" spans="14:20">
      <c r="N607">
        <v>20.85</v>
      </c>
      <c r="T607" s="980" t="e">
        <f t="shared" si="76"/>
        <v>#REF!</v>
      </c>
    </row>
    <row r="608" spans="14:20">
      <c r="N608">
        <v>20.9</v>
      </c>
      <c r="T608" s="980" t="e">
        <f t="shared" si="76"/>
        <v>#REF!</v>
      </c>
    </row>
    <row r="609" spans="14:20">
      <c r="N609">
        <v>20.95</v>
      </c>
      <c r="T609" s="980" t="e">
        <f t="shared" si="76"/>
        <v>#REF!</v>
      </c>
    </row>
    <row r="610" spans="14:20">
      <c r="N610">
        <v>21</v>
      </c>
      <c r="T610" s="980" t="e">
        <f t="shared" si="76"/>
        <v>#REF!</v>
      </c>
    </row>
    <row r="611" spans="14:20">
      <c r="N611">
        <v>21.05</v>
      </c>
      <c r="T611" s="980" t="e">
        <f t="shared" ref="T611:T653" si="77">$H$184</f>
        <v>#REF!</v>
      </c>
    </row>
    <row r="612" spans="14:20">
      <c r="N612">
        <v>21.1</v>
      </c>
      <c r="T612" s="980" t="e">
        <f t="shared" si="77"/>
        <v>#REF!</v>
      </c>
    </row>
    <row r="613" spans="14:20">
      <c r="N613">
        <v>21.15</v>
      </c>
      <c r="T613" s="980" t="e">
        <f t="shared" si="77"/>
        <v>#REF!</v>
      </c>
    </row>
    <row r="614" spans="14:20">
      <c r="N614">
        <v>21.2</v>
      </c>
      <c r="T614" s="980" t="e">
        <f t="shared" si="77"/>
        <v>#REF!</v>
      </c>
    </row>
    <row r="615" spans="14:20">
      <c r="N615">
        <v>21.25</v>
      </c>
      <c r="T615" s="980" t="e">
        <f t="shared" si="77"/>
        <v>#REF!</v>
      </c>
    </row>
    <row r="616" spans="14:20">
      <c r="N616">
        <v>21.3</v>
      </c>
      <c r="T616" s="980" t="e">
        <f t="shared" si="77"/>
        <v>#REF!</v>
      </c>
    </row>
    <row r="617" spans="14:20">
      <c r="N617">
        <v>21.35</v>
      </c>
      <c r="T617" s="980" t="e">
        <f t="shared" si="77"/>
        <v>#REF!</v>
      </c>
    </row>
    <row r="618" spans="14:20">
      <c r="N618">
        <v>21.4</v>
      </c>
      <c r="T618" s="980" t="e">
        <f t="shared" si="77"/>
        <v>#REF!</v>
      </c>
    </row>
    <row r="619" spans="14:20">
      <c r="N619">
        <v>21.45</v>
      </c>
      <c r="T619" s="980" t="e">
        <f t="shared" si="77"/>
        <v>#REF!</v>
      </c>
    </row>
    <row r="620" spans="14:20">
      <c r="N620">
        <v>21.5</v>
      </c>
      <c r="T620" s="980" t="e">
        <f t="shared" si="77"/>
        <v>#REF!</v>
      </c>
    </row>
    <row r="621" spans="14:20">
      <c r="N621">
        <v>21.55</v>
      </c>
      <c r="T621" s="980" t="e">
        <f t="shared" si="77"/>
        <v>#REF!</v>
      </c>
    </row>
    <row r="622" spans="14:20">
      <c r="N622">
        <v>21.6</v>
      </c>
      <c r="T622" s="980" t="e">
        <f t="shared" si="77"/>
        <v>#REF!</v>
      </c>
    </row>
    <row r="623" spans="14:20">
      <c r="N623">
        <v>21.65</v>
      </c>
      <c r="T623" s="980" t="e">
        <f t="shared" si="77"/>
        <v>#REF!</v>
      </c>
    </row>
    <row r="624" spans="14:20">
      <c r="N624">
        <v>21.7</v>
      </c>
      <c r="T624" s="980" t="e">
        <f t="shared" si="77"/>
        <v>#REF!</v>
      </c>
    </row>
    <row r="625" spans="14:20">
      <c r="N625">
        <v>21.75</v>
      </c>
      <c r="T625" s="980" t="e">
        <f t="shared" si="77"/>
        <v>#REF!</v>
      </c>
    </row>
    <row r="626" spans="14:20">
      <c r="N626">
        <v>21.8</v>
      </c>
      <c r="T626" s="980" t="e">
        <f t="shared" si="77"/>
        <v>#REF!</v>
      </c>
    </row>
    <row r="627" spans="14:20">
      <c r="N627">
        <v>21.85</v>
      </c>
      <c r="T627" s="980" t="e">
        <f t="shared" si="77"/>
        <v>#REF!</v>
      </c>
    </row>
    <row r="628" spans="14:20">
      <c r="N628">
        <v>21.9</v>
      </c>
      <c r="T628" s="980" t="e">
        <f t="shared" si="77"/>
        <v>#REF!</v>
      </c>
    </row>
    <row r="629" spans="14:20">
      <c r="N629">
        <v>21.95</v>
      </c>
      <c r="T629" s="980" t="e">
        <f t="shared" si="77"/>
        <v>#REF!</v>
      </c>
    </row>
    <row r="630" spans="14:20">
      <c r="N630">
        <v>22</v>
      </c>
      <c r="T630" s="980" t="e">
        <f t="shared" si="77"/>
        <v>#REF!</v>
      </c>
    </row>
    <row r="631" spans="14:20">
      <c r="N631">
        <v>22.05</v>
      </c>
      <c r="T631" s="980" t="e">
        <f t="shared" si="77"/>
        <v>#REF!</v>
      </c>
    </row>
    <row r="632" spans="14:20">
      <c r="N632">
        <v>22.1</v>
      </c>
      <c r="T632" s="980" t="e">
        <f t="shared" si="77"/>
        <v>#REF!</v>
      </c>
    </row>
    <row r="633" spans="14:20">
      <c r="N633">
        <v>22.15</v>
      </c>
      <c r="T633" s="980" t="e">
        <f t="shared" si="77"/>
        <v>#REF!</v>
      </c>
    </row>
    <row r="634" spans="14:20">
      <c r="N634">
        <v>22.2</v>
      </c>
      <c r="T634" s="980" t="e">
        <f t="shared" si="77"/>
        <v>#REF!</v>
      </c>
    </row>
    <row r="635" spans="14:20">
      <c r="N635">
        <v>22.25</v>
      </c>
      <c r="T635" s="980" t="e">
        <f t="shared" si="77"/>
        <v>#REF!</v>
      </c>
    </row>
    <row r="636" spans="14:20">
      <c r="N636">
        <v>22.3</v>
      </c>
      <c r="T636" s="980" t="e">
        <f t="shared" si="77"/>
        <v>#REF!</v>
      </c>
    </row>
    <row r="637" spans="14:20">
      <c r="N637">
        <v>22.35</v>
      </c>
      <c r="T637" s="980" t="e">
        <f t="shared" si="77"/>
        <v>#REF!</v>
      </c>
    </row>
    <row r="638" spans="14:20">
      <c r="N638">
        <v>22.4</v>
      </c>
      <c r="T638" s="980" t="e">
        <f t="shared" si="77"/>
        <v>#REF!</v>
      </c>
    </row>
    <row r="639" spans="14:20">
      <c r="N639">
        <v>22.45</v>
      </c>
      <c r="T639" s="980" t="e">
        <f t="shared" si="77"/>
        <v>#REF!</v>
      </c>
    </row>
    <row r="640" spans="14:20">
      <c r="N640">
        <v>22.5</v>
      </c>
      <c r="T640" s="980" t="e">
        <f t="shared" si="77"/>
        <v>#REF!</v>
      </c>
    </row>
    <row r="641" spans="14:20">
      <c r="N641">
        <v>22.55</v>
      </c>
      <c r="T641" s="980" t="e">
        <f t="shared" si="77"/>
        <v>#REF!</v>
      </c>
    </row>
    <row r="642" spans="14:20">
      <c r="N642">
        <v>22.6</v>
      </c>
      <c r="T642" s="980" t="e">
        <f t="shared" si="77"/>
        <v>#REF!</v>
      </c>
    </row>
    <row r="643" spans="14:20">
      <c r="N643">
        <v>22.65</v>
      </c>
      <c r="T643" s="980" t="e">
        <f t="shared" si="77"/>
        <v>#REF!</v>
      </c>
    </row>
    <row r="644" spans="14:20">
      <c r="N644">
        <v>22.7</v>
      </c>
      <c r="T644" s="980" t="e">
        <f t="shared" si="77"/>
        <v>#REF!</v>
      </c>
    </row>
    <row r="645" spans="14:20">
      <c r="N645">
        <v>22.75</v>
      </c>
      <c r="T645" s="980" t="e">
        <f t="shared" si="77"/>
        <v>#REF!</v>
      </c>
    </row>
    <row r="646" spans="14:20">
      <c r="N646">
        <v>22.8</v>
      </c>
      <c r="T646" s="980" t="e">
        <f t="shared" si="77"/>
        <v>#REF!</v>
      </c>
    </row>
    <row r="647" spans="14:20">
      <c r="N647">
        <v>22.85</v>
      </c>
      <c r="T647" s="980" t="e">
        <f t="shared" si="77"/>
        <v>#REF!</v>
      </c>
    </row>
    <row r="648" spans="14:20">
      <c r="N648">
        <v>22.9</v>
      </c>
      <c r="T648" s="980" t="e">
        <f t="shared" si="77"/>
        <v>#REF!</v>
      </c>
    </row>
    <row r="649" spans="14:20">
      <c r="N649">
        <v>22.95</v>
      </c>
      <c r="T649" s="980" t="e">
        <f t="shared" si="77"/>
        <v>#REF!</v>
      </c>
    </row>
    <row r="650" spans="14:20">
      <c r="N650">
        <v>23</v>
      </c>
      <c r="T650" s="980" t="e">
        <f t="shared" si="77"/>
        <v>#REF!</v>
      </c>
    </row>
    <row r="651" spans="14:20">
      <c r="N651">
        <v>23.05</v>
      </c>
      <c r="T651" s="980" t="e">
        <f t="shared" si="77"/>
        <v>#REF!</v>
      </c>
    </row>
    <row r="652" spans="14:20">
      <c r="N652">
        <v>23.1</v>
      </c>
      <c r="T652" s="980" t="e">
        <f t="shared" si="77"/>
        <v>#REF!</v>
      </c>
    </row>
    <row r="653" spans="14:20">
      <c r="N653">
        <v>23.15</v>
      </c>
      <c r="T653" s="980" t="e">
        <f t="shared" si="77"/>
        <v>#REF!</v>
      </c>
    </row>
  </sheetData>
  <mergeCells count="1">
    <mergeCell ref="A172:D173"/>
  </mergeCells>
  <hyperlinks>
    <hyperlink ref="F68" r:id="rId1" xr:uid="{0202964B-152F-4516-AD30-8A3EBCB8A177}"/>
  </hyperlinks>
  <pageMargins left="0.7" right="0.7" top="0.75" bottom="0.75" header="0.3" footer="0.3"/>
  <pageSetup orientation="portrait" r:id="rId2"/>
  <headerFooter>
    <oddFooter>&amp;R_x000D_&amp;1#&amp;"Aptos"&amp;10&amp;K000000 Official Use Only</oddFooter>
  </headerFooter>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47A29-0414-471D-8DF6-CFA43E507C40}">
  <dimension ref="A1:F40"/>
  <sheetViews>
    <sheetView zoomScale="81" zoomScaleNormal="81" workbookViewId="0">
      <selection activeCell="B28" sqref="B28"/>
    </sheetView>
  </sheetViews>
  <sheetFormatPr defaultColWidth="45.140625" defaultRowHeight="15"/>
  <cols>
    <col min="2" max="2" width="23.28515625" bestFit="1" customWidth="1"/>
    <col min="3" max="3" width="30.140625" bestFit="1" customWidth="1"/>
    <col min="4" max="4" width="20.85546875" bestFit="1" customWidth="1"/>
    <col min="5" max="5" width="32" customWidth="1"/>
  </cols>
  <sheetData>
    <row r="1" spans="1:6">
      <c r="A1" s="23" t="s">
        <v>166</v>
      </c>
    </row>
    <row r="2" spans="1:6">
      <c r="A2" t="s">
        <v>1612</v>
      </c>
    </row>
    <row r="3" spans="1:6">
      <c r="A3" s="588"/>
      <c r="B3" s="589" t="s">
        <v>1656</v>
      </c>
      <c r="C3" s="590"/>
    </row>
    <row r="4" spans="1:6" ht="30">
      <c r="A4" s="22">
        <v>2022</v>
      </c>
      <c r="B4" s="591">
        <f>'Cement Cost Model-Vietnam'!I13</f>
        <v>110.625</v>
      </c>
      <c r="C4" s="1250" t="s">
        <v>1657</v>
      </c>
    </row>
    <row r="5" spans="1:6">
      <c r="A5" s="22">
        <v>2030</v>
      </c>
      <c r="B5" s="591">
        <f>'Cement Cost Model-Vietnam'!I14</f>
        <v>121.6875</v>
      </c>
      <c r="C5" s="1250"/>
    </row>
    <row r="6" spans="1:6">
      <c r="A6" s="31">
        <v>2050</v>
      </c>
      <c r="B6" s="594">
        <f>'Cement Cost Model-Vietnam'!I15</f>
        <v>141.37875</v>
      </c>
      <c r="C6" s="1251"/>
    </row>
    <row r="8" spans="1:6" ht="30">
      <c r="A8" s="1252" t="s">
        <v>1658</v>
      </c>
      <c r="B8" s="589" t="s">
        <v>1615</v>
      </c>
      <c r="C8" s="589"/>
      <c r="D8" s="589" t="s">
        <v>1616</v>
      </c>
      <c r="E8" s="590" t="s">
        <v>1617</v>
      </c>
    </row>
    <row r="9" spans="1:6">
      <c r="A9" s="22"/>
      <c r="B9" t="s">
        <v>1618</v>
      </c>
      <c r="C9" t="s">
        <v>1619</v>
      </c>
      <c r="D9" t="s">
        <v>1620</v>
      </c>
      <c r="E9" s="595" t="s">
        <v>1621</v>
      </c>
    </row>
    <row r="10" spans="1:6">
      <c r="A10" s="22" t="s">
        <v>1622</v>
      </c>
      <c r="B10" t="s">
        <v>1623</v>
      </c>
      <c r="C10" t="s">
        <v>1624</v>
      </c>
      <c r="D10" t="s">
        <v>1625</v>
      </c>
      <c r="E10" s="595" t="s">
        <v>1626</v>
      </c>
    </row>
    <row r="11" spans="1:6" ht="30">
      <c r="A11" s="596" t="s">
        <v>1627</v>
      </c>
      <c r="C11" s="597">
        <f>(107-100)/107</f>
        <v>6.5420560747663545E-2</v>
      </c>
      <c r="D11" s="597">
        <f>(117-107)/117</f>
        <v>8.5470085470085472E-2</v>
      </c>
      <c r="E11" s="595"/>
    </row>
    <row r="12" spans="1:6" ht="30">
      <c r="A12" s="598" t="s">
        <v>1628</v>
      </c>
      <c r="B12" s="523"/>
      <c r="C12" s="593">
        <v>7</v>
      </c>
      <c r="D12" s="593">
        <v>10</v>
      </c>
      <c r="E12" s="599"/>
    </row>
    <row r="13" spans="1:6">
      <c r="A13" s="33"/>
      <c r="C13" s="597">
        <f>(C16-B16)/C16</f>
        <v>6.0606060606060531E-2</v>
      </c>
      <c r="D13" s="597">
        <f>(D16-C16)/D16</f>
        <v>8.3333333333333412E-2</v>
      </c>
      <c r="E13" s="600"/>
    </row>
    <row r="14" spans="1:6" ht="30">
      <c r="A14" s="700" t="s">
        <v>1696</v>
      </c>
      <c r="B14" s="589" t="s">
        <v>1615</v>
      </c>
      <c r="C14" s="589"/>
      <c r="D14" s="589" t="s">
        <v>1616</v>
      </c>
      <c r="E14" s="590" t="s">
        <v>1617</v>
      </c>
      <c r="F14" s="33" t="s">
        <v>1660</v>
      </c>
    </row>
    <row r="15" spans="1:6">
      <c r="A15" s="22"/>
      <c r="B15" t="s">
        <v>1618</v>
      </c>
      <c r="C15" t="s">
        <v>1619</v>
      </c>
      <c r="D15" t="s">
        <v>1620</v>
      </c>
      <c r="E15" s="595" t="s">
        <v>1621</v>
      </c>
    </row>
    <row r="16" spans="1:6">
      <c r="A16" s="22" t="s">
        <v>1661</v>
      </c>
      <c r="B16" s="733">
        <v>3.1</v>
      </c>
      <c r="C16" s="733">
        <v>3.3</v>
      </c>
      <c r="D16" s="733">
        <v>3.6</v>
      </c>
      <c r="E16" s="734">
        <v>3.8</v>
      </c>
      <c r="F16" s="587"/>
    </row>
    <row r="17" spans="1:6">
      <c r="A17" s="22" t="s">
        <v>1663</v>
      </c>
      <c r="B17" s="46">
        <v>0</v>
      </c>
      <c r="C17" s="46">
        <v>0.25</v>
      </c>
      <c r="D17" s="46">
        <v>0.55000000000000004</v>
      </c>
      <c r="E17" s="602">
        <v>0.2</v>
      </c>
      <c r="F17" s="576">
        <f>SUMPRODUCT($B$16:$E$16,B17:E17)</f>
        <v>3.5650000000000004</v>
      </c>
    </row>
    <row r="18" spans="1:6">
      <c r="A18" s="22" t="s">
        <v>1665</v>
      </c>
      <c r="B18" s="46"/>
      <c r="C18" s="46"/>
      <c r="D18" s="46"/>
      <c r="E18" s="602"/>
      <c r="F18" s="576">
        <f>SUMPRODUCT($B$16:$E$16,B18:E18)</f>
        <v>0</v>
      </c>
    </row>
    <row r="19" spans="1:6">
      <c r="A19" s="22" t="s">
        <v>1666</v>
      </c>
      <c r="B19" s="46">
        <v>0.25</v>
      </c>
      <c r="C19" s="46">
        <v>0.48</v>
      </c>
      <c r="D19" s="46">
        <v>0.27</v>
      </c>
      <c r="E19" s="602">
        <v>0</v>
      </c>
      <c r="F19" s="576">
        <f>SUMPRODUCT($B$16:$E$16,B19:E19)</f>
        <v>3.331</v>
      </c>
    </row>
    <row r="20" spans="1:6">
      <c r="A20" s="31" t="s">
        <v>1697</v>
      </c>
      <c r="B20" s="688">
        <v>0.8</v>
      </c>
      <c r="C20" s="688">
        <v>0.2</v>
      </c>
      <c r="D20" s="523"/>
      <c r="E20" s="605"/>
      <c r="F20" s="576">
        <f>SUMPRODUCT($B$16:$E$16,B20:E20)</f>
        <v>3.1400000000000006</v>
      </c>
    </row>
    <row r="21" spans="1:6">
      <c r="B21" s="46"/>
      <c r="C21" s="46"/>
    </row>
    <row r="22" spans="1:6">
      <c r="A22" s="52" t="s">
        <v>1640</v>
      </c>
    </row>
    <row r="23" spans="1:6" ht="30">
      <c r="A23" s="626"/>
      <c r="B23" s="589" t="s">
        <v>1615</v>
      </c>
      <c r="C23" s="589"/>
      <c r="D23" s="589" t="s">
        <v>1616</v>
      </c>
      <c r="E23" s="590" t="s">
        <v>1617</v>
      </c>
    </row>
    <row r="24" spans="1:6">
      <c r="A24" s="627"/>
      <c r="B24" s="33" t="s">
        <v>1618</v>
      </c>
      <c r="C24" s="33" t="s">
        <v>1619</v>
      </c>
      <c r="D24" s="33" t="s">
        <v>1620</v>
      </c>
      <c r="E24" s="628" t="s">
        <v>1641</v>
      </c>
    </row>
    <row r="25" spans="1:6">
      <c r="A25" s="22" t="s">
        <v>1634</v>
      </c>
      <c r="B25" s="591">
        <f>$B$4*B17</f>
        <v>0</v>
      </c>
      <c r="C25" s="591">
        <f>$B$4*C17</f>
        <v>27.65625</v>
      </c>
      <c r="D25" s="591">
        <f>$B$4*D17</f>
        <v>60.843750000000007</v>
      </c>
      <c r="E25" s="592">
        <f>$B$4*E17</f>
        <v>22.125</v>
      </c>
    </row>
    <row r="26" spans="1:6">
      <c r="A26" s="22" t="s">
        <v>1635</v>
      </c>
      <c r="B26" s="591"/>
      <c r="C26" s="591"/>
      <c r="D26" s="591"/>
      <c r="E26" s="592"/>
    </row>
    <row r="27" spans="1:6">
      <c r="A27" s="22" t="s">
        <v>1636</v>
      </c>
      <c r="B27" s="686">
        <f>$B$5*B19</f>
        <v>30.421875</v>
      </c>
      <c r="C27" s="633">
        <f>$B$5*C19</f>
        <v>58.41</v>
      </c>
      <c r="D27" s="633">
        <f>$B$5*D19</f>
        <v>32.855625000000003</v>
      </c>
      <c r="E27" s="736">
        <f>$B$5*E19</f>
        <v>0</v>
      </c>
    </row>
    <row r="28" spans="1:6">
      <c r="A28" s="31" t="s">
        <v>1642</v>
      </c>
      <c r="B28" s="638">
        <f>B27-B25</f>
        <v>30.421875</v>
      </c>
      <c r="C28" s="593"/>
      <c r="D28" s="593"/>
      <c r="E28" s="594"/>
    </row>
    <row r="29" spans="1:6">
      <c r="A29" s="22" t="s">
        <v>1698</v>
      </c>
      <c r="B29" s="600">
        <f>B20*$B$6</f>
        <v>113.10300000000001</v>
      </c>
      <c r="C29" s="591">
        <f>C20*$B$6</f>
        <v>28.275750000000002</v>
      </c>
      <c r="D29" s="591"/>
      <c r="E29" s="592"/>
    </row>
    <row r="30" spans="1:6">
      <c r="A30" s="31" t="s">
        <v>1699</v>
      </c>
      <c r="B30" s="638">
        <f>B29-B27</f>
        <v>82.681125000000009</v>
      </c>
      <c r="C30" s="593"/>
      <c r="D30" s="593"/>
      <c r="E30" s="594"/>
    </row>
    <row r="31" spans="1:6">
      <c r="B31" s="498"/>
      <c r="C31" s="498"/>
    </row>
    <row r="32" spans="1:6">
      <c r="A32" s="601" t="s">
        <v>1644</v>
      </c>
      <c r="B32" s="639"/>
    </row>
    <row r="33" spans="1:5">
      <c r="A33" s="640"/>
      <c r="B33" s="628" t="s">
        <v>1483</v>
      </c>
      <c r="C33" s="33"/>
      <c r="D33" s="33"/>
      <c r="E33" s="33"/>
    </row>
    <row r="34" spans="1:5">
      <c r="A34" s="22">
        <v>2020</v>
      </c>
      <c r="B34" s="602">
        <v>0</v>
      </c>
    </row>
    <row r="35" spans="1:5">
      <c r="A35" s="22">
        <v>2030</v>
      </c>
      <c r="B35" s="602">
        <f>'Cement Cost Model-Indonesia'!D22</f>
        <v>0.2</v>
      </c>
    </row>
    <row r="36" spans="1:5">
      <c r="A36" s="22">
        <v>2050</v>
      </c>
      <c r="B36" s="602">
        <f>'Cement Cost Model-Indonesia'!H22</f>
        <v>0.65</v>
      </c>
    </row>
    <row r="37" spans="1:5">
      <c r="A37" s="596" t="s">
        <v>1645</v>
      </c>
      <c r="B37" s="680">
        <f>B5*B35</f>
        <v>24.337500000000002</v>
      </c>
      <c r="D37" s="498"/>
    </row>
    <row r="38" spans="1:5">
      <c r="A38" s="596" t="s">
        <v>1700</v>
      </c>
      <c r="B38" s="680">
        <f>B36*B6</f>
        <v>91.896187499999996</v>
      </c>
      <c r="D38" s="498"/>
    </row>
    <row r="39" spans="1:5">
      <c r="A39" s="22" t="s">
        <v>1642</v>
      </c>
      <c r="B39" s="641">
        <f>B37-0</f>
        <v>24.337500000000002</v>
      </c>
      <c r="D39" s="498"/>
    </row>
    <row r="40" spans="1:5" ht="30">
      <c r="A40" s="598" t="s">
        <v>1647</v>
      </c>
      <c r="B40" s="642">
        <f>B38-B37</f>
        <v>67.558687499999991</v>
      </c>
      <c r="D40" s="498"/>
    </row>
  </sheetData>
  <pageMargins left="0.7" right="0.7" top="0.75" bottom="0.75" header="0.3" footer="0.3"/>
  <headerFooter>
    <oddFooter>&amp;R_x000D_&amp;1#&amp;"Aptos"&amp;10&amp;K000000 Official Use Only</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540BF-CDBE-4A0B-BBD6-C9E549AD542A}">
  <dimension ref="A1:M66"/>
  <sheetViews>
    <sheetView topLeftCell="H1" zoomScale="130" zoomScaleNormal="130" workbookViewId="0">
      <selection activeCell="H1" sqref="H1"/>
    </sheetView>
  </sheetViews>
  <sheetFormatPr defaultRowHeight="15"/>
  <cols>
    <col min="5" max="5" width="29.140625" customWidth="1"/>
    <col min="6" max="6" width="4.28515625" customWidth="1"/>
    <col min="7" max="7" width="11.42578125" customWidth="1"/>
    <col min="8" max="8" width="24.28515625" customWidth="1"/>
    <col min="9" max="9" width="62.28515625" customWidth="1"/>
    <col min="13" max="13" width="30.42578125" customWidth="1"/>
  </cols>
  <sheetData>
    <row r="1" spans="1:13">
      <c r="A1" s="45" t="s">
        <v>17</v>
      </c>
      <c r="B1" s="51"/>
      <c r="C1" s="51"/>
      <c r="D1" s="51"/>
      <c r="E1" s="51"/>
      <c r="G1" s="23" t="s">
        <v>17</v>
      </c>
      <c r="H1" s="45" t="s">
        <v>1701</v>
      </c>
      <c r="I1" s="45" t="s">
        <v>1702</v>
      </c>
      <c r="J1" s="45">
        <v>2030</v>
      </c>
      <c r="K1" s="45">
        <v>2060</v>
      </c>
      <c r="L1" s="45" t="s">
        <v>116</v>
      </c>
      <c r="M1" s="45" t="s">
        <v>505</v>
      </c>
    </row>
    <row r="2" spans="1:13">
      <c r="A2" s="23" t="s">
        <v>1207</v>
      </c>
      <c r="B2" s="23">
        <v>2030</v>
      </c>
      <c r="C2" s="23">
        <v>2060</v>
      </c>
      <c r="D2" s="23" t="s">
        <v>116</v>
      </c>
      <c r="E2" s="23" t="s">
        <v>505</v>
      </c>
      <c r="H2" s="1208" t="s">
        <v>53</v>
      </c>
      <c r="I2" t="str">
        <f>'Steel Cost Model-China'!G121</f>
        <v xml:space="preserve">Energy Efficiency: BF-BOF </v>
      </c>
      <c r="J2" s="942">
        <f>'Steel Cost Model-China'!L121</f>
        <v>2.4295816378935724</v>
      </c>
      <c r="K2" s="942">
        <f>'Steel Cost Model-China'!M121</f>
        <v>234.6891288160833</v>
      </c>
      <c r="L2" t="s">
        <v>1425</v>
      </c>
    </row>
    <row r="3" spans="1:13">
      <c r="A3" t="s">
        <v>1703</v>
      </c>
      <c r="B3" s="577">
        <f>'Steel Cost Model-China'!C137</f>
        <v>4.9463450709901053</v>
      </c>
      <c r="C3" s="577">
        <f>'Steel Cost Model-China'!D137</f>
        <v>31.746666032611238</v>
      </c>
      <c r="D3" t="s">
        <v>1425</v>
      </c>
      <c r="E3" t="s">
        <v>1303</v>
      </c>
      <c r="H3" t="s">
        <v>56</v>
      </c>
      <c r="I3" t="str">
        <f>'Steel Cost Model-China'!G122</f>
        <v xml:space="preserve">Fossil CCS: BF-BOF + CCUS </v>
      </c>
      <c r="J3" s="942">
        <f>'Steel Cost Model-China'!L122</f>
        <v>23.112527971063354</v>
      </c>
      <c r="K3" s="942">
        <f>'Steel Cost Model-China'!M122</f>
        <v>28.358658041221609</v>
      </c>
      <c r="L3" t="s">
        <v>1425</v>
      </c>
    </row>
    <row r="4" spans="1:13">
      <c r="A4" t="s">
        <v>465</v>
      </c>
      <c r="B4" s="577">
        <f>'Cement Cost Model-China'!H132</f>
        <v>7.3997477706932386</v>
      </c>
      <c r="C4" s="577">
        <f>'Cement Cost Model-China'!I132</f>
        <v>82.961376862689164</v>
      </c>
      <c r="D4" t="s">
        <v>1425</v>
      </c>
      <c r="E4" t="s">
        <v>1704</v>
      </c>
      <c r="H4" t="s">
        <v>56</v>
      </c>
      <c r="I4" t="str">
        <f>'Steel Cost Model-China'!G123</f>
        <v xml:space="preserve">Fossil CCS: DRI-EAF + CCUS </v>
      </c>
      <c r="J4" s="942">
        <f>'Steel Cost Model-China'!L123</f>
        <v>0</v>
      </c>
      <c r="K4" s="942">
        <f>'Steel Cost Model-China'!M123</f>
        <v>11.360239162929746</v>
      </c>
      <c r="L4" t="s">
        <v>1425</v>
      </c>
    </row>
    <row r="5" spans="1:13">
      <c r="A5" t="s">
        <v>465</v>
      </c>
      <c r="B5" s="577">
        <f>'Cement Cost Model-China'!H152</f>
        <v>7.875688506134443</v>
      </c>
      <c r="C5" s="577">
        <f>'Cement Cost Model-China'!I152</f>
        <v>59.584687060725365</v>
      </c>
      <c r="D5" t="s">
        <v>1425</v>
      </c>
      <c r="E5" t="s">
        <v>1513</v>
      </c>
      <c r="H5" t="s">
        <v>54</v>
      </c>
      <c r="I5" t="str">
        <f>'Steel Cost Model-China'!G124</f>
        <v>Direct Electrification: Scrap-based EAF (greenfield)</v>
      </c>
      <c r="J5" s="942">
        <f>'Steel Cost Model-China'!L124</f>
        <v>104.73933649289101</v>
      </c>
      <c r="K5" s="942">
        <f>'Steel Cost Model-China'!M124</f>
        <v>200.61672382392467</v>
      </c>
      <c r="L5" t="s">
        <v>1425</v>
      </c>
      <c r="M5" t="s">
        <v>1705</v>
      </c>
    </row>
    <row r="6" spans="1:13">
      <c r="H6" t="s">
        <v>54</v>
      </c>
      <c r="I6" t="str">
        <f>'Steel Cost Model-China'!G125</f>
        <v>Direct Electrification: Scrap-based EAF (brownfield)</v>
      </c>
      <c r="J6" s="942">
        <f>'Steel Cost Model-China'!L125</f>
        <v>62.559241706161146</v>
      </c>
      <c r="K6" s="942">
        <f>'Steel Cost Model-China'!M125</f>
        <v>119.82537350569257</v>
      </c>
      <c r="L6" t="s">
        <v>1425</v>
      </c>
      <c r="M6" t="s">
        <v>1406</v>
      </c>
    </row>
    <row r="7" spans="1:13">
      <c r="A7" s="45" t="s">
        <v>142</v>
      </c>
      <c r="B7" s="51"/>
      <c r="C7" s="51"/>
      <c r="D7" s="51"/>
      <c r="E7" s="51"/>
      <c r="H7" s="675" t="s">
        <v>1706</v>
      </c>
      <c r="I7" t="str">
        <f>'Steel Cost Model-China'!G126</f>
        <v>Fuel Switching: DRI-EAF</v>
      </c>
      <c r="J7" s="942">
        <f>'Steel Cost Model-China'!L126</f>
        <v>46.242915770959549</v>
      </c>
      <c r="K7" s="942">
        <f>'Steel Cost Model-China'!M126</f>
        <v>0</v>
      </c>
      <c r="L7" t="s">
        <v>1425</v>
      </c>
    </row>
    <row r="8" spans="1:13">
      <c r="A8" s="23" t="s">
        <v>1207</v>
      </c>
      <c r="B8" s="23">
        <v>2030</v>
      </c>
      <c r="C8" s="23">
        <v>2060</v>
      </c>
      <c r="D8" s="23" t="s">
        <v>116</v>
      </c>
      <c r="E8" s="23" t="s">
        <v>505</v>
      </c>
      <c r="H8" t="s">
        <v>57</v>
      </c>
      <c r="I8" t="str">
        <f>'Steel Cost Model-China'!G127</f>
        <v>Green H2: H2-DRI-EAF</v>
      </c>
      <c r="J8" s="942">
        <f>'Steel Cost Model-China'!L127</f>
        <v>46.242915770959556</v>
      </c>
      <c r="K8" s="942">
        <f>'Steel Cost Model-China'!M127</f>
        <v>53.638218293097573</v>
      </c>
      <c r="L8" t="s">
        <v>1425</v>
      </c>
      <c r="M8" t="s">
        <v>1707</v>
      </c>
    </row>
    <row r="9" spans="1:13">
      <c r="A9" t="s">
        <v>1703</v>
      </c>
      <c r="B9" s="577">
        <f>'Steel Cost Model-Indonesia'!C139</f>
        <v>41.771336232136846</v>
      </c>
      <c r="C9" s="577">
        <f>'Steel Cost Model-Indonesia'!D139</f>
        <v>153.5056873235977</v>
      </c>
      <c r="D9" t="s">
        <v>1425</v>
      </c>
      <c r="E9" t="s">
        <v>1434</v>
      </c>
      <c r="H9" t="s">
        <v>57</v>
      </c>
      <c r="I9" t="str">
        <f>'Steel Cost Model-China'!G128</f>
        <v>Green H2: H2-DRI-EAF (including RE Supply and Electrolyzer CAPEX)</v>
      </c>
      <c r="J9" s="942">
        <f>'Steel Cost Model-China'!L128</f>
        <v>122.13930711528978</v>
      </c>
      <c r="K9" s="942">
        <f>'Steel Cost Model-China'!M128</f>
        <v>115.06622008500402</v>
      </c>
      <c r="L9" t="s">
        <v>1425</v>
      </c>
      <c r="M9" t="s">
        <v>1708</v>
      </c>
    </row>
    <row r="10" spans="1:13">
      <c r="A10" t="s">
        <v>465</v>
      </c>
      <c r="B10" s="577">
        <f>'Cement Cost Model-Indonesia'!H93</f>
        <v>22.634837798221568</v>
      </c>
      <c r="C10" s="577">
        <f>'Cement Cost Model-Indonesia'!I93</f>
        <v>111.3302022007002</v>
      </c>
      <c r="D10" t="s">
        <v>1425</v>
      </c>
      <c r="E10" t="s">
        <v>1434</v>
      </c>
    </row>
    <row r="11" spans="1:13">
      <c r="H11" s="45" t="s">
        <v>1701</v>
      </c>
      <c r="I11" s="45" t="s">
        <v>1709</v>
      </c>
      <c r="J11" s="45">
        <v>2030</v>
      </c>
      <c r="K11" s="45">
        <v>2060</v>
      </c>
      <c r="L11" s="45" t="s">
        <v>116</v>
      </c>
      <c r="M11" s="45" t="s">
        <v>505</v>
      </c>
    </row>
    <row r="12" spans="1:13">
      <c r="A12" s="45" t="s">
        <v>166</v>
      </c>
      <c r="B12" s="51"/>
      <c r="C12" s="51"/>
      <c r="D12" s="51"/>
      <c r="E12" s="51"/>
      <c r="H12" s="1208" t="s">
        <v>53</v>
      </c>
      <c r="I12" s="829" t="s">
        <v>1494</v>
      </c>
      <c r="J12" s="941">
        <f>'Cement Cost Model-China'!K136</f>
        <v>4.8475149960275115</v>
      </c>
      <c r="K12" s="941">
        <f>'Cement Cost Model-China'!L136</f>
        <v>3.9548514456285728</v>
      </c>
      <c r="L12" t="s">
        <v>1425</v>
      </c>
    </row>
    <row r="13" spans="1:13">
      <c r="A13" s="23" t="s">
        <v>1207</v>
      </c>
      <c r="B13" s="23">
        <v>2030</v>
      </c>
      <c r="C13" s="23">
        <v>2050</v>
      </c>
      <c r="D13" s="23" t="s">
        <v>116</v>
      </c>
      <c r="E13" s="23" t="s">
        <v>505</v>
      </c>
      <c r="H13" t="s">
        <v>53</v>
      </c>
      <c r="I13" s="829" t="s">
        <v>1496</v>
      </c>
      <c r="J13" s="941">
        <f>'Cement Cost Model-China'!K137</f>
        <v>8.7218925215307532</v>
      </c>
      <c r="K13" s="941">
        <f>'Cement Cost Model-China'!L137</f>
        <v>7.1157674139554485</v>
      </c>
      <c r="L13" t="s">
        <v>1425</v>
      </c>
    </row>
    <row r="14" spans="1:13">
      <c r="A14" t="s">
        <v>1703</v>
      </c>
      <c r="B14" s="577">
        <f>'Steel Cost Model-Vietnam'!C141</f>
        <v>12.691456538856569</v>
      </c>
      <c r="C14" s="577">
        <f>'Steel Cost Model-Vietnam'!D141</f>
        <v>38.857288073490558</v>
      </c>
      <c r="D14" t="s">
        <v>1425</v>
      </c>
      <c r="E14" t="s">
        <v>1303</v>
      </c>
      <c r="H14" s="675" t="s">
        <v>1706</v>
      </c>
      <c r="I14" s="829" t="s">
        <v>1573</v>
      </c>
      <c r="J14" s="941">
        <f>'Cement Cost Model-China'!K138</f>
        <v>2.6349736036702898</v>
      </c>
      <c r="K14" s="941">
        <f>'Cement Cost Model-China'!L138</f>
        <v>1.8333148447005323</v>
      </c>
      <c r="L14" t="s">
        <v>1425</v>
      </c>
    </row>
    <row r="15" spans="1:13">
      <c r="A15" t="s">
        <v>465</v>
      </c>
      <c r="B15" s="577">
        <f>'Cement Cost Model-Vietnam'!H93</f>
        <v>16.790450189281593</v>
      </c>
      <c r="C15" s="577">
        <f>'Cement Cost Model-Vietnam'!I93</f>
        <v>94.366377360264323</v>
      </c>
      <c r="D15" t="s">
        <v>1425</v>
      </c>
      <c r="E15" t="s">
        <v>1303</v>
      </c>
      <c r="H15" s="675" t="s">
        <v>1706</v>
      </c>
      <c r="I15" s="829" t="s">
        <v>1574</v>
      </c>
      <c r="J15" s="941">
        <f>'Cement Cost Model-China'!K139</f>
        <v>2.7954783722854986</v>
      </c>
      <c r="K15" s="941">
        <f>'Cement Cost Model-China'!L139</f>
        <v>1.7105210129700601</v>
      </c>
      <c r="L15" t="s">
        <v>1425</v>
      </c>
    </row>
    <row r="16" spans="1:13">
      <c r="H16" t="s">
        <v>57</v>
      </c>
      <c r="I16" s="829" t="s">
        <v>1575</v>
      </c>
      <c r="J16" s="941">
        <f>'Cement Cost Model-China'!K140</f>
        <v>1.0221116890848707</v>
      </c>
      <c r="K16" s="941">
        <f>'Cement Cost Model-China'!L140</f>
        <v>2.3503677063575683</v>
      </c>
      <c r="L16" t="s">
        <v>1425</v>
      </c>
    </row>
    <row r="17" spans="7:13">
      <c r="H17" t="s">
        <v>57</v>
      </c>
      <c r="I17" s="829" t="s">
        <v>1577</v>
      </c>
      <c r="J17" s="941">
        <f>'Cement Cost Model-China'!K141</f>
        <v>189.11723303510885</v>
      </c>
      <c r="K17" s="941">
        <f>'Cement Cost Model-China'!L141</f>
        <v>82.659685426600262</v>
      </c>
      <c r="L17" t="s">
        <v>1425</v>
      </c>
    </row>
    <row r="18" spans="7:13">
      <c r="H18" t="s">
        <v>56</v>
      </c>
      <c r="I18" s="829" t="s">
        <v>1514</v>
      </c>
      <c r="J18" s="941">
        <f>'Cement Cost Model-China'!K142</f>
        <v>153.75131047570238</v>
      </c>
      <c r="K18" s="941">
        <f>'Cement Cost Model-China'!L142</f>
        <v>85.039744857981432</v>
      </c>
      <c r="L18" t="s">
        <v>1425</v>
      </c>
    </row>
    <row r="20" spans="7:13">
      <c r="H20" s="45" t="s">
        <v>1701</v>
      </c>
      <c r="I20" s="45" t="s">
        <v>1710</v>
      </c>
      <c r="J20" s="45">
        <v>2030</v>
      </c>
      <c r="K20" s="45">
        <v>2060</v>
      </c>
      <c r="L20" s="45" t="s">
        <v>116</v>
      </c>
      <c r="M20" s="45" t="s">
        <v>505</v>
      </c>
    </row>
    <row r="21" spans="7:13">
      <c r="H21" s="1208" t="s">
        <v>53</v>
      </c>
      <c r="I21" s="829" t="s">
        <v>1494</v>
      </c>
      <c r="J21" s="941">
        <f>'Cement Cost Model-China'!K156</f>
        <v>5.0278472755042261</v>
      </c>
      <c r="K21" s="941">
        <f>'Cement Cost Model-China'!L156</f>
        <v>5.8562613932088876</v>
      </c>
      <c r="L21" t="s">
        <v>1425</v>
      </c>
    </row>
    <row r="22" spans="7:13">
      <c r="H22" t="s">
        <v>53</v>
      </c>
      <c r="I22" s="829" t="s">
        <v>1496</v>
      </c>
      <c r="J22" s="941">
        <f>'Cement Cost Model-China'!K157</f>
        <v>9.0463554187156987</v>
      </c>
      <c r="K22" s="941">
        <f>'Cement Cost Model-China'!L157</f>
        <v>11.391221317919735</v>
      </c>
      <c r="L22" t="s">
        <v>1425</v>
      </c>
    </row>
    <row r="23" spans="7:13">
      <c r="H23" s="675" t="s">
        <v>1706</v>
      </c>
      <c r="I23" s="829" t="s">
        <v>1573</v>
      </c>
      <c r="J23" s="941">
        <f>'Cement Cost Model-China'!K158</f>
        <v>2.9240248745857418</v>
      </c>
      <c r="K23" s="941">
        <f>'Cement Cost Model-China'!L158</f>
        <v>2.9831579805043762</v>
      </c>
      <c r="L23" t="s">
        <v>1425</v>
      </c>
    </row>
    <row r="24" spans="7:13">
      <c r="H24" s="675" t="s">
        <v>1706</v>
      </c>
      <c r="I24" s="829" t="s">
        <v>1574</v>
      </c>
      <c r="J24" s="941">
        <f>'Cement Cost Model-China'!K159</f>
        <v>2.8994728906140068</v>
      </c>
      <c r="K24" s="941">
        <f>'Cement Cost Model-China'!L159</f>
        <v>2.7382743552691675</v>
      </c>
      <c r="L24" t="s">
        <v>1425</v>
      </c>
    </row>
    <row r="25" spans="7:13">
      <c r="H25" t="s">
        <v>57</v>
      </c>
      <c r="I25" s="829" t="s">
        <v>1575</v>
      </c>
      <c r="J25" s="941">
        <f>'Cement Cost Model-China'!K160</f>
        <v>1.0601352394861625</v>
      </c>
      <c r="K25" s="941">
        <f>'Cement Cost Model-China'!L160</f>
        <v>3.496129659337337</v>
      </c>
      <c r="L25" t="s">
        <v>1425</v>
      </c>
    </row>
    <row r="26" spans="7:13">
      <c r="H26" t="s">
        <v>57</v>
      </c>
      <c r="I26" s="829" t="s">
        <v>1577</v>
      </c>
      <c r="J26" s="941">
        <f>'Cement Cost Model-China'!K161</f>
        <v>0</v>
      </c>
      <c r="K26" s="941">
        <f>'Cement Cost Model-China'!L161</f>
        <v>0</v>
      </c>
      <c r="L26" t="s">
        <v>1425</v>
      </c>
    </row>
    <row r="27" spans="7:13">
      <c r="H27" t="s">
        <v>56</v>
      </c>
      <c r="I27" s="829" t="s">
        <v>1514</v>
      </c>
      <c r="J27" s="941">
        <f>'Cement Cost Model-China'!K162</f>
        <v>159.47100898377033</v>
      </c>
      <c r="K27" s="941">
        <f>'Cement Cost Model-China'!L162</f>
        <v>150.6050895398042</v>
      </c>
      <c r="L27" t="s">
        <v>1425</v>
      </c>
    </row>
    <row r="28" spans="7:13">
      <c r="I28" s="829"/>
    </row>
    <row r="29" spans="7:13">
      <c r="G29" s="23" t="s">
        <v>142</v>
      </c>
      <c r="H29" s="45" t="s">
        <v>1701</v>
      </c>
      <c r="I29" s="45" t="s">
        <v>1711</v>
      </c>
      <c r="J29" s="45">
        <v>2030</v>
      </c>
      <c r="K29" s="45">
        <v>2060</v>
      </c>
      <c r="L29" s="45" t="s">
        <v>116</v>
      </c>
      <c r="M29" s="45" t="s">
        <v>505</v>
      </c>
    </row>
    <row r="30" spans="7:13">
      <c r="H30" s="1208" t="s">
        <v>53</v>
      </c>
      <c r="I30" t="s">
        <v>1351</v>
      </c>
      <c r="J30" s="942">
        <f>'Steel Cost Model-Indonesia'!L124</f>
        <v>3.4683530257771946</v>
      </c>
      <c r="K30" s="942">
        <f>'Steel Cost Model-Indonesia'!M124</f>
        <v>0</v>
      </c>
      <c r="L30" t="s">
        <v>1425</v>
      </c>
    </row>
    <row r="31" spans="7:13">
      <c r="H31" t="s">
        <v>56</v>
      </c>
      <c r="I31" t="s">
        <v>1399</v>
      </c>
      <c r="J31" s="942">
        <f>'Steel Cost Model-Indonesia'!L125</f>
        <v>23.533083645443202</v>
      </c>
      <c r="K31" s="942">
        <f>'Steel Cost Model-Indonesia'!M125</f>
        <v>0</v>
      </c>
      <c r="L31" t="s">
        <v>1425</v>
      </c>
    </row>
    <row r="32" spans="7:13">
      <c r="H32" t="s">
        <v>56</v>
      </c>
      <c r="I32" t="s">
        <v>1401</v>
      </c>
      <c r="J32" s="942">
        <f>'Steel Cost Model-Indonesia'!L126</f>
        <v>0</v>
      </c>
      <c r="K32" s="942">
        <f>'Steel Cost Model-Indonesia'!M126</f>
        <v>18.933731938216244</v>
      </c>
      <c r="L32" t="s">
        <v>1425</v>
      </c>
    </row>
    <row r="33" spans="7:13">
      <c r="H33" t="s">
        <v>54</v>
      </c>
      <c r="I33" t="s">
        <v>1403</v>
      </c>
      <c r="J33" s="942">
        <f>'Steel Cost Model-Indonesia'!L127</f>
        <v>179.67479674796752</v>
      </c>
      <c r="K33" s="942">
        <f>'Steel Cost Model-Indonesia'!M127</f>
        <v>2338.4329314470656</v>
      </c>
      <c r="L33" t="s">
        <v>1425</v>
      </c>
      <c r="M33" t="s">
        <v>1705</v>
      </c>
    </row>
    <row r="34" spans="7:13">
      <c r="H34" t="s">
        <v>54</v>
      </c>
      <c r="I34" t="s">
        <v>1405</v>
      </c>
      <c r="J34" s="942">
        <f>'Steel Cost Model-Indonesia'!L128</f>
        <v>107.3170731707317</v>
      </c>
      <c r="K34" s="942">
        <f>'Steel Cost Model-Indonesia'!M128</f>
        <v>1363.8752512810056</v>
      </c>
      <c r="L34" t="s">
        <v>1425</v>
      </c>
      <c r="M34" t="s">
        <v>1406</v>
      </c>
    </row>
    <row r="35" spans="7:13">
      <c r="H35" s="675" t="s">
        <v>1706</v>
      </c>
      <c r="I35" t="s">
        <v>1357</v>
      </c>
      <c r="J35" s="942">
        <f>'Steel Cost Model-Indonesia'!L129</f>
        <v>0</v>
      </c>
      <c r="K35" s="942">
        <f>'Steel Cost Model-Indonesia'!M129</f>
        <v>0</v>
      </c>
      <c r="L35" t="s">
        <v>1425</v>
      </c>
    </row>
    <row r="36" spans="7:13">
      <c r="H36" t="s">
        <v>57</v>
      </c>
      <c r="I36" t="s">
        <v>1358</v>
      </c>
      <c r="J36" s="942">
        <f>'Steel Cost Model-Indonesia'!L130</f>
        <v>61.184939091915844</v>
      </c>
      <c r="K36" s="942">
        <f>'Steel Cost Model-Indonesia'!M130</f>
        <v>70.969813744380218</v>
      </c>
      <c r="L36" t="s">
        <v>1425</v>
      </c>
      <c r="M36" t="s">
        <v>1707</v>
      </c>
    </row>
    <row r="37" spans="7:13">
      <c r="H37" t="s">
        <v>57</v>
      </c>
      <c r="I37" t="s">
        <v>1408</v>
      </c>
      <c r="J37" s="942">
        <f>'Steel Cost Model-Indonesia'!L131</f>
        <v>173.2991945680898</v>
      </c>
      <c r="K37" s="942">
        <f>'Steel Cost Model-Indonesia'!M131</f>
        <v>189.59626141584744</v>
      </c>
      <c r="L37" t="s">
        <v>1425</v>
      </c>
      <c r="M37" t="s">
        <v>1708</v>
      </c>
    </row>
    <row r="39" spans="7:13">
      <c r="H39" s="45" t="s">
        <v>1701</v>
      </c>
      <c r="I39" s="45" t="s">
        <v>1712</v>
      </c>
      <c r="J39" s="45">
        <v>2030</v>
      </c>
      <c r="K39" s="45">
        <v>2060</v>
      </c>
      <c r="L39" s="45" t="s">
        <v>116</v>
      </c>
      <c r="M39" s="45" t="s">
        <v>505</v>
      </c>
    </row>
    <row r="40" spans="7:13">
      <c r="H40" s="1208" t="s">
        <v>53</v>
      </c>
      <c r="I40" s="829" t="s">
        <v>1494</v>
      </c>
      <c r="J40" s="941">
        <f>'Cement Cost Model-Indonesia'!K99</f>
        <v>11.149682492835986</v>
      </c>
      <c r="K40" s="941">
        <f>'Cement Cost Model-Indonesia'!L99</f>
        <v>11.636376438436232</v>
      </c>
      <c r="L40" t="s">
        <v>1425</v>
      </c>
    </row>
    <row r="41" spans="7:13">
      <c r="H41" t="s">
        <v>53</v>
      </c>
      <c r="I41" s="829" t="s">
        <v>1496</v>
      </c>
      <c r="J41" s="941">
        <f>'Cement Cost Model-Indonesia'!K100</f>
        <v>7.8658902392154566</v>
      </c>
      <c r="K41" s="941">
        <f>'Cement Cost Model-Indonesia'!L100</f>
        <v>8.4100409480022194</v>
      </c>
      <c r="L41" t="s">
        <v>1425</v>
      </c>
    </row>
    <row r="42" spans="7:13">
      <c r="H42" s="675" t="s">
        <v>1706</v>
      </c>
      <c r="I42" s="829" t="s">
        <v>1573</v>
      </c>
      <c r="J42" s="941">
        <f>'Cement Cost Model-Indonesia'!K101</f>
        <v>2.7555975997981599</v>
      </c>
      <c r="K42" s="941">
        <f>'Cement Cost Model-Indonesia'!L101</f>
        <v>2.2721760498988606</v>
      </c>
      <c r="L42" t="s">
        <v>1425</v>
      </c>
    </row>
    <row r="43" spans="7:13">
      <c r="H43" s="675" t="s">
        <v>1706</v>
      </c>
      <c r="I43" s="829" t="s">
        <v>1574</v>
      </c>
      <c r="J43" s="941">
        <f>'Cement Cost Model-Indonesia'!K102</f>
        <v>2.521118666415211</v>
      </c>
      <c r="K43" s="941">
        <f>'Cement Cost Model-Indonesia'!L102</f>
        <v>1.9867189703252712</v>
      </c>
      <c r="L43" t="s">
        <v>1425</v>
      </c>
    </row>
    <row r="44" spans="7:13">
      <c r="H44" t="s">
        <v>57</v>
      </c>
      <c r="I44" s="829" t="s">
        <v>1575</v>
      </c>
      <c r="J44" s="941">
        <f>'Cement Cost Model-Indonesia'!K103</f>
        <v>0.92179745837428229</v>
      </c>
      <c r="K44" s="941">
        <f>'Cement Cost Model-Indonesia'!L103</f>
        <v>1.2976113056501859</v>
      </c>
      <c r="L44" t="s">
        <v>1425</v>
      </c>
    </row>
    <row r="45" spans="7:13">
      <c r="H45" t="s">
        <v>57</v>
      </c>
      <c r="I45" s="829" t="s">
        <v>1577</v>
      </c>
      <c r="J45" s="941">
        <f>'Cement Cost Model-Indonesia'!K104</f>
        <v>281.18089963505201</v>
      </c>
      <c r="K45" s="941">
        <f>'Cement Cost Model-Indonesia'!L104</f>
        <v>162.46769035645053</v>
      </c>
      <c r="L45" t="s">
        <v>1425</v>
      </c>
    </row>
    <row r="46" spans="7:13">
      <c r="H46" t="s">
        <v>56</v>
      </c>
      <c r="I46" s="829" t="s">
        <v>1514</v>
      </c>
      <c r="J46" s="941">
        <f>'Cement Cost Model-Indonesia'!K105</f>
        <v>138.66152665283659</v>
      </c>
      <c r="K46" s="941">
        <f>'Cement Cost Model-Indonesia'!L105</f>
        <v>98.691545860982245</v>
      </c>
      <c r="L46" t="s">
        <v>1425</v>
      </c>
    </row>
    <row r="47" spans="7:13">
      <c r="I47" s="829"/>
    </row>
    <row r="48" spans="7:13">
      <c r="G48" s="23" t="s">
        <v>166</v>
      </c>
      <c r="H48" s="45" t="s">
        <v>1701</v>
      </c>
      <c r="I48" s="45" t="s">
        <v>1713</v>
      </c>
      <c r="J48" s="45">
        <v>2030</v>
      </c>
      <c r="K48" s="45">
        <v>2060</v>
      </c>
      <c r="L48" s="45" t="s">
        <v>116</v>
      </c>
      <c r="M48" s="45" t="s">
        <v>505</v>
      </c>
    </row>
    <row r="49" spans="8:13">
      <c r="H49" s="1208" t="s">
        <v>53</v>
      </c>
      <c r="I49" t="s">
        <v>1351</v>
      </c>
      <c r="J49" s="942">
        <f>'Steel Cost Model-Vietnam'!L126</f>
        <v>2.4527350807833037</v>
      </c>
      <c r="K49" s="942">
        <f>'Steel Cost Model-Vietnam'!M126</f>
        <v>10.042116691090492</v>
      </c>
      <c r="L49" t="s">
        <v>1425</v>
      </c>
    </row>
    <row r="50" spans="8:13">
      <c r="H50" t="s">
        <v>56</v>
      </c>
      <c r="I50" t="s">
        <v>1399</v>
      </c>
      <c r="J50" s="942">
        <f>'Steel Cost Model-Vietnam'!L127</f>
        <v>23.978817582996285</v>
      </c>
      <c r="K50" s="942">
        <f>'Steel Cost Model-Vietnam'!M127</f>
        <v>27.795501095675924</v>
      </c>
      <c r="L50" t="s">
        <v>1425</v>
      </c>
    </row>
    <row r="51" spans="8:13">
      <c r="H51" t="s">
        <v>56</v>
      </c>
      <c r="I51" t="s">
        <v>1401</v>
      </c>
      <c r="J51" s="942">
        <f>'Steel Cost Model-Vietnam'!L128</f>
        <v>0</v>
      </c>
      <c r="K51" s="942">
        <f>'Steel Cost Model-Vietnam'!M128</f>
        <v>11.10690121786198</v>
      </c>
      <c r="L51" t="s">
        <v>1425</v>
      </c>
    </row>
    <row r="52" spans="8:13">
      <c r="H52" t="s">
        <v>54</v>
      </c>
      <c r="I52" t="s">
        <v>1403</v>
      </c>
      <c r="J52" s="942">
        <f>'Steel Cost Model-Vietnam'!L129</f>
        <v>149.17500000000004</v>
      </c>
      <c r="K52" s="942">
        <f>'Steel Cost Model-Vietnam'!M129</f>
        <v>213.10714285714289</v>
      </c>
      <c r="L52" t="s">
        <v>1425</v>
      </c>
      <c r="M52" t="s">
        <v>1705</v>
      </c>
    </row>
    <row r="53" spans="8:13">
      <c r="H53" t="s">
        <v>54</v>
      </c>
      <c r="I53" t="s">
        <v>1405</v>
      </c>
      <c r="J53" s="942">
        <f>'Steel Cost Model-Vietnam'!L130</f>
        <v>89.1</v>
      </c>
      <c r="K53" s="942">
        <f>'Steel Cost Model-Vietnam'!M130</f>
        <v>117.85714285714286</v>
      </c>
      <c r="L53" t="s">
        <v>1425</v>
      </c>
      <c r="M53" t="s">
        <v>1406</v>
      </c>
    </row>
    <row r="54" spans="8:13">
      <c r="H54" s="675" t="s">
        <v>1706</v>
      </c>
      <c r="I54" t="s">
        <v>1357</v>
      </c>
      <c r="J54" s="942">
        <f>'Steel Cost Model-Vietnam'!L131</f>
        <v>40.552287581699353</v>
      </c>
      <c r="K54" s="942">
        <f>'Steel Cost Model-Vietnam'!M131</f>
        <v>0</v>
      </c>
      <c r="L54" t="s">
        <v>1425</v>
      </c>
    </row>
    <row r="55" spans="8:13">
      <c r="H55" t="s">
        <v>57</v>
      </c>
      <c r="I55" t="s">
        <v>1358</v>
      </c>
      <c r="J55" s="942">
        <f>'Steel Cost Model-Vietnam'!L132</f>
        <v>0</v>
      </c>
      <c r="K55" s="942">
        <f>'Steel Cost Model-Vietnam'!M132</f>
        <v>41.979025710419499</v>
      </c>
      <c r="L55" t="s">
        <v>1425</v>
      </c>
      <c r="M55" t="s">
        <v>1707</v>
      </c>
    </row>
    <row r="56" spans="8:13">
      <c r="H56" t="s">
        <v>57</v>
      </c>
      <c r="I56" t="s">
        <v>1408</v>
      </c>
      <c r="J56" s="942">
        <f>'Steel Cost Model-Vietnam'!L133</f>
        <v>0</v>
      </c>
      <c r="K56" s="942">
        <f>'Steel Cost Model-Vietnam'!M133</f>
        <v>107.12084459531827</v>
      </c>
      <c r="L56" t="s">
        <v>1425</v>
      </c>
      <c r="M56" t="s">
        <v>1708</v>
      </c>
    </row>
    <row r="59" spans="8:13">
      <c r="H59" s="45" t="s">
        <v>1701</v>
      </c>
      <c r="I59" s="45" t="s">
        <v>1714</v>
      </c>
      <c r="J59" s="45">
        <v>2030</v>
      </c>
      <c r="K59" s="45">
        <v>2060</v>
      </c>
      <c r="L59" s="45" t="s">
        <v>116</v>
      </c>
      <c r="M59" s="45" t="s">
        <v>505</v>
      </c>
    </row>
    <row r="60" spans="8:13">
      <c r="H60" s="1208" t="s">
        <v>53</v>
      </c>
      <c r="I60" s="829" t="s">
        <v>1494</v>
      </c>
      <c r="J60" s="941">
        <f>'Cement Cost Model-Vietnam'!K99</f>
        <v>11.423257027853111</v>
      </c>
      <c r="K60" s="941">
        <f>'Cement Cost Model-Vietnam'!L99</f>
        <v>12.217512628324808</v>
      </c>
      <c r="L60" t="s">
        <v>1425</v>
      </c>
    </row>
    <row r="61" spans="8:13">
      <c r="H61" t="s">
        <v>53</v>
      </c>
      <c r="I61" s="829" t="s">
        <v>1496</v>
      </c>
      <c r="J61" s="941">
        <f>'Cement Cost Model-Vietnam'!K100</f>
        <v>8.058891902363424</v>
      </c>
      <c r="K61" s="941">
        <f>'Cement Cost Model-Vietnam'!L100</f>
        <v>8.633823855014823</v>
      </c>
      <c r="L61" t="s">
        <v>1425</v>
      </c>
    </row>
    <row r="62" spans="8:13">
      <c r="H62" s="675" t="s">
        <v>1706</v>
      </c>
      <c r="I62" s="829" t="s">
        <v>1573</v>
      </c>
      <c r="J62" s="941">
        <f>'Cement Cost Model-Vietnam'!K101</f>
        <v>2.6330722959936446</v>
      </c>
      <c r="K62" s="941">
        <f>'Cement Cost Model-Vietnam'!L101</f>
        <v>2.2367791365256986</v>
      </c>
      <c r="L62" t="s">
        <v>1425</v>
      </c>
    </row>
    <row r="63" spans="8:13">
      <c r="H63" s="675" t="s">
        <v>1706</v>
      </c>
      <c r="I63" s="829" t="s">
        <v>1574</v>
      </c>
      <c r="J63" s="941">
        <f>'Cement Cost Model-Vietnam'!K102</f>
        <v>2.5829781738344315</v>
      </c>
      <c r="K63" s="941">
        <f>'Cement Cost Model-Vietnam'!L102</f>
        <v>2.0343810395687112</v>
      </c>
      <c r="L63" t="s">
        <v>1425</v>
      </c>
    </row>
    <row r="64" spans="8:13">
      <c r="H64" t="s">
        <v>57</v>
      </c>
      <c r="I64" s="829" t="s">
        <v>1575</v>
      </c>
      <c r="J64" s="941">
        <f>'Cement Cost Model-Vietnam'!K103</f>
        <v>0.94441517069180758</v>
      </c>
      <c r="K64" s="941">
        <f>'Cement Cost Model-Vietnam'!L103</f>
        <v>1.3276052140857064</v>
      </c>
      <c r="L64" t="s">
        <v>1425</v>
      </c>
    </row>
    <row r="65" spans="8:12">
      <c r="H65" t="s">
        <v>57</v>
      </c>
      <c r="I65" s="829" t="s">
        <v>1577</v>
      </c>
      <c r="J65" s="941">
        <f>'Cement Cost Model-Vietnam'!K104</f>
        <v>268.71560409304254</v>
      </c>
      <c r="K65" s="941">
        <f>'Cement Cost Model-Vietnam'!L104</f>
        <v>122.30576999592756</v>
      </c>
      <c r="L65" t="s">
        <v>1425</v>
      </c>
    </row>
    <row r="66" spans="8:12">
      <c r="H66" t="s">
        <v>56</v>
      </c>
      <c r="I66" s="829" t="s">
        <v>1514</v>
      </c>
      <c r="J66" s="941">
        <f>'Cement Cost Model-Vietnam'!K105</f>
        <v>142.06379956089373</v>
      </c>
      <c r="K66" s="941">
        <f>'Cement Cost Model-Vietnam'!L105</f>
        <v>100.95827823551353</v>
      </c>
      <c r="L66" t="s">
        <v>1425</v>
      </c>
    </row>
  </sheetData>
  <pageMargins left="0.7" right="0.7" top="0.75" bottom="0.75" header="0.3" footer="0.3"/>
  <headerFooter>
    <oddFooter>&amp;R_x000D_&amp;1#&amp;"Aptos"&amp;10&amp;K000000 Official Use Only</oddFooter>
  </headerFooter>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75BCE-4F99-4BD9-A7FB-15A3147FA9E7}">
  <dimension ref="A1:E28"/>
  <sheetViews>
    <sheetView workbookViewId="0">
      <selection activeCell="D25" sqref="D25"/>
    </sheetView>
  </sheetViews>
  <sheetFormatPr defaultRowHeight="15"/>
  <cols>
    <col min="1" max="1" width="24.42578125" customWidth="1"/>
    <col min="5" max="5" width="25.7109375" customWidth="1"/>
  </cols>
  <sheetData>
    <row r="1" spans="1:5">
      <c r="A1" t="s">
        <v>1715</v>
      </c>
    </row>
    <row r="2" spans="1:5">
      <c r="A2" s="23" t="s">
        <v>1298</v>
      </c>
      <c r="B2" s="23">
        <v>2022</v>
      </c>
      <c r="C2" s="23">
        <v>2030</v>
      </c>
      <c r="D2" s="23">
        <v>2060</v>
      </c>
      <c r="E2" s="23" t="s">
        <v>1289</v>
      </c>
    </row>
    <row r="3" spans="1:5">
      <c r="A3" t="str">
        <f>'Steel Cost Model-China'!A19</f>
        <v>BF-BOF</v>
      </c>
      <c r="B3" s="50">
        <f>'Steel Cost Model-China'!B19</f>
        <v>0.90300000000000002</v>
      </c>
      <c r="C3" s="50">
        <f>'Steel Cost Model-China'!C19</f>
        <v>0.76</v>
      </c>
      <c r="D3" s="50">
        <f>'Steel Cost Model-China'!D19</f>
        <v>0.01</v>
      </c>
      <c r="E3" t="str">
        <f>'Steel Cost Model-China'!E19</f>
        <v>Net Zero Scenario</v>
      </c>
    </row>
    <row r="4" spans="1:5">
      <c r="A4" t="str">
        <f>'Steel Cost Model-China'!A20</f>
        <v>BF-BOF + CCUS</v>
      </c>
      <c r="B4" s="50">
        <f>'Steel Cost Model-China'!B20</f>
        <v>0</v>
      </c>
      <c r="C4" s="50">
        <f>'Steel Cost Model-China'!C20</f>
        <v>0.01</v>
      </c>
      <c r="D4" s="50">
        <f>'Steel Cost Model-China'!D20</f>
        <v>0.14000000000000001</v>
      </c>
      <c r="E4" t="str">
        <f>'Steel Cost Model-China'!E20</f>
        <v>Net Zero Scenario</v>
      </c>
    </row>
    <row r="5" spans="1:5">
      <c r="A5" t="str">
        <f>'Steel Cost Model-China'!A21</f>
        <v>Scrap-based EAF</v>
      </c>
      <c r="B5" s="50">
        <f>'Steel Cost Model-China'!B21</f>
        <v>9.7000000000000003E-2</v>
      </c>
      <c r="C5" s="50">
        <f>'Steel Cost Model-China'!C21</f>
        <v>0.2</v>
      </c>
      <c r="D5" s="50">
        <f>'Steel Cost Model-China'!D21</f>
        <v>0.6</v>
      </c>
      <c r="E5" t="str">
        <f>'Steel Cost Model-China'!E21</f>
        <v>Net Zero Scenario</v>
      </c>
    </row>
    <row r="6" spans="1:5">
      <c r="A6" t="str">
        <f>'Steel Cost Model-China'!A22</f>
        <v>DRI-EAF</v>
      </c>
      <c r="B6" s="50">
        <f>'Steel Cost Model-China'!B22</f>
        <v>0</v>
      </c>
      <c r="C6" s="50">
        <f>'Steel Cost Model-China'!C22</f>
        <v>1.6774193548387096E-2</v>
      </c>
      <c r="D6" s="50">
        <f>'Steel Cost Model-China'!D22</f>
        <v>0</v>
      </c>
      <c r="E6" t="str">
        <f>'Steel Cost Model-China'!E22</f>
        <v>Net Zero Scenario</v>
      </c>
    </row>
    <row r="7" spans="1:5">
      <c r="A7" t="str">
        <f>'Steel Cost Model-China'!A23</f>
        <v>H2-DRI-EAF</v>
      </c>
      <c r="B7" s="50">
        <f>'Steel Cost Model-China'!B23</f>
        <v>0</v>
      </c>
      <c r="C7" s="50">
        <f>'Steel Cost Model-China'!C23</f>
        <v>1.032258064516129E-2</v>
      </c>
      <c r="D7" s="50">
        <f>'Steel Cost Model-China'!D23</f>
        <v>0.13400000000000001</v>
      </c>
      <c r="E7" t="str">
        <f>'Steel Cost Model-China'!E23</f>
        <v>Net Zero Scenario</v>
      </c>
    </row>
    <row r="8" spans="1:5">
      <c r="A8" t="str">
        <f>'Steel Cost Model-China'!A24</f>
        <v>DRI-EAF + CCUS</v>
      </c>
      <c r="B8" s="50">
        <f>'Steel Cost Model-China'!B24</f>
        <v>0</v>
      </c>
      <c r="C8" s="50">
        <f>'Steel Cost Model-China'!C24</f>
        <v>0</v>
      </c>
      <c r="D8" s="50">
        <f>'Steel Cost Model-China'!D24</f>
        <v>0.114</v>
      </c>
      <c r="E8" t="str">
        <f>'Steel Cost Model-China'!E24</f>
        <v>Net Zero Scenario</v>
      </c>
    </row>
    <row r="11" spans="1:5">
      <c r="A11" t="s">
        <v>1716</v>
      </c>
    </row>
    <row r="12" spans="1:5">
      <c r="A12" s="23" t="str">
        <f>'Steel Cost Model-Indonesia'!A19</f>
        <v>Technology Shares</v>
      </c>
      <c r="B12" s="23">
        <f>'Steel Cost Model-Indonesia'!B19</f>
        <v>2022</v>
      </c>
      <c r="C12" s="23">
        <f>'Steel Cost Model-Indonesia'!C19</f>
        <v>2030</v>
      </c>
      <c r="D12" s="23">
        <f>'Steel Cost Model-Indonesia'!D19</f>
        <v>2060</v>
      </c>
      <c r="E12" s="23" t="str">
        <f>'Steel Cost Model-Indonesia'!E19</f>
        <v>Scenario</v>
      </c>
    </row>
    <row r="13" spans="1:5">
      <c r="A13" t="str">
        <f>'Steel Cost Model-Indonesia'!A20</f>
        <v>BF-BOF</v>
      </c>
      <c r="B13" s="50">
        <f>'Steel Cost Model-Indonesia'!B20</f>
        <v>0.38</v>
      </c>
      <c r="C13" s="50">
        <f>'Steel Cost Model-Indonesia'!C20</f>
        <v>0.25</v>
      </c>
      <c r="D13" s="50">
        <f>'Steel Cost Model-Indonesia'!D20</f>
        <v>0</v>
      </c>
      <c r="E13" t="str">
        <f>'Steel Cost Model-Indonesia'!E20</f>
        <v>Near Zero 2060 Scenario</v>
      </c>
    </row>
    <row r="14" spans="1:5">
      <c r="A14" t="str">
        <f>'Steel Cost Model-Indonesia'!A21</f>
        <v>BF-BOF + CCUS</v>
      </c>
      <c r="B14" s="50">
        <f>'Steel Cost Model-Indonesia'!B21</f>
        <v>0</v>
      </c>
      <c r="C14" s="50">
        <f>'Steel Cost Model-Indonesia'!C21</f>
        <v>0.04</v>
      </c>
      <c r="D14" s="50">
        <f>'Steel Cost Model-Indonesia'!D21</f>
        <v>0</v>
      </c>
      <c r="E14" t="str">
        <f>'Steel Cost Model-Indonesia'!E21</f>
        <v>Near Zero 2060 Scenario</v>
      </c>
    </row>
    <row r="15" spans="1:5">
      <c r="A15" t="str">
        <f>'Steel Cost Model-Indonesia'!A22</f>
        <v>Scrap-based EAF</v>
      </c>
      <c r="B15" s="50">
        <f>'Steel Cost Model-Indonesia'!B22</f>
        <v>0.45</v>
      </c>
      <c r="C15" s="50">
        <f>'Steel Cost Model-Indonesia'!C22</f>
        <v>0.51</v>
      </c>
      <c r="D15" s="50">
        <f>'Steel Cost Model-Indonesia'!D22</f>
        <v>0.7</v>
      </c>
      <c r="E15" t="str">
        <f>'Steel Cost Model-Indonesia'!E22</f>
        <v>Near Zero 2060 Scenario</v>
      </c>
    </row>
    <row r="16" spans="1:5">
      <c r="A16" t="str">
        <f>'Steel Cost Model-Indonesia'!A23</f>
        <v>NG-DRI-EAF</v>
      </c>
      <c r="B16" s="50">
        <f>'Steel Cost Model-Indonesia'!B23</f>
        <v>0.17</v>
      </c>
      <c r="C16" s="50">
        <f>'Steel Cost Model-Indonesia'!C23</f>
        <v>0.15</v>
      </c>
      <c r="D16" s="50">
        <f>'Steel Cost Model-Indonesia'!D23</f>
        <v>0</v>
      </c>
      <c r="E16" t="str">
        <f>'Steel Cost Model-Indonesia'!E23</f>
        <v>Near Zero 2060 Scenario</v>
      </c>
    </row>
    <row r="19" spans="1:5">
      <c r="A19" t="s">
        <v>1717</v>
      </c>
      <c r="B19" s="23"/>
      <c r="C19" s="23"/>
      <c r="D19" s="23"/>
      <c r="E19" s="23"/>
    </row>
    <row r="20" spans="1:5">
      <c r="A20" s="23" t="str">
        <f>'Steel Cost Model-Vietnam'!A19</f>
        <v>Technology Shares</v>
      </c>
      <c r="B20" s="23">
        <v>2022</v>
      </c>
      <c r="C20" s="23">
        <v>2030</v>
      </c>
      <c r="D20" s="23">
        <v>2050</v>
      </c>
      <c r="E20" s="23" t="s">
        <v>1289</v>
      </c>
    </row>
    <row r="21" spans="1:5">
      <c r="A21" s="1208" t="str">
        <f>'Steel Cost Model-Vietnam'!A20</f>
        <v>BF-BOF</v>
      </c>
      <c r="B21" s="46">
        <f>'Steel Cost Model-Vietnam'!B20</f>
        <v>0.61</v>
      </c>
      <c r="C21" s="46">
        <f>'Steel Cost Model-Vietnam'!C20</f>
        <v>0.5</v>
      </c>
      <c r="D21" s="46">
        <f>'Steel Cost Model-Vietnam'!D20</f>
        <v>0.1</v>
      </c>
    </row>
    <row r="22" spans="1:5">
      <c r="A22" s="1208" t="str">
        <f>'Steel Cost Model-Vietnam'!A21</f>
        <v>BF-BOF + CCUS</v>
      </c>
      <c r="B22" s="46">
        <f>'Steel Cost Model-Vietnam'!B21</f>
        <v>0</v>
      </c>
      <c r="C22" s="46">
        <f>'Steel Cost Model-Vietnam'!C21</f>
        <v>0.03</v>
      </c>
      <c r="D22" s="46">
        <f>'Steel Cost Model-Vietnam'!D21</f>
        <v>0.15</v>
      </c>
    </row>
    <row r="23" spans="1:5">
      <c r="A23" s="1208" t="str">
        <f>'Steel Cost Model-Vietnam'!A22</f>
        <v>Scrap-based EAF</v>
      </c>
      <c r="B23" s="46">
        <f>'Steel Cost Model-Vietnam'!B22</f>
        <v>0.24</v>
      </c>
      <c r="C23" s="46">
        <f>'Steel Cost Model-Vietnam'!C22</f>
        <v>0.35</v>
      </c>
      <c r="D23" s="46">
        <f>'Steel Cost Model-Vietnam'!D22</f>
        <v>0.6</v>
      </c>
    </row>
    <row r="24" spans="1:5">
      <c r="A24" s="1208" t="str">
        <f>'Steel Cost Model-Vietnam'!A23</f>
        <v>DRI-EAF</v>
      </c>
      <c r="B24" s="46">
        <f>'Steel Cost Model-Vietnam'!B23</f>
        <v>0</v>
      </c>
      <c r="C24" s="46">
        <f>'Steel Cost Model-Vietnam'!C23</f>
        <v>0.02</v>
      </c>
      <c r="D24" s="46">
        <f>'Steel Cost Model-Vietnam'!D23</f>
        <v>0</v>
      </c>
    </row>
    <row r="25" spans="1:5">
      <c r="A25" s="1208" t="str">
        <f>'Steel Cost Model-Vietnam'!A24</f>
        <v>H2-DRI-EAF</v>
      </c>
      <c r="B25" s="46">
        <f>'Steel Cost Model-Vietnam'!B24</f>
        <v>0</v>
      </c>
      <c r="C25" s="46">
        <f>'Steel Cost Model-Vietnam'!C24</f>
        <v>0</v>
      </c>
      <c r="D25" s="46">
        <f>'Steel Cost Model-Vietnam'!D24</f>
        <v>0.05</v>
      </c>
    </row>
    <row r="26" spans="1:5">
      <c r="A26" s="1208" t="str">
        <f>'Steel Cost Model-Vietnam'!A25</f>
        <v>DRI-EAF + CCUS</v>
      </c>
      <c r="B26" s="46">
        <f>'Steel Cost Model-Vietnam'!B25</f>
        <v>0</v>
      </c>
      <c r="C26" s="46">
        <f>'Steel Cost Model-Vietnam'!C25</f>
        <v>0</v>
      </c>
      <c r="D26" s="46">
        <f>'Steel Cost Model-Vietnam'!D25</f>
        <v>0.1</v>
      </c>
    </row>
    <row r="27" spans="1:5">
      <c r="A27" s="1208" t="str">
        <f>'Steel Cost Model-Vietnam'!A26</f>
        <v>Induction Furnace</v>
      </c>
      <c r="B27" s="46">
        <f>'Steel Cost Model-Vietnam'!B26</f>
        <v>0.15</v>
      </c>
      <c r="C27" s="46">
        <f>'Steel Cost Model-Vietnam'!C26</f>
        <v>0.1</v>
      </c>
      <c r="D27" s="46">
        <f>'Steel Cost Model-Vietnam'!D26</f>
        <v>0</v>
      </c>
    </row>
    <row r="28" spans="1:5">
      <c r="A28" s="1208"/>
    </row>
  </sheetData>
  <pageMargins left="0.7" right="0.7" top="0.75" bottom="0.75" header="0.3" footer="0.3"/>
  <headerFooter>
    <oddFooter>&amp;R_x000D_&amp;1#&amp;"Aptos"&amp;10&amp;K000000 Official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14AF4-9D20-4DA5-B4F1-B8A7AF4949AE}">
  <sheetPr>
    <tabColor theme="3" tint="0.749992370372631"/>
  </sheetPr>
  <dimension ref="A1:AB148"/>
  <sheetViews>
    <sheetView zoomScale="115" zoomScaleNormal="115" workbookViewId="0"/>
  </sheetViews>
  <sheetFormatPr defaultRowHeight="15"/>
  <cols>
    <col min="1" max="1" width="15.7109375" customWidth="1"/>
    <col min="2" max="9" width="13.5703125" customWidth="1"/>
    <col min="10" max="10" width="14.85546875" customWidth="1"/>
    <col min="11" max="12" width="13.5703125" customWidth="1"/>
    <col min="13" max="13" width="14.42578125" customWidth="1"/>
    <col min="14" max="14" width="14.140625" customWidth="1"/>
    <col min="15" max="27" width="13.140625" customWidth="1"/>
  </cols>
  <sheetData>
    <row r="1" spans="1:28">
      <c r="A1" s="1027" t="s">
        <v>149</v>
      </c>
      <c r="B1" s="1028"/>
      <c r="C1" s="1028"/>
      <c r="D1" s="1028"/>
      <c r="E1" s="1028"/>
      <c r="F1" s="1028"/>
      <c r="G1" s="1028"/>
      <c r="H1" s="1028"/>
      <c r="I1" s="1028"/>
    </row>
    <row r="2" spans="1:28">
      <c r="A2" t="s">
        <v>150</v>
      </c>
    </row>
    <row r="3" spans="1:28">
      <c r="B3" s="23" t="s">
        <v>16</v>
      </c>
    </row>
    <row r="4" spans="1:28">
      <c r="B4" s="23" t="s">
        <v>35</v>
      </c>
    </row>
    <row r="5" spans="1:28">
      <c r="A5" t="s">
        <v>151</v>
      </c>
    </row>
    <row r="6" spans="1:28">
      <c r="B6" t="s">
        <v>152</v>
      </c>
    </row>
    <row r="7" spans="1:28">
      <c r="B7" t="s">
        <v>153</v>
      </c>
    </row>
    <row r="8" spans="1:28">
      <c r="B8" t="s">
        <v>154</v>
      </c>
    </row>
    <row r="9" spans="1:28">
      <c r="B9" t="s">
        <v>155</v>
      </c>
    </row>
    <row r="10" spans="1:28">
      <c r="B10" t="s">
        <v>156</v>
      </c>
    </row>
    <row r="11" spans="1:28">
      <c r="B11" t="s">
        <v>157</v>
      </c>
    </row>
    <row r="13" spans="1:28" ht="16.5" thickBot="1">
      <c r="A13" s="1036" t="s">
        <v>158</v>
      </c>
      <c r="D13" s="780"/>
    </row>
    <row r="14" spans="1:28" ht="15.75" thickBot="1">
      <c r="A14" s="1034" t="str">
        <f>Graphs!B1</f>
        <v>China</v>
      </c>
      <c r="B14" s="1035">
        <f>Graphs!B3</f>
        <v>2050</v>
      </c>
      <c r="C14" s="1031">
        <f>Graphs!J23</f>
        <v>18.170405671523326</v>
      </c>
      <c r="D14" s="1031">
        <f>Graphs!K23</f>
        <v>12.570852127045608</v>
      </c>
      <c r="E14" s="1032">
        <f>Graphs!B409</f>
        <v>0</v>
      </c>
      <c r="F14" s="1032">
        <f>Graphs!C409</f>
        <v>-4.117889563065708E-15</v>
      </c>
      <c r="G14" s="1032">
        <f>Graphs!D409</f>
        <v>2.6076720181670496E-16</v>
      </c>
      <c r="H14" s="1032">
        <f>Graphs!E409</f>
        <v>8.6668752107907471E-18</v>
      </c>
      <c r="I14" s="1032">
        <f>Graphs!F409</f>
        <v>-6.8974728491544307E-17</v>
      </c>
      <c r="J14" s="1032">
        <f>Graphs!G409</f>
        <v>-2.6715649732828938E-15</v>
      </c>
      <c r="K14" s="1032">
        <f>Graphs!M409</f>
        <v>49.493860721511567</v>
      </c>
      <c r="L14" s="1032">
        <f>Graphs!N409</f>
        <v>48.879772461524176</v>
      </c>
      <c r="M14" s="1032">
        <f>Graphs!O409</f>
        <v>74.586411862148211</v>
      </c>
      <c r="N14" s="1032">
        <f>Graphs!P409</f>
        <v>0</v>
      </c>
      <c r="O14" s="1032">
        <f>Graphs!Q409</f>
        <v>5666.6662882040609</v>
      </c>
      <c r="P14" s="1032">
        <f>Graphs!B168</f>
        <v>0</v>
      </c>
      <c r="Q14" s="1032">
        <f>Graphs!C168</f>
        <v>-1.7847486923343906E-16</v>
      </c>
      <c r="R14" s="1032">
        <f>Graphs!D168</f>
        <v>9.4128656745045811E-18</v>
      </c>
      <c r="S14" s="1032">
        <f>Graphs!E168</f>
        <v>7.5904531248493316E-19</v>
      </c>
      <c r="T14" s="1032">
        <f>Graphs!F168</f>
        <v>-1.8859444934494797E-17</v>
      </c>
      <c r="U14" s="1032">
        <f>Graphs!G168</f>
        <v>-9.001503379690622E-16</v>
      </c>
      <c r="V14" s="1032">
        <f>Graphs!H168</f>
        <v>6.0230984915298027</v>
      </c>
      <c r="W14" s="1032">
        <f>Graphs!I168</f>
        <v>103.03437395349235</v>
      </c>
      <c r="X14" s="1032">
        <f>Graphs!J168</f>
        <v>519.88993691138444</v>
      </c>
      <c r="Y14" s="1032">
        <f>Graphs!K168</f>
        <v>188.56278190568412</v>
      </c>
      <c r="Z14" s="1032">
        <f>Graphs!L168</f>
        <v>23.231305995961616</v>
      </c>
      <c r="AA14" s="1032">
        <f>Graphs!M168</f>
        <v>25.915772704742512</v>
      </c>
      <c r="AB14" s="1033">
        <f>Graphs!N168</f>
        <v>2.4746930360755783</v>
      </c>
    </row>
    <row r="16" spans="1:28" ht="15.75">
      <c r="A16" s="575" t="s">
        <v>159</v>
      </c>
    </row>
    <row r="18" spans="1:28">
      <c r="C18" s="45" t="s">
        <v>160</v>
      </c>
      <c r="D18" s="51"/>
      <c r="E18" s="1030" t="s">
        <v>161</v>
      </c>
      <c r="F18" s="1030"/>
      <c r="G18" s="1029"/>
      <c r="H18" s="1029"/>
      <c r="I18" s="1029"/>
      <c r="J18" s="1029"/>
      <c r="K18" s="1029"/>
      <c r="L18" s="1029"/>
      <c r="M18" s="1029"/>
      <c r="N18" s="1029"/>
      <c r="O18" s="1029"/>
      <c r="P18" s="106" t="s">
        <v>162</v>
      </c>
      <c r="Q18" s="107"/>
      <c r="R18" s="107"/>
      <c r="S18" s="107"/>
      <c r="T18" s="107"/>
      <c r="U18" s="107"/>
      <c r="V18" s="107"/>
      <c r="W18" s="107"/>
      <c r="X18" s="107"/>
      <c r="Y18" s="107"/>
      <c r="Z18" s="107"/>
      <c r="AA18" s="107"/>
      <c r="AB18" s="107"/>
    </row>
    <row r="19" spans="1:28" ht="30" customHeight="1">
      <c r="A19" s="23" t="s">
        <v>163</v>
      </c>
      <c r="B19" s="23" t="s">
        <v>164</v>
      </c>
      <c r="C19" s="101" t="s">
        <v>165</v>
      </c>
      <c r="D19" s="101" t="s">
        <v>48</v>
      </c>
      <c r="E19" s="101" t="s">
        <v>39</v>
      </c>
      <c r="F19" s="101" t="s">
        <v>40</v>
      </c>
      <c r="G19" s="101" t="s">
        <v>41</v>
      </c>
      <c r="H19" s="101" t="s">
        <v>42</v>
      </c>
      <c r="I19" s="101" t="s">
        <v>43</v>
      </c>
      <c r="J19" s="101" t="s">
        <v>44</v>
      </c>
      <c r="K19" s="101" t="s">
        <v>50</v>
      </c>
      <c r="L19" s="101" t="s">
        <v>93</v>
      </c>
      <c r="M19" s="101" t="s">
        <v>94</v>
      </c>
      <c r="N19" s="101" t="s">
        <v>95</v>
      </c>
      <c r="O19" s="101" t="s">
        <v>96</v>
      </c>
      <c r="P19" s="101" t="s">
        <v>39</v>
      </c>
      <c r="Q19" s="101" t="s">
        <v>40</v>
      </c>
      <c r="R19" s="101" t="s">
        <v>41</v>
      </c>
      <c r="S19" s="101" t="s">
        <v>42</v>
      </c>
      <c r="T19" s="101" t="s">
        <v>43</v>
      </c>
      <c r="U19" s="101" t="s">
        <v>44</v>
      </c>
      <c r="V19" s="101" t="s">
        <v>45</v>
      </c>
      <c r="W19" s="101" t="s">
        <v>46</v>
      </c>
      <c r="X19" s="101" t="s">
        <v>47</v>
      </c>
      <c r="Y19" s="101" t="s">
        <v>48</v>
      </c>
      <c r="Z19" s="101" t="s">
        <v>49</v>
      </c>
      <c r="AA19" s="101" t="s">
        <v>50</v>
      </c>
      <c r="AB19" s="101" t="s">
        <v>83</v>
      </c>
    </row>
    <row r="20" spans="1:28">
      <c r="A20" t="s">
        <v>17</v>
      </c>
      <c r="B20">
        <v>2022</v>
      </c>
      <c r="C20" s="791">
        <v>15.889381594372804</v>
      </c>
      <c r="D20" s="791">
        <v>0</v>
      </c>
      <c r="E20" s="791">
        <v>291.54782646400002</v>
      </c>
      <c r="F20" s="791">
        <v>1046.5249307939796</v>
      </c>
      <c r="G20" s="791">
        <v>1401.9053298733043</v>
      </c>
      <c r="H20" s="791">
        <v>253.85728628269021</v>
      </c>
      <c r="I20" s="791">
        <v>814.06065220380538</v>
      </c>
      <c r="J20" s="791">
        <v>299.92378409889028</v>
      </c>
      <c r="K20" s="791">
        <v>0</v>
      </c>
      <c r="L20" s="791">
        <v>979</v>
      </c>
      <c r="M20" s="791">
        <v>521.38599714100735</v>
      </c>
      <c r="N20" s="791">
        <v>2928.9570261316371</v>
      </c>
      <c r="O20" s="791">
        <v>0</v>
      </c>
      <c r="P20" s="791">
        <v>27.712755965472951</v>
      </c>
      <c r="Q20" s="791">
        <v>38.878111985514025</v>
      </c>
      <c r="R20" s="791">
        <v>43.37513021971759</v>
      </c>
      <c r="S20" s="791">
        <v>19.056713406575177</v>
      </c>
      <c r="T20" s="791">
        <v>87.2870817207329</v>
      </c>
      <c r="U20" s="791">
        <v>74.549183929656337</v>
      </c>
      <c r="V20" s="791">
        <v>0</v>
      </c>
      <c r="W20" s="791">
        <v>103.79119287184345</v>
      </c>
      <c r="X20" s="791">
        <v>428.14245240809367</v>
      </c>
      <c r="Y20" s="791">
        <v>0</v>
      </c>
      <c r="Z20" s="791">
        <v>0</v>
      </c>
      <c r="AA20" s="791">
        <v>0</v>
      </c>
      <c r="AB20" s="791">
        <v>51.023556416088191</v>
      </c>
    </row>
    <row r="21" spans="1:28">
      <c r="A21" t="s">
        <v>17</v>
      </c>
      <c r="B21">
        <v>2025</v>
      </c>
      <c r="C21" s="791">
        <v>15.95825496329901</v>
      </c>
      <c r="D21" s="791">
        <v>0</v>
      </c>
      <c r="E21" s="791">
        <v>305.73662289608075</v>
      </c>
      <c r="F21" s="791">
        <v>1041.5160984306399</v>
      </c>
      <c r="G21" s="791">
        <v>1379.2213816118665</v>
      </c>
      <c r="H21" s="791">
        <v>250.18622565996401</v>
      </c>
      <c r="I21" s="791">
        <v>826.1891699737206</v>
      </c>
      <c r="J21" s="791">
        <v>302.20891136054939</v>
      </c>
      <c r="K21" s="791">
        <v>0</v>
      </c>
      <c r="L21" s="791">
        <v>948.1953589256002</v>
      </c>
      <c r="M21" s="791">
        <v>517.6884517502624</v>
      </c>
      <c r="N21" s="791">
        <v>2626.4756660841335</v>
      </c>
      <c r="O21" s="791">
        <v>315.17707993009572</v>
      </c>
      <c r="P21" s="791">
        <v>29.825623207726178</v>
      </c>
      <c r="Q21" s="791">
        <v>39.382964448186677</v>
      </c>
      <c r="R21" s="791">
        <v>43.43530892262892</v>
      </c>
      <c r="S21" s="791">
        <v>19.11650934847291</v>
      </c>
      <c r="T21" s="791">
        <v>92.29548384680318</v>
      </c>
      <c r="U21" s="791">
        <v>77.978782848250887</v>
      </c>
      <c r="V21" s="791">
        <v>0</v>
      </c>
      <c r="W21" s="791">
        <v>108.46351541925993</v>
      </c>
      <c r="X21" s="791">
        <v>432.8480261668102</v>
      </c>
      <c r="Y21" s="791">
        <v>0</v>
      </c>
      <c r="Z21" s="791">
        <v>0</v>
      </c>
      <c r="AA21" s="791">
        <v>0</v>
      </c>
      <c r="AB21" s="791">
        <v>50.79693229268122</v>
      </c>
    </row>
    <row r="22" spans="1:28">
      <c r="A22" t="s">
        <v>17</v>
      </c>
      <c r="B22">
        <v>2030</v>
      </c>
      <c r="C22" s="791">
        <v>17.432676744576767</v>
      </c>
      <c r="D22" s="791">
        <v>1.3051063499341273</v>
      </c>
      <c r="E22" s="791">
        <v>283.12972237906558</v>
      </c>
      <c r="F22" s="791">
        <v>588.28333310231869</v>
      </c>
      <c r="G22" s="791">
        <v>690.97161539741614</v>
      </c>
      <c r="H22" s="791">
        <v>131.59224854452813</v>
      </c>
      <c r="I22" s="791">
        <v>546.13691441032643</v>
      </c>
      <c r="J22" s="791">
        <v>177.16699205201414</v>
      </c>
      <c r="K22" s="791">
        <v>23.159030677925138</v>
      </c>
      <c r="L22" s="791">
        <v>623.58415678738891</v>
      </c>
      <c r="M22" s="791">
        <v>327.10905604345811</v>
      </c>
      <c r="N22" s="791">
        <v>2467.1535301211434</v>
      </c>
      <c r="O22" s="791">
        <v>986.86141204845705</v>
      </c>
      <c r="P22" s="791">
        <v>28.799682570544551</v>
      </c>
      <c r="Q22" s="791">
        <v>22.89525674893105</v>
      </c>
      <c r="R22" s="791">
        <v>22.396785882396319</v>
      </c>
      <c r="S22" s="791">
        <v>10.348849316225936</v>
      </c>
      <c r="T22" s="791">
        <v>55.792414970681229</v>
      </c>
      <c r="U22" s="791">
        <v>48.510273099449364</v>
      </c>
      <c r="V22" s="791">
        <v>0.24945596864696704</v>
      </c>
      <c r="W22" s="791">
        <v>102.02830836628814</v>
      </c>
      <c r="X22" s="791">
        <v>478.02834319615533</v>
      </c>
      <c r="Y22" s="791">
        <v>35.890424623188508</v>
      </c>
      <c r="Z22" s="791">
        <v>1.9644111848952068</v>
      </c>
      <c r="AA22" s="791">
        <v>13.374639635747013</v>
      </c>
      <c r="AB22" s="791">
        <v>30.818716202636125</v>
      </c>
    </row>
    <row r="23" spans="1:28">
      <c r="A23" t="s">
        <v>17</v>
      </c>
      <c r="B23">
        <v>2035</v>
      </c>
      <c r="C23" s="791">
        <v>17.973869993338262</v>
      </c>
      <c r="D23" s="791">
        <v>2.9079412918675596</v>
      </c>
      <c r="E23" s="791">
        <v>253.6617441109683</v>
      </c>
      <c r="F23" s="791">
        <v>336.72839408526443</v>
      </c>
      <c r="G23" s="791">
        <v>356.37521646703277</v>
      </c>
      <c r="H23" s="791">
        <v>72.872903232838894</v>
      </c>
      <c r="I23" s="791">
        <v>373.91605217116421</v>
      </c>
      <c r="J23" s="791">
        <v>104.31244349481103</v>
      </c>
      <c r="K23" s="791">
        <v>32.400806648164277</v>
      </c>
      <c r="L23" s="791">
        <v>415.06200657331595</v>
      </c>
      <c r="M23" s="791">
        <v>218.470842821411</v>
      </c>
      <c r="N23" s="791">
        <v>2062.0889688937282</v>
      </c>
      <c r="O23" s="791">
        <v>1787.1437730412313</v>
      </c>
      <c r="P23" s="791">
        <v>26.858910634169391</v>
      </c>
      <c r="Q23" s="791">
        <v>13.477353505653966</v>
      </c>
      <c r="R23" s="791">
        <v>11.879519971694855</v>
      </c>
      <c r="S23" s="791">
        <v>5.8937774756363446</v>
      </c>
      <c r="T23" s="791">
        <v>32.691633666020536</v>
      </c>
      <c r="U23" s="791">
        <v>30.208114311938772</v>
      </c>
      <c r="V23" s="791">
        <v>0.77064657406543169</v>
      </c>
      <c r="W23" s="791">
        <v>99.41596501731415</v>
      </c>
      <c r="X23" s="791">
        <v>498.21813258586934</v>
      </c>
      <c r="Y23" s="791">
        <v>70.881068989271768</v>
      </c>
      <c r="Z23" s="791">
        <v>5.2304586633507277</v>
      </c>
      <c r="AA23" s="791">
        <v>19.182213574183631</v>
      </c>
      <c r="AB23" s="791">
        <v>29.63549215944747</v>
      </c>
    </row>
    <row r="24" spans="1:28">
      <c r="A24" t="s">
        <v>17</v>
      </c>
      <c r="B24">
        <v>2040</v>
      </c>
      <c r="C24" s="791">
        <v>18.047620839066397</v>
      </c>
      <c r="D24" s="791">
        <v>5.1723494205891782</v>
      </c>
      <c r="E24" s="791">
        <v>195.31723019026174</v>
      </c>
      <c r="F24" s="791">
        <v>165.58528552965484</v>
      </c>
      <c r="G24" s="791">
        <v>157.45083073249671</v>
      </c>
      <c r="H24" s="791">
        <v>36.185960635478068</v>
      </c>
      <c r="I24" s="791">
        <v>227.99260104754021</v>
      </c>
      <c r="J24" s="791">
        <v>51.605107437327959</v>
      </c>
      <c r="K24" s="791">
        <v>35.980009521515782</v>
      </c>
      <c r="L24" s="791">
        <v>260.78184402662134</v>
      </c>
      <c r="M24" s="791">
        <v>139.08554799405104</v>
      </c>
      <c r="N24" s="791">
        <v>1528.6555326867647</v>
      </c>
      <c r="O24" s="791">
        <v>2751.579958836176</v>
      </c>
      <c r="P24" s="791">
        <v>21.494752130683139</v>
      </c>
      <c r="Q24" s="791">
        <v>6.8105312715369495</v>
      </c>
      <c r="R24" s="791">
        <v>5.3935005035534846</v>
      </c>
      <c r="S24" s="791">
        <v>3.007475779201088</v>
      </c>
      <c r="T24" s="791">
        <v>14.857574916043404</v>
      </c>
      <c r="U24" s="791">
        <v>15.758870424591661</v>
      </c>
      <c r="V24" s="791">
        <v>1.8606194582160078</v>
      </c>
      <c r="W24" s="791">
        <v>97.64751447762977</v>
      </c>
      <c r="X24" s="791">
        <v>505.63389897645084</v>
      </c>
      <c r="Y24" s="791">
        <v>109.91242518752004</v>
      </c>
      <c r="Z24" s="791">
        <v>10.713269282893371</v>
      </c>
      <c r="AA24" s="791">
        <v>21.018120467978981</v>
      </c>
      <c r="AB24" s="791">
        <v>21.689993407629004</v>
      </c>
    </row>
    <row r="25" spans="1:28">
      <c r="A25" t="s">
        <v>17</v>
      </c>
      <c r="B25">
        <v>2045</v>
      </c>
      <c r="C25" s="791">
        <v>18.027357453183161</v>
      </c>
      <c r="D25" s="791">
        <v>7.9107570433006877</v>
      </c>
      <c r="E25" s="791">
        <v>123.93043808470853</v>
      </c>
      <c r="F25" s="791">
        <v>75.473144100037459</v>
      </c>
      <c r="G25" s="791">
        <v>64.144604907176301</v>
      </c>
      <c r="H25" s="791">
        <v>16.739092989180101</v>
      </c>
      <c r="I25" s="791">
        <v>127.97886889474218</v>
      </c>
      <c r="J25" s="791">
        <v>23.613720431211437</v>
      </c>
      <c r="K25" s="791">
        <v>41.064358189607468</v>
      </c>
      <c r="L25" s="791">
        <v>145.77310879471074</v>
      </c>
      <c r="M25" s="791">
        <v>101.38054431502491</v>
      </c>
      <c r="N25" s="791">
        <v>853.80045256571657</v>
      </c>
      <c r="O25" s="791">
        <v>3927.4820818022954</v>
      </c>
      <c r="P25" s="791">
        <v>14.154861249248953</v>
      </c>
      <c r="Q25" s="791">
        <v>3.1876609013943678</v>
      </c>
      <c r="R25" s="791">
        <v>2.2563492592289585</v>
      </c>
      <c r="S25" s="791">
        <v>1.4286122737999551</v>
      </c>
      <c r="T25" s="791">
        <v>6.8286230726429684</v>
      </c>
      <c r="U25" s="791">
        <v>7.5836845434434546</v>
      </c>
      <c r="V25" s="791">
        <v>3.3771626759349287</v>
      </c>
      <c r="W25" s="791">
        <v>99.359629396512091</v>
      </c>
      <c r="X25" s="791">
        <v>510.43162075631164</v>
      </c>
      <c r="Y25" s="791">
        <v>143.382471409825</v>
      </c>
      <c r="Z25" s="791">
        <v>16.151583295416479</v>
      </c>
      <c r="AA25" s="791">
        <v>23.129325973473374</v>
      </c>
      <c r="AB25" s="791">
        <v>14.334494926383865</v>
      </c>
    </row>
    <row r="26" spans="1:28" ht="15.75" thickBot="1">
      <c r="A26" s="953" t="s">
        <v>17</v>
      </c>
      <c r="B26" s="953">
        <v>2050</v>
      </c>
      <c r="C26" s="1041">
        <v>18.170405671523326</v>
      </c>
      <c r="D26" s="1041">
        <v>12.570852127045608</v>
      </c>
      <c r="E26" s="1041">
        <v>0</v>
      </c>
      <c r="F26" s="1041">
        <v>-4.117889563065708E-15</v>
      </c>
      <c r="G26" s="1041">
        <v>2.6076720181670496E-16</v>
      </c>
      <c r="H26" s="1041">
        <v>8.6668752107907471E-18</v>
      </c>
      <c r="I26" s="1041">
        <v>-6.8974728491544307E-17</v>
      </c>
      <c r="J26" s="1041">
        <v>-2.6715649732828938E-15</v>
      </c>
      <c r="K26" s="1041">
        <v>49.493860721511567</v>
      </c>
      <c r="L26" s="1041">
        <v>48.879772461524176</v>
      </c>
      <c r="M26" s="1041">
        <v>74.586411862148211</v>
      </c>
      <c r="N26" s="1041">
        <v>0</v>
      </c>
      <c r="O26" s="1041">
        <v>5666.6662882040609</v>
      </c>
      <c r="P26" s="1041">
        <v>0</v>
      </c>
      <c r="Q26" s="1041">
        <v>-1.7847486923343906E-16</v>
      </c>
      <c r="R26" s="1041">
        <v>9.4128656745045811E-18</v>
      </c>
      <c r="S26" s="1041">
        <v>7.5904531248493316E-19</v>
      </c>
      <c r="T26" s="1041">
        <v>-1.8859444934494797E-17</v>
      </c>
      <c r="U26" s="1041">
        <v>-9.001503379690622E-16</v>
      </c>
      <c r="V26" s="1041">
        <v>6.0230984915298027</v>
      </c>
      <c r="W26" s="1041">
        <v>103.03437395349235</v>
      </c>
      <c r="X26" s="1041">
        <v>519.88993691138444</v>
      </c>
      <c r="Y26" s="1041">
        <v>188.56278190568412</v>
      </c>
      <c r="Z26" s="1041">
        <v>23.231305995961616</v>
      </c>
      <c r="AA26" s="1041">
        <v>25.915772704742512</v>
      </c>
      <c r="AB26" s="1041">
        <v>2.4746930360755783</v>
      </c>
    </row>
    <row r="27" spans="1:28">
      <c r="A27" t="s">
        <v>142</v>
      </c>
      <c r="B27">
        <v>2022</v>
      </c>
      <c r="C27" s="791">
        <v>0.81608726572394941</v>
      </c>
      <c r="D27" s="791">
        <v>0</v>
      </c>
      <c r="E27" s="791">
        <v>3.1446533049769352</v>
      </c>
      <c r="F27" s="791">
        <v>110.43484836090344</v>
      </c>
      <c r="G27" s="791">
        <v>57.120329699358308</v>
      </c>
      <c r="H27" s="791">
        <v>0</v>
      </c>
      <c r="I27" s="791">
        <v>6.265622408687598</v>
      </c>
      <c r="J27" s="791">
        <v>8.3579874005185015</v>
      </c>
      <c r="K27" s="791">
        <v>0</v>
      </c>
      <c r="L27" s="791">
        <v>29.2</v>
      </c>
      <c r="M27" s="791">
        <v>5.9119575836596479</v>
      </c>
      <c r="N27" s="791">
        <v>167.6455965491717</v>
      </c>
      <c r="O27" s="791">
        <v>0</v>
      </c>
      <c r="P27" s="791">
        <v>0.53928036434225424</v>
      </c>
      <c r="Q27" s="791">
        <v>4.1026240993810479</v>
      </c>
      <c r="R27" s="791">
        <v>1.7673103069854079</v>
      </c>
      <c r="S27" s="791">
        <v>0</v>
      </c>
      <c r="T27" s="791">
        <v>1.3295613514328812</v>
      </c>
      <c r="U27" s="791">
        <v>2.0774649195462365</v>
      </c>
      <c r="V27" s="791">
        <v>0.89673303653824388</v>
      </c>
      <c r="W27" s="791">
        <v>0</v>
      </c>
      <c r="X27" s="791">
        <v>21.875446139397635</v>
      </c>
      <c r="Y27" s="791">
        <v>0</v>
      </c>
      <c r="Z27" s="791">
        <v>0</v>
      </c>
      <c r="AA27" s="791">
        <v>0</v>
      </c>
      <c r="AB27" s="791">
        <v>0</v>
      </c>
    </row>
    <row r="28" spans="1:28">
      <c r="A28" t="s">
        <v>142</v>
      </c>
      <c r="B28">
        <v>2025</v>
      </c>
      <c r="C28" s="791">
        <v>0.88798866170094015</v>
      </c>
      <c r="D28" s="791">
        <v>0</v>
      </c>
      <c r="E28" s="791">
        <v>3.2945917550378141</v>
      </c>
      <c r="F28" s="791">
        <v>118.47085039110483</v>
      </c>
      <c r="G28" s="791">
        <v>62.623786571761705</v>
      </c>
      <c r="H28" s="791">
        <v>0</v>
      </c>
      <c r="I28" s="791">
        <v>6.758743207357707</v>
      </c>
      <c r="J28" s="791">
        <v>8.9325207752634874</v>
      </c>
      <c r="K28" s="791">
        <v>0</v>
      </c>
      <c r="L28" s="791">
        <v>30.370882912149256</v>
      </c>
      <c r="M28" s="791">
        <v>6.3516161105798954</v>
      </c>
      <c r="N28" s="791">
        <v>162.87144416790358</v>
      </c>
      <c r="O28" s="791">
        <v>19.544573300148421</v>
      </c>
      <c r="P28" s="791">
        <v>0.58467489143503371</v>
      </c>
      <c r="Q28" s="791">
        <v>4.4797514854831988</v>
      </c>
      <c r="R28" s="791">
        <v>1.9721877516648898</v>
      </c>
      <c r="S28" s="791">
        <v>0</v>
      </c>
      <c r="T28" s="791">
        <v>1.4777589064771421</v>
      </c>
      <c r="U28" s="791">
        <v>2.3048529399278621</v>
      </c>
      <c r="V28" s="791">
        <v>0.95551201212407355</v>
      </c>
      <c r="W28" s="791">
        <v>0</v>
      </c>
      <c r="X28" s="791">
        <v>23.974668587797094</v>
      </c>
      <c r="Y28" s="791">
        <v>0</v>
      </c>
      <c r="Z28" s="791">
        <v>0</v>
      </c>
      <c r="AA28" s="791">
        <v>0</v>
      </c>
      <c r="AB28" s="791">
        <v>1.054210183636541</v>
      </c>
    </row>
    <row r="29" spans="1:28">
      <c r="A29" t="s">
        <v>142</v>
      </c>
      <c r="B29">
        <v>2030</v>
      </c>
      <c r="C29" s="791">
        <v>1.1051205319572006</v>
      </c>
      <c r="D29" s="791">
        <v>3.209334752864261E-2</v>
      </c>
      <c r="E29" s="791">
        <v>3.1810999234333002</v>
      </c>
      <c r="F29" s="791">
        <v>76.459157404504296</v>
      </c>
      <c r="G29" s="791">
        <v>39.534838521020625</v>
      </c>
      <c r="H29" s="791">
        <v>0</v>
      </c>
      <c r="I29" s="791">
        <v>4.6417231389311366</v>
      </c>
      <c r="J29" s="791">
        <v>6.1167389350834167</v>
      </c>
      <c r="K29" s="791">
        <v>1.7012100788969071</v>
      </c>
      <c r="L29" s="791">
        <v>24.494658093964876</v>
      </c>
      <c r="M29" s="791">
        <v>7.3228770411684136</v>
      </c>
      <c r="N29" s="791">
        <v>166.86669536960594</v>
      </c>
      <c r="O29" s="791">
        <v>66.746678147842374</v>
      </c>
      <c r="P29" s="791">
        <v>0.59620642318189621</v>
      </c>
      <c r="Q29" s="791">
        <v>2.9756954533311406</v>
      </c>
      <c r="R29" s="791">
        <v>1.2814611968411169</v>
      </c>
      <c r="S29" s="791">
        <v>0</v>
      </c>
      <c r="T29" s="791">
        <v>1.0631465746349378</v>
      </c>
      <c r="U29" s="791">
        <v>1.674830468035585</v>
      </c>
      <c r="V29" s="791">
        <v>1.0080884554607425</v>
      </c>
      <c r="W29" s="791">
        <v>0</v>
      </c>
      <c r="X29" s="791">
        <v>30.193503635876258</v>
      </c>
      <c r="Y29" s="791">
        <v>1.0124687017964633</v>
      </c>
      <c r="Z29" s="791">
        <v>2.5319675789870655E-2</v>
      </c>
      <c r="AA29" s="791">
        <v>0.75292376686285101</v>
      </c>
      <c r="AB29" s="791">
        <v>1.8350524011205196</v>
      </c>
    </row>
    <row r="30" spans="1:28">
      <c r="A30" t="s">
        <v>142</v>
      </c>
      <c r="B30">
        <v>2035</v>
      </c>
      <c r="C30" s="791">
        <v>1.3040030398295324</v>
      </c>
      <c r="D30" s="791">
        <v>7.3322496166153148E-2</v>
      </c>
      <c r="E30" s="791">
        <v>2.9354714560764679</v>
      </c>
      <c r="F30" s="791">
        <v>47.725128060425966</v>
      </c>
      <c r="G30" s="791">
        <v>25.095777289400381</v>
      </c>
      <c r="H30" s="791">
        <v>0</v>
      </c>
      <c r="I30" s="791">
        <v>3.1520743106464875</v>
      </c>
      <c r="J30" s="791">
        <v>4.1323772926225635</v>
      </c>
      <c r="K30" s="791">
        <v>2.7243629687121533</v>
      </c>
      <c r="L30" s="791">
        <v>19.069329139459178</v>
      </c>
      <c r="M30" s="791">
        <v>7.7096982558454155</v>
      </c>
      <c r="N30" s="791">
        <v>151.57423206772793</v>
      </c>
      <c r="O30" s="791">
        <v>131.36433445869756</v>
      </c>
      <c r="P30" s="791">
        <v>0.57939716009183007</v>
      </c>
      <c r="Q30" s="791">
        <v>1.9101698379795582</v>
      </c>
      <c r="R30" s="791">
        <v>0.83655028110580387</v>
      </c>
      <c r="S30" s="791">
        <v>0</v>
      </c>
      <c r="T30" s="791">
        <v>0.75421999852383681</v>
      </c>
      <c r="U30" s="791">
        <v>1.1967059868731014</v>
      </c>
      <c r="V30" s="791">
        <v>1.0790106855139068</v>
      </c>
      <c r="W30" s="791">
        <v>0</v>
      </c>
      <c r="X30" s="791">
        <v>36.047950776614165</v>
      </c>
      <c r="Y30" s="791">
        <v>2.269505833714264</v>
      </c>
      <c r="Z30" s="791">
        <v>7.6862074039188391E-2</v>
      </c>
      <c r="AA30" s="791">
        <v>1.2572406553609696</v>
      </c>
      <c r="AB30" s="791">
        <v>1.9228327838991039</v>
      </c>
    </row>
    <row r="31" spans="1:28">
      <c r="A31" t="s">
        <v>142</v>
      </c>
      <c r="B31">
        <v>2040</v>
      </c>
      <c r="C31" s="791">
        <v>1.4958227681907008</v>
      </c>
      <c r="D31" s="791">
        <v>0.12726284024069026</v>
      </c>
      <c r="E31" s="791">
        <v>2.3199441212461429</v>
      </c>
      <c r="F31" s="791">
        <v>24.636952089373267</v>
      </c>
      <c r="G31" s="791">
        <v>13.274628685161259</v>
      </c>
      <c r="H31" s="791">
        <v>0</v>
      </c>
      <c r="I31" s="791">
        <v>1.7915602809718849</v>
      </c>
      <c r="J31" s="791">
        <v>2.355031734556623</v>
      </c>
      <c r="K31" s="791">
        <v>3.14344482390957</v>
      </c>
      <c r="L31" s="791">
        <v>13.654470764657887</v>
      </c>
      <c r="M31" s="791">
        <v>7.16022282916237</v>
      </c>
      <c r="N31" s="791">
        <v>119.08003264230474</v>
      </c>
      <c r="O31" s="791">
        <v>214.34405875614848</v>
      </c>
      <c r="P31" s="791">
        <v>0.48100401085453354</v>
      </c>
      <c r="Q31" s="791">
        <v>1.0133191008085343</v>
      </c>
      <c r="R31" s="791">
        <v>0.45472428544720112</v>
      </c>
      <c r="S31" s="791">
        <v>0</v>
      </c>
      <c r="T31" s="791">
        <v>0.44648908493365019</v>
      </c>
      <c r="U31" s="791">
        <v>0.71916602432716137</v>
      </c>
      <c r="V31" s="791">
        <v>1.1619646198101987</v>
      </c>
      <c r="W31" s="791">
        <v>0</v>
      </c>
      <c r="X31" s="791">
        <v>41.833199217121866</v>
      </c>
      <c r="Y31" s="791">
        <v>3.8633362215923834</v>
      </c>
      <c r="Z31" s="791">
        <v>0.18178621567125505</v>
      </c>
      <c r="AA31" s="791">
        <v>1.5212125754595183</v>
      </c>
      <c r="AB31" s="791">
        <v>1.4529091375919763</v>
      </c>
    </row>
    <row r="32" spans="1:28">
      <c r="A32" t="s">
        <v>142</v>
      </c>
      <c r="B32">
        <v>2045</v>
      </c>
      <c r="C32" s="791">
        <v>1.689421216545955</v>
      </c>
      <c r="D32" s="791">
        <v>0.1847683305711694</v>
      </c>
      <c r="E32" s="791">
        <v>1.4921322037914422</v>
      </c>
      <c r="F32" s="791">
        <v>10.345876408374959</v>
      </c>
      <c r="G32" s="791">
        <v>6.3110090464788122</v>
      </c>
      <c r="H32" s="791">
        <v>0</v>
      </c>
      <c r="I32" s="791">
        <v>0.83825831952247676</v>
      </c>
      <c r="J32" s="791">
        <v>1.1373027084056881</v>
      </c>
      <c r="K32" s="791">
        <v>3.3927519889187687</v>
      </c>
      <c r="L32" s="791">
        <v>8.4158356653181468</v>
      </c>
      <c r="M32" s="791">
        <v>6.6862620519108695</v>
      </c>
      <c r="N32" s="791">
        <v>68.751318873519367</v>
      </c>
      <c r="O32" s="791">
        <v>316.25606681818903</v>
      </c>
      <c r="P32" s="791">
        <v>0.32422649331372333</v>
      </c>
      <c r="Q32" s="791">
        <v>0.43696530879808521</v>
      </c>
      <c r="R32" s="791">
        <v>0.22199592011855412</v>
      </c>
      <c r="S32" s="791">
        <v>0</v>
      </c>
      <c r="T32" s="791">
        <v>0.21696134610393467</v>
      </c>
      <c r="U32" s="791">
        <v>0.36525142220082241</v>
      </c>
      <c r="V32" s="791">
        <v>1.265452225473372</v>
      </c>
      <c r="W32" s="791">
        <v>0</v>
      </c>
      <c r="X32" s="791">
        <v>47.79253312005163</v>
      </c>
      <c r="Y32" s="791">
        <v>5.4990574574752795</v>
      </c>
      <c r="Z32" s="791">
        <v>0.31932074034305036</v>
      </c>
      <c r="AA32" s="791">
        <v>1.7277753135804041</v>
      </c>
      <c r="AB32" s="791">
        <v>0.90460636580199316</v>
      </c>
    </row>
    <row r="33" spans="1:28" ht="15.75" thickBot="1">
      <c r="A33" s="953" t="s">
        <v>142</v>
      </c>
      <c r="B33" s="953">
        <v>2050</v>
      </c>
      <c r="C33" s="1041">
        <v>1.8841804523177987</v>
      </c>
      <c r="D33" s="1041">
        <v>0.28294154675326899</v>
      </c>
      <c r="E33" s="1041">
        <v>0</v>
      </c>
      <c r="F33" s="1041">
        <v>4.5120680458660797E-16</v>
      </c>
      <c r="G33" s="1041">
        <v>2.4387647639549447E-19</v>
      </c>
      <c r="H33" s="1041">
        <v>0</v>
      </c>
      <c r="I33" s="1041">
        <v>2.6251233927926447E-17</v>
      </c>
      <c r="J33" s="1041">
        <v>1.9019918250962592E-16</v>
      </c>
      <c r="K33" s="1041">
        <v>3.7056633643386498</v>
      </c>
      <c r="L33" s="1041">
        <v>3.0684463717128527</v>
      </c>
      <c r="M33" s="1041">
        <v>6.3681317196111102</v>
      </c>
      <c r="N33" s="1041">
        <v>0</v>
      </c>
      <c r="O33" s="1041">
        <v>445.18334691426963</v>
      </c>
      <c r="P33" s="1041">
        <v>0</v>
      </c>
      <c r="Q33" s="1041">
        <v>1.9555909456172987E-17</v>
      </c>
      <c r="R33" s="1041">
        <v>8.8031642687022166E-21</v>
      </c>
      <c r="S33" s="1041">
        <v>0</v>
      </c>
      <c r="T33" s="1041">
        <v>7.1777549771285196E-18</v>
      </c>
      <c r="U33" s="1041">
        <v>6.4085230989944477E-17</v>
      </c>
      <c r="V33" s="1041">
        <v>1.3927365742724382</v>
      </c>
      <c r="W33" s="1041">
        <v>0</v>
      </c>
      <c r="X33" s="1041">
        <v>53.909993766421046</v>
      </c>
      <c r="Y33" s="1041">
        <v>8.2524617803036779</v>
      </c>
      <c r="Z33" s="1041">
        <v>0.54751826089477229</v>
      </c>
      <c r="AA33" s="1041">
        <v>1.9766881790472171</v>
      </c>
      <c r="AB33" s="1041">
        <v>0.18528316821693255</v>
      </c>
    </row>
    <row r="34" spans="1:28">
      <c r="A34" t="s">
        <v>166</v>
      </c>
      <c r="B34">
        <v>2022</v>
      </c>
      <c r="C34" s="791">
        <v>0.40749987515266384</v>
      </c>
      <c r="D34" s="791">
        <v>0</v>
      </c>
      <c r="E34" s="791">
        <v>3.8285303855459665</v>
      </c>
      <c r="F34" s="791">
        <v>106.85892683724342</v>
      </c>
      <c r="G34" s="791">
        <v>0</v>
      </c>
      <c r="H34" s="791">
        <v>0</v>
      </c>
      <c r="I34" s="791">
        <v>11.059602526825682</v>
      </c>
      <c r="J34" s="791">
        <v>1.4138771751195061</v>
      </c>
      <c r="K34" s="791">
        <v>0</v>
      </c>
      <c r="L34" s="791">
        <v>65.3</v>
      </c>
      <c r="M34" s="791">
        <v>20.389553462133016</v>
      </c>
      <c r="N34" s="791">
        <v>52.844692731454856</v>
      </c>
      <c r="O34" s="791">
        <v>0</v>
      </c>
      <c r="P34" s="791">
        <v>0.45653531800341901</v>
      </c>
      <c r="Q34" s="791">
        <v>3.9197649174158307</v>
      </c>
      <c r="R34" s="791">
        <v>0</v>
      </c>
      <c r="S34" s="791">
        <v>0</v>
      </c>
      <c r="T34" s="791">
        <v>0.54086036336080789</v>
      </c>
      <c r="U34" s="791">
        <v>0.2505352988624171</v>
      </c>
      <c r="V34" s="791">
        <v>1.5663898994400001</v>
      </c>
      <c r="W34" s="791">
        <v>0</v>
      </c>
      <c r="X34" s="791">
        <v>8.2634214510681385</v>
      </c>
      <c r="Y34" s="791">
        <v>0</v>
      </c>
      <c r="Z34" s="791">
        <v>0</v>
      </c>
      <c r="AA34" s="791">
        <v>0</v>
      </c>
      <c r="AB34" s="791">
        <v>0</v>
      </c>
    </row>
    <row r="35" spans="1:28">
      <c r="A35" t="s">
        <v>166</v>
      </c>
      <c r="B35">
        <v>2025</v>
      </c>
      <c r="C35" s="791">
        <v>0.49772256161408895</v>
      </c>
      <c r="D35" s="791">
        <v>0</v>
      </c>
      <c r="E35" s="791">
        <v>4.8168609780557121</v>
      </c>
      <c r="F35" s="791">
        <v>119.98743110971242</v>
      </c>
      <c r="G35" s="791">
        <v>0</v>
      </c>
      <c r="H35" s="791">
        <v>0</v>
      </c>
      <c r="I35" s="791">
        <v>12.006358925898221</v>
      </c>
      <c r="J35" s="791">
        <v>1.6956828364186649</v>
      </c>
      <c r="K35" s="791">
        <v>0</v>
      </c>
      <c r="L35" s="791">
        <v>66.977588289091031</v>
      </c>
      <c r="M35" s="791">
        <v>22.932371038717822</v>
      </c>
      <c r="N35" s="791">
        <v>57.629281096088597</v>
      </c>
      <c r="O35" s="791">
        <v>6.9155137315306288</v>
      </c>
      <c r="P35" s="791">
        <v>0.58785407337372197</v>
      </c>
      <c r="Q35" s="791">
        <v>4.5192335540979824</v>
      </c>
      <c r="R35" s="791">
        <v>0</v>
      </c>
      <c r="S35" s="791">
        <v>0</v>
      </c>
      <c r="T35" s="791">
        <v>0.66144480931860361</v>
      </c>
      <c r="U35" s="791">
        <v>0.30804145776582509</v>
      </c>
      <c r="V35" s="791">
        <v>1.886636859341321</v>
      </c>
      <c r="W35" s="791">
        <v>0</v>
      </c>
      <c r="X35" s="791">
        <v>10.418886683844679</v>
      </c>
      <c r="Y35" s="791">
        <v>0</v>
      </c>
      <c r="Z35" s="791">
        <v>0</v>
      </c>
      <c r="AA35" s="791">
        <v>0</v>
      </c>
      <c r="AB35" s="791">
        <v>0.71619360467158522</v>
      </c>
    </row>
    <row r="36" spans="1:28">
      <c r="A36" t="s">
        <v>166</v>
      </c>
      <c r="B36">
        <v>2030</v>
      </c>
      <c r="C36" s="791">
        <v>0.73816260575713866</v>
      </c>
      <c r="D36" s="791">
        <v>1.9371660141215111E-2</v>
      </c>
      <c r="E36" s="791">
        <v>5.895239712601624</v>
      </c>
      <c r="F36" s="791">
        <v>81.935266961258876</v>
      </c>
      <c r="G36" s="791">
        <v>0</v>
      </c>
      <c r="H36" s="791">
        <v>0</v>
      </c>
      <c r="I36" s="791">
        <v>9.1655698828362322</v>
      </c>
      <c r="J36" s="791">
        <v>1.2852801146348867</v>
      </c>
      <c r="K36" s="791">
        <v>1.5821174416934662</v>
      </c>
      <c r="L36" s="791">
        <v>51.247651673139977</v>
      </c>
      <c r="M36" s="791">
        <v>18.797436165355776</v>
      </c>
      <c r="N36" s="791">
        <v>70.169461489229121</v>
      </c>
      <c r="O36" s="791">
        <v>28.067784595691645</v>
      </c>
      <c r="P36" s="791">
        <v>0.74692559726166941</v>
      </c>
      <c r="Q36" s="791">
        <v>3.2202034405772966</v>
      </c>
      <c r="R36" s="791">
        <v>0</v>
      </c>
      <c r="S36" s="791">
        <v>0</v>
      </c>
      <c r="T36" s="791">
        <v>0.54476674333605801</v>
      </c>
      <c r="U36" s="791">
        <v>0.24305106868708562</v>
      </c>
      <c r="V36" s="791">
        <v>2.224781578375262</v>
      </c>
      <c r="W36" s="791">
        <v>0</v>
      </c>
      <c r="X36" s="791">
        <v>16.257604224482652</v>
      </c>
      <c r="Y36" s="791">
        <v>0.5498432686749023</v>
      </c>
      <c r="Z36" s="791">
        <v>4.22397493295949E-2</v>
      </c>
      <c r="AA36" s="791">
        <v>0.6471643439583874</v>
      </c>
      <c r="AB36" s="791">
        <v>1.3424033485774782</v>
      </c>
    </row>
    <row r="37" spans="1:28">
      <c r="A37" t="s">
        <v>166</v>
      </c>
      <c r="B37">
        <v>2035</v>
      </c>
      <c r="C37" s="791">
        <v>0.96755709731163408</v>
      </c>
      <c r="D37" s="791">
        <v>5.0804767103104317E-2</v>
      </c>
      <c r="E37" s="791">
        <v>6.4464527236335165</v>
      </c>
      <c r="F37" s="791">
        <v>54.876792756399055</v>
      </c>
      <c r="G37" s="791">
        <v>0</v>
      </c>
      <c r="H37" s="791">
        <v>0</v>
      </c>
      <c r="I37" s="791">
        <v>7.0221410243327975</v>
      </c>
      <c r="J37" s="791">
        <v>0.89779766578545994</v>
      </c>
      <c r="K37" s="791">
        <v>2.7016485218489024</v>
      </c>
      <c r="L37" s="791">
        <v>38.258377946700776</v>
      </c>
      <c r="M37" s="791">
        <v>15.762365540308416</v>
      </c>
      <c r="N37" s="791">
        <v>70.747199345241683</v>
      </c>
      <c r="O37" s="791">
        <v>61.314239432542799</v>
      </c>
      <c r="P37" s="791">
        <v>0.84679740831269146</v>
      </c>
      <c r="Q37" s="791">
        <v>2.2466215733955393</v>
      </c>
      <c r="R37" s="791">
        <v>0</v>
      </c>
      <c r="S37" s="791">
        <v>0</v>
      </c>
      <c r="T37" s="791">
        <v>0.42448356241840363</v>
      </c>
      <c r="U37" s="791">
        <v>0.17645761200128002</v>
      </c>
      <c r="V37" s="791">
        <v>2.5861806643566947</v>
      </c>
      <c r="W37" s="791">
        <v>0</v>
      </c>
      <c r="X37" s="791">
        <v>22.365780362939635</v>
      </c>
      <c r="Y37" s="791">
        <v>1.3113390090277004</v>
      </c>
      <c r="Z37" s="791">
        <v>0.14083319877813885</v>
      </c>
      <c r="AA37" s="791">
        <v>1.1399239377485244</v>
      </c>
      <c r="AB37" s="791">
        <v>1.5204981064085015</v>
      </c>
    </row>
    <row r="38" spans="1:28">
      <c r="A38" t="s">
        <v>166</v>
      </c>
      <c r="B38">
        <v>2040</v>
      </c>
      <c r="C38" s="791">
        <v>1.1948042099963789</v>
      </c>
      <c r="D38" s="791">
        <v>0.10371829329677788</v>
      </c>
      <c r="E38" s="791">
        <v>5.8038761661744962</v>
      </c>
      <c r="F38" s="791">
        <v>31.475400343558238</v>
      </c>
      <c r="G38" s="791">
        <v>0</v>
      </c>
      <c r="H38" s="791">
        <v>0</v>
      </c>
      <c r="I38" s="791">
        <v>4.6646779895589994</v>
      </c>
      <c r="J38" s="791">
        <v>0.48034830765236497</v>
      </c>
      <c r="K38" s="791">
        <v>3.4696589733304934</v>
      </c>
      <c r="L38" s="791">
        <v>26.369656741640274</v>
      </c>
      <c r="M38" s="791">
        <v>12.609217407571855</v>
      </c>
      <c r="N38" s="791">
        <v>60.140266182990473</v>
      </c>
      <c r="O38" s="791">
        <v>108.25247912938283</v>
      </c>
      <c r="P38" s="791">
        <v>0.78942896653047534</v>
      </c>
      <c r="Q38" s="791">
        <v>1.3401265323080989</v>
      </c>
      <c r="R38" s="791">
        <v>0</v>
      </c>
      <c r="S38" s="791">
        <v>0</v>
      </c>
      <c r="T38" s="791">
        <v>0.27185955257401889</v>
      </c>
      <c r="U38" s="791">
        <v>9.7984500150348722E-2</v>
      </c>
      <c r="V38" s="791">
        <v>2.9666589031000146</v>
      </c>
      <c r="W38" s="791">
        <v>0</v>
      </c>
      <c r="X38" s="791">
        <v>28.922651343049363</v>
      </c>
      <c r="Y38" s="791">
        <v>2.4102861342253266</v>
      </c>
      <c r="Z38" s="791">
        <v>0.34832725589514968</v>
      </c>
      <c r="AA38" s="791">
        <v>1.4938412549643794</v>
      </c>
      <c r="AB38" s="791">
        <v>1.2886098947389317</v>
      </c>
    </row>
    <row r="39" spans="1:28">
      <c r="A39" t="s">
        <v>166</v>
      </c>
      <c r="B39">
        <v>2045</v>
      </c>
      <c r="C39" s="791">
        <v>1.4246355476463233</v>
      </c>
      <c r="D39" s="791">
        <v>0.17285016578078882</v>
      </c>
      <c r="E39" s="791">
        <v>4.128874837313024</v>
      </c>
      <c r="F39" s="791">
        <v>14.918271205645349</v>
      </c>
      <c r="G39" s="791">
        <v>0</v>
      </c>
      <c r="H39" s="791">
        <v>0</v>
      </c>
      <c r="I39" s="791">
        <v>2.604415988344932</v>
      </c>
      <c r="J39" s="791">
        <v>0.24117083677021275</v>
      </c>
      <c r="K39" s="791">
        <v>4.3094755152629025</v>
      </c>
      <c r="L39" s="791">
        <v>15.813049447512052</v>
      </c>
      <c r="M39" s="791">
        <v>10.844497537751263</v>
      </c>
      <c r="N39" s="791">
        <v>36.993281127351132</v>
      </c>
      <c r="O39" s="791">
        <v>170.16909318581517</v>
      </c>
      <c r="P39" s="791">
        <v>0.58083533129306508</v>
      </c>
      <c r="Q39" s="791">
        <v>0.65960426811599593</v>
      </c>
      <c r="R39" s="791">
        <v>0</v>
      </c>
      <c r="S39" s="791">
        <v>0</v>
      </c>
      <c r="T39" s="791">
        <v>0.14125111882642807</v>
      </c>
      <c r="U39" s="791">
        <v>5.0990205595949106E-2</v>
      </c>
      <c r="V39" s="791">
        <v>3.4149122679453945</v>
      </c>
      <c r="W39" s="791">
        <v>0</v>
      </c>
      <c r="X39" s="791">
        <v>36.040888496460035</v>
      </c>
      <c r="Y39" s="791">
        <v>3.5721583693717758</v>
      </c>
      <c r="Z39" s="791">
        <v>0.61388252936518706</v>
      </c>
      <c r="AA39" s="791">
        <v>1.8845294111703814</v>
      </c>
      <c r="AB39" s="791">
        <v>0.90658334206881797</v>
      </c>
    </row>
    <row r="40" spans="1:28" ht="15.75" thickBot="1">
      <c r="A40" s="953" t="s">
        <v>166</v>
      </c>
      <c r="B40" s="953">
        <v>2050</v>
      </c>
      <c r="C40" s="1041">
        <v>1.6619840930173184</v>
      </c>
      <c r="D40" s="1041">
        <v>0.29328238613556107</v>
      </c>
      <c r="E40" s="1041">
        <v>0</v>
      </c>
      <c r="F40" s="1041">
        <v>1.6125212044920296E-15</v>
      </c>
      <c r="G40" s="1041">
        <v>0</v>
      </c>
      <c r="H40" s="1041">
        <v>0</v>
      </c>
      <c r="I40" s="1041">
        <v>1.1246570953808111E-16</v>
      </c>
      <c r="J40" s="1041">
        <v>3.5372420291975635E-18</v>
      </c>
      <c r="K40" s="1041">
        <v>5.3974930080276833</v>
      </c>
      <c r="L40" s="1041">
        <v>5.6467381460270003</v>
      </c>
      <c r="M40" s="1041">
        <v>9.66511603683273</v>
      </c>
      <c r="N40" s="1041">
        <v>0</v>
      </c>
      <c r="O40" s="1041">
        <v>253.55947964459656</v>
      </c>
      <c r="P40" s="1041">
        <v>0</v>
      </c>
      <c r="Q40" s="1041">
        <v>7.3937482728794681E-17</v>
      </c>
      <c r="R40" s="1041">
        <v>0</v>
      </c>
      <c r="S40" s="1041">
        <v>0</v>
      </c>
      <c r="T40" s="1041">
        <v>1.5281478157486479E-17</v>
      </c>
      <c r="U40" s="1041">
        <v>7.7419308804011734E-19</v>
      </c>
      <c r="V40" s="1041">
        <v>3.9609746656252387</v>
      </c>
      <c r="W40" s="1041">
        <v>0</v>
      </c>
      <c r="X40" s="1041">
        <v>43.859131868400986</v>
      </c>
      <c r="Y40" s="1041">
        <v>5.3065490786654932</v>
      </c>
      <c r="Z40" s="1041">
        <v>1.019480106428279</v>
      </c>
      <c r="AA40" s="1041">
        <v>2.3683520022194249</v>
      </c>
      <c r="AB40" s="1041">
        <v>0.2698746504013842</v>
      </c>
    </row>
    <row r="41" spans="1:28">
      <c r="A41" t="s">
        <v>167</v>
      </c>
      <c r="B41">
        <v>2022</v>
      </c>
      <c r="C41" s="791">
        <v>2.7842576735040883</v>
      </c>
      <c r="D41" s="791">
        <v>0</v>
      </c>
      <c r="E41" s="791">
        <v>328.99969927014001</v>
      </c>
      <c r="F41" s="791">
        <v>49.897090657950002</v>
      </c>
      <c r="G41" s="791">
        <v>44.284493649420007</v>
      </c>
      <c r="H41" s="791">
        <v>0</v>
      </c>
      <c r="I41" s="791">
        <v>173.69796707175993</v>
      </c>
      <c r="J41" s="791">
        <v>345.78147591679999</v>
      </c>
      <c r="K41" s="791">
        <v>0</v>
      </c>
      <c r="L41" s="791">
        <v>66.400000000000006</v>
      </c>
      <c r="M41" s="791">
        <v>127.619232463976</v>
      </c>
      <c r="N41" s="791">
        <v>297.53916755353248</v>
      </c>
      <c r="O41" s="791">
        <v>0</v>
      </c>
      <c r="P41" s="791">
        <v>37.918389632804491</v>
      </c>
      <c r="Q41" s="791">
        <v>1.4755661255826151</v>
      </c>
      <c r="R41" s="791">
        <v>2.1156296421760503</v>
      </c>
      <c r="S41" s="791">
        <v>0</v>
      </c>
      <c r="T41" s="791">
        <v>21.007459280648767</v>
      </c>
      <c r="U41" s="791">
        <v>47.774129289173757</v>
      </c>
      <c r="V41" s="791">
        <v>0</v>
      </c>
      <c r="W41" s="791">
        <v>0</v>
      </c>
      <c r="X41" s="791">
        <v>64.446036242960503</v>
      </c>
      <c r="Y41" s="791">
        <v>0</v>
      </c>
      <c r="Z41" s="791">
        <v>0</v>
      </c>
      <c r="AA41" s="791">
        <v>0</v>
      </c>
      <c r="AB41" s="791">
        <v>0</v>
      </c>
    </row>
    <row r="42" spans="1:28">
      <c r="A42" t="s">
        <v>167</v>
      </c>
      <c r="B42">
        <v>2025</v>
      </c>
      <c r="C42" s="791">
        <v>2.8909230112917235</v>
      </c>
      <c r="D42" s="791">
        <v>0</v>
      </c>
      <c r="E42" s="791">
        <v>342.72169970420208</v>
      </c>
      <c r="F42" s="791">
        <v>51.248963076961871</v>
      </c>
      <c r="G42" s="791">
        <v>44.965627634624205</v>
      </c>
      <c r="H42" s="791">
        <v>0</v>
      </c>
      <c r="I42" s="791">
        <v>176.50605058046034</v>
      </c>
      <c r="J42" s="791">
        <v>356.56927699577113</v>
      </c>
      <c r="K42" s="791">
        <v>0</v>
      </c>
      <c r="L42" s="791">
        <v>68.034025258994319</v>
      </c>
      <c r="M42" s="791">
        <v>131.53959002104801</v>
      </c>
      <c r="N42" s="791">
        <v>275.83744519701247</v>
      </c>
      <c r="O42" s="791">
        <v>33.10049342364146</v>
      </c>
      <c r="P42" s="791">
        <v>38.570064405418655</v>
      </c>
      <c r="Q42" s="791">
        <v>1.5194678380640387</v>
      </c>
      <c r="R42" s="791">
        <v>2.2242827037008617</v>
      </c>
      <c r="S42" s="791">
        <v>0</v>
      </c>
      <c r="T42" s="791">
        <v>21.092168639846477</v>
      </c>
      <c r="U42" s="791">
        <v>47.293018893008863</v>
      </c>
      <c r="V42" s="791">
        <v>0</v>
      </c>
      <c r="W42" s="791">
        <v>0</v>
      </c>
      <c r="X42" s="791">
        <v>65.531343262649969</v>
      </c>
      <c r="Y42" s="791">
        <v>0</v>
      </c>
      <c r="Z42" s="791">
        <v>0</v>
      </c>
      <c r="AA42" s="791">
        <v>0</v>
      </c>
      <c r="AB42" s="791">
        <v>3.3711959908275921</v>
      </c>
    </row>
    <row r="43" spans="1:28">
      <c r="A43" t="s">
        <v>167</v>
      </c>
      <c r="B43">
        <v>2030</v>
      </c>
      <c r="C43" s="791">
        <v>3.7189246827869828</v>
      </c>
      <c r="D43" s="791">
        <v>0.47763774031139911</v>
      </c>
      <c r="E43" s="791">
        <v>336.47839923332788</v>
      </c>
      <c r="F43" s="791">
        <v>32.543823135857807</v>
      </c>
      <c r="G43" s="791">
        <v>31.765440362908215</v>
      </c>
      <c r="H43" s="791">
        <v>0</v>
      </c>
      <c r="I43" s="791">
        <v>120.62820629298093</v>
      </c>
      <c r="J43" s="791">
        <v>227.7920524757557</v>
      </c>
      <c r="K43" s="791">
        <v>2.0214708456005903</v>
      </c>
      <c r="L43" s="791">
        <v>54.311351701531947</v>
      </c>
      <c r="M43" s="791">
        <v>86.271765383521583</v>
      </c>
      <c r="N43" s="791">
        <v>320.33203316058319</v>
      </c>
      <c r="O43" s="791">
        <v>128.13281326423325</v>
      </c>
      <c r="P43" s="791">
        <v>36.345946843511967</v>
      </c>
      <c r="Q43" s="791">
        <v>0.96903664216578611</v>
      </c>
      <c r="R43" s="791">
        <v>1.6609334718718192</v>
      </c>
      <c r="S43" s="791">
        <v>0</v>
      </c>
      <c r="T43" s="791">
        <v>12.226023546661601</v>
      </c>
      <c r="U43" s="791">
        <v>28.1136269229956</v>
      </c>
      <c r="V43" s="791">
        <v>0</v>
      </c>
      <c r="W43" s="791">
        <v>0</v>
      </c>
      <c r="X43" s="791">
        <v>81.333919891651576</v>
      </c>
      <c r="Y43" s="791">
        <v>14.499717116596043</v>
      </c>
      <c r="Z43" s="791">
        <v>2.9421453999841667</v>
      </c>
      <c r="AA43" s="791">
        <v>1.2906850590014873</v>
      </c>
      <c r="AB43" s="791">
        <v>5.9250141873300457</v>
      </c>
    </row>
    <row r="44" spans="1:28">
      <c r="A44" t="s">
        <v>167</v>
      </c>
      <c r="B44">
        <v>2035</v>
      </c>
      <c r="C44" s="791">
        <v>4.2474762832391022</v>
      </c>
      <c r="D44" s="791">
        <v>1.2356019463408763</v>
      </c>
      <c r="E44" s="791">
        <v>313.45543045065057</v>
      </c>
      <c r="F44" s="791">
        <v>20.827407009067141</v>
      </c>
      <c r="G44" s="791">
        <v>22.661186303154828</v>
      </c>
      <c r="H44" s="791">
        <v>0</v>
      </c>
      <c r="I44" s="791">
        <v>86.680742527438568</v>
      </c>
      <c r="J44" s="791">
        <v>146.90122552877739</v>
      </c>
      <c r="K44" s="791">
        <v>4.5620864478806684</v>
      </c>
      <c r="L44" s="791">
        <v>41.953538792447752</v>
      </c>
      <c r="M44" s="791">
        <v>58.039278242567121</v>
      </c>
      <c r="N44" s="791">
        <v>313.90077523792189</v>
      </c>
      <c r="O44" s="791">
        <v>272.04733853953235</v>
      </c>
      <c r="P44" s="791">
        <v>32.441648638861594</v>
      </c>
      <c r="Q44" s="791">
        <v>0.62282215817036335</v>
      </c>
      <c r="R44" s="791">
        <v>1.2488259401066097</v>
      </c>
      <c r="S44" s="791">
        <v>0</v>
      </c>
      <c r="T44" s="791">
        <v>6.8667281721310651</v>
      </c>
      <c r="U44" s="791">
        <v>16.776476015448523</v>
      </c>
      <c r="V44" s="791">
        <v>0</v>
      </c>
      <c r="W44" s="791">
        <v>0</v>
      </c>
      <c r="X44" s="791">
        <v>89.50533546218476</v>
      </c>
      <c r="Y44" s="791">
        <v>35.85452076435579</v>
      </c>
      <c r="Z44" s="791">
        <v>8.7844205408776386</v>
      </c>
      <c r="AA44" s="791">
        <v>2.1476312329186933</v>
      </c>
      <c r="AB44" s="791">
        <v>6.5379007528788238</v>
      </c>
    </row>
    <row r="45" spans="1:28">
      <c r="A45" t="s">
        <v>167</v>
      </c>
      <c r="B45">
        <v>2040</v>
      </c>
      <c r="C45" s="791">
        <v>4.6423773507175099</v>
      </c>
      <c r="D45" s="791">
        <v>2.5754054238688373</v>
      </c>
      <c r="E45" s="791">
        <v>249.64322828275664</v>
      </c>
      <c r="F45" s="791">
        <v>11.475864922624478</v>
      </c>
      <c r="G45" s="791">
        <v>14.406880562564337</v>
      </c>
      <c r="H45" s="791">
        <v>0</v>
      </c>
      <c r="I45" s="791">
        <v>56.03933432111576</v>
      </c>
      <c r="J45" s="791">
        <v>80.541878830555149</v>
      </c>
      <c r="K45" s="791">
        <v>8.7132389160579979</v>
      </c>
      <c r="L45" s="791">
        <v>29.924620337119389</v>
      </c>
      <c r="M45" s="791">
        <v>34.845845326546637</v>
      </c>
      <c r="N45" s="791">
        <v>275.47392341511193</v>
      </c>
      <c r="O45" s="791">
        <v>495.85306214720123</v>
      </c>
      <c r="P45" s="791">
        <v>24.708446096141319</v>
      </c>
      <c r="Q45" s="791">
        <v>0.34463834250170705</v>
      </c>
      <c r="R45" s="791">
        <v>0.83458677602405851</v>
      </c>
      <c r="S45" s="791">
        <v>0</v>
      </c>
      <c r="T45" s="791">
        <v>3.0684557941851169</v>
      </c>
      <c r="U45" s="791">
        <v>8.4558424175626836</v>
      </c>
      <c r="V45" s="791">
        <v>0</v>
      </c>
      <c r="W45" s="791">
        <v>0</v>
      </c>
      <c r="X45" s="791">
        <v>94.123761949935073</v>
      </c>
      <c r="Y45" s="791">
        <v>71.283542982083887</v>
      </c>
      <c r="Z45" s="791">
        <v>20.361876448661587</v>
      </c>
      <c r="AA45" s="791">
        <v>2.7573099087787818</v>
      </c>
      <c r="AB45" s="791">
        <v>5.5021242070580696</v>
      </c>
    </row>
    <row r="46" spans="1:28">
      <c r="A46" t="s">
        <v>167</v>
      </c>
      <c r="B46">
        <v>2045</v>
      </c>
      <c r="C46" s="791">
        <v>4.9506250641879559</v>
      </c>
      <c r="D46" s="791">
        <v>4.3251675258343285</v>
      </c>
      <c r="E46" s="791">
        <v>160.81381890241244</v>
      </c>
      <c r="F46" s="791">
        <v>5.4428837171935029</v>
      </c>
      <c r="G46" s="791">
        <v>7.6954256713697609</v>
      </c>
      <c r="H46" s="791">
        <v>0</v>
      </c>
      <c r="I46" s="791">
        <v>32.263629552519326</v>
      </c>
      <c r="J46" s="791">
        <v>40.269962875698056</v>
      </c>
      <c r="K46" s="791">
        <v>14.194598755993445</v>
      </c>
      <c r="L46" s="791">
        <v>18.35634573080814</v>
      </c>
      <c r="M46" s="791">
        <v>21.267674843840521</v>
      </c>
      <c r="N46" s="791">
        <v>177.00996672795424</v>
      </c>
      <c r="O46" s="791">
        <v>814.24584694858925</v>
      </c>
      <c r="P46" s="791">
        <v>15.189382047987989</v>
      </c>
      <c r="Q46" s="791">
        <v>0.16415295086013529</v>
      </c>
      <c r="R46" s="791">
        <v>0.4675039133562458</v>
      </c>
      <c r="S46" s="791">
        <v>0</v>
      </c>
      <c r="T46" s="791">
        <v>1.3008391772093775</v>
      </c>
      <c r="U46" s="791">
        <v>3.8567100028508299</v>
      </c>
      <c r="V46" s="791">
        <v>0</v>
      </c>
      <c r="W46" s="791">
        <v>0</v>
      </c>
      <c r="X46" s="791">
        <v>96.424407447939245</v>
      </c>
      <c r="Y46" s="791">
        <v>113.92182322510062</v>
      </c>
      <c r="Z46" s="791">
        <v>34.771086928797033</v>
      </c>
      <c r="AA46" s="791">
        <v>3.3831574675900926</v>
      </c>
      <c r="AB46" s="791">
        <v>4.1016598449532209</v>
      </c>
    </row>
    <row r="47" spans="1:28" ht="15.75" thickBot="1">
      <c r="A47" s="953" t="s">
        <v>167</v>
      </c>
      <c r="B47" s="953">
        <v>2050</v>
      </c>
      <c r="C47" s="1041">
        <v>5.2806835681161663</v>
      </c>
      <c r="D47" s="1041">
        <v>7.2890379778341057</v>
      </c>
      <c r="E47" s="1041">
        <v>0</v>
      </c>
      <c r="F47" s="1041">
        <v>-2.7450188235680751E-15</v>
      </c>
      <c r="G47" s="1041">
        <v>0</v>
      </c>
      <c r="H47" s="1041">
        <v>0</v>
      </c>
      <c r="I47" s="1041">
        <v>2.3766924373897158E-17</v>
      </c>
      <c r="J47" s="1041">
        <v>-5.2208691577754873E-15</v>
      </c>
      <c r="K47" s="1041">
        <v>23.02559254492451</v>
      </c>
      <c r="L47" s="1041">
        <v>6.6590202419788813</v>
      </c>
      <c r="M47" s="1041">
        <v>7.9029466612849859</v>
      </c>
      <c r="N47" s="1041">
        <v>0</v>
      </c>
      <c r="O47" s="1041">
        <v>1343.2609060406542</v>
      </c>
      <c r="P47" s="1041">
        <v>0</v>
      </c>
      <c r="Q47" s="1041">
        <v>-8.3137825783187778E-17</v>
      </c>
      <c r="R47" s="1041">
        <v>0</v>
      </c>
      <c r="S47" s="1041">
        <v>0</v>
      </c>
      <c r="T47" s="1041">
        <v>7.889339604330551E-18</v>
      </c>
      <c r="U47" s="1041">
        <v>-4.5189682662899026E-16</v>
      </c>
      <c r="V47" s="1041">
        <v>0</v>
      </c>
      <c r="W47" s="1041">
        <v>0</v>
      </c>
      <c r="X47" s="1041">
        <v>98.64069810524785</v>
      </c>
      <c r="Y47" s="1041">
        <v>182.22594944585265</v>
      </c>
      <c r="Z47" s="1041">
        <v>57.658471541983701</v>
      </c>
      <c r="AA47" s="1041">
        <v>4.0766382600623716</v>
      </c>
      <c r="AB47" s="1041">
        <v>1.1512796272462251</v>
      </c>
    </row>
    <row r="49" spans="1:14">
      <c r="A49" s="45" t="s">
        <v>168</v>
      </c>
      <c r="B49" s="51"/>
      <c r="C49" s="51"/>
      <c r="D49" s="51"/>
      <c r="E49" s="51"/>
      <c r="F49" s="51"/>
      <c r="G49" s="51"/>
    </row>
    <row r="51" spans="1:14">
      <c r="A51" s="106" t="s">
        <v>169</v>
      </c>
      <c r="B51" s="107"/>
      <c r="C51" s="107"/>
      <c r="D51" s="107"/>
      <c r="E51" s="107"/>
      <c r="F51" s="107"/>
      <c r="G51" s="107"/>
      <c r="H51" s="107"/>
      <c r="I51" s="107"/>
      <c r="J51" s="107"/>
      <c r="K51" s="107"/>
      <c r="L51" s="107"/>
      <c r="M51" s="107"/>
      <c r="N51" s="107"/>
    </row>
    <row r="53" spans="1:14" ht="75">
      <c r="A53" s="972" t="s">
        <v>170</v>
      </c>
      <c r="B53" s="101" t="s">
        <v>171</v>
      </c>
      <c r="C53" s="101" t="s">
        <v>172</v>
      </c>
      <c r="D53" s="101" t="s">
        <v>173</v>
      </c>
      <c r="F53" s="23" t="s">
        <v>174</v>
      </c>
      <c r="G53" s="23" t="s">
        <v>175</v>
      </c>
    </row>
    <row r="54" spans="1:14">
      <c r="A54" s="558">
        <f t="shared" ref="A54:A60" si="0">B20</f>
        <v>2022</v>
      </c>
      <c r="B54" s="27">
        <f>SUMIFS(C$20:C$47,$B$20:$B$47,$A54,$A$20:$A$47,Graphs!$B$1)*'Unit Conversions'!$E$15</f>
        <v>4413.7206405216893</v>
      </c>
      <c r="C54" s="27">
        <f>SUMIFS(D$20:D$47,$B$20:$B$47,$A54,$A$20:$A$47,Graphs!$B$1)*'Unit Conversions'!$E$15</f>
        <v>0</v>
      </c>
      <c r="D54" s="27">
        <f>F54-G54</f>
        <v>4413.7529999999988</v>
      </c>
      <c r="F54" s="27">
        <f>'Other Country-Specific Data'!K169</f>
        <v>8835.7619999999988</v>
      </c>
      <c r="G54" s="27">
        <f>'Other Country-Specific Data'!K176</f>
        <v>4422.009</v>
      </c>
    </row>
    <row r="55" spans="1:14">
      <c r="A55" s="558">
        <f t="shared" si="0"/>
        <v>2025</v>
      </c>
      <c r="B55" s="27">
        <f>SUMIFS(C$20:C$47,$B$20:$B$47,$A55,$A$20:$A$47,Graphs!$B$1)*'Unit Conversions'!$E$15</f>
        <v>4432.8521471952727</v>
      </c>
      <c r="C55" s="27">
        <f>SUMIFS(D$20:D$47,$B$20:$B$47,$A55,$A$20:$A$47,Graphs!$B$1)*'Unit Conversions'!$E$15</f>
        <v>0</v>
      </c>
      <c r="D55" s="27">
        <f t="shared" ref="D55:D60" si="1">F55-G55</f>
        <v>5048.3826239180044</v>
      </c>
      <c r="F55" s="27">
        <f>'Other Country-Specific Data'!K170</f>
        <v>10106.208333333334</v>
      </c>
      <c r="G55" s="27">
        <f>'Other Country-Specific Data'!K177</f>
        <v>5057.8257094153296</v>
      </c>
    </row>
    <row r="56" spans="1:14">
      <c r="A56" s="558">
        <f t="shared" si="0"/>
        <v>2030</v>
      </c>
      <c r="B56" s="27">
        <f>SUMIFS(C$20:C$47,$B$20:$B$47,$A56,$A$20:$A$47,Graphs!$B$1)*'Unit Conversions'!$E$15</f>
        <v>4842.4140807550457</v>
      </c>
      <c r="C56" s="27">
        <f>SUMIFS(D$20:D$47,$B$20:$B$47,$A56,$A$20:$A$47,Graphs!$B$1)*'Unit Conversions'!$E$15</f>
        <v>362.52983167200205</v>
      </c>
      <c r="D56" s="27">
        <f t="shared" si="1"/>
        <v>5683.0598699636757</v>
      </c>
      <c r="F56" s="27">
        <f>'Other Country-Specific Data'!K171</f>
        <v>11376.75</v>
      </c>
      <c r="G56" s="27">
        <f>'Other Country-Specific Data'!K178</f>
        <v>5693.6901300363243</v>
      </c>
    </row>
    <row r="57" spans="1:14">
      <c r="A57" s="558">
        <f t="shared" si="0"/>
        <v>2035</v>
      </c>
      <c r="B57" s="27">
        <f>SUMIFS(C$20:C$47,$B$20:$B$47,$A57,$A$20:$A$47,Graphs!$B$1)*'Unit Conversions'!$E$15</f>
        <v>4992.7456590095162</v>
      </c>
      <c r="C57" s="27">
        <f>SUMIFS(D$20:D$47,$B$20:$B$47,$A57,$A$20:$A$47,Graphs!$B$1)*'Unit Conversions'!$E$15</f>
        <v>807.76211617238698</v>
      </c>
      <c r="D57" s="27">
        <f t="shared" si="1"/>
        <v>6317.7371160093489</v>
      </c>
      <c r="F57" s="27">
        <f>'Other Country-Specific Data'!K172</f>
        <v>12647.291666666668</v>
      </c>
      <c r="G57" s="27">
        <f>'Other Country-Specific Data'!K179</f>
        <v>6329.5545506573189</v>
      </c>
    </row>
    <row r="58" spans="1:14">
      <c r="A58" s="558">
        <f t="shared" si="0"/>
        <v>2040</v>
      </c>
      <c r="B58" s="27">
        <f>SUMIFS(C$20:C$47,$B$20:$B$47,$A58,$A$20:$A$47,Graphs!$B$1)*'Unit Conversions'!$E$15</f>
        <v>5013.2320214341862</v>
      </c>
      <c r="C58" s="27">
        <f>SUMIFS(D$20:D$47,$B$20:$B$47,$A58,$A$20:$A$47,Graphs!$B$1)*'Unit Conversions'!$E$15</f>
        <v>1436.7648773524209</v>
      </c>
      <c r="D58" s="27">
        <f t="shared" si="1"/>
        <v>6952.4143620550203</v>
      </c>
      <c r="F58" s="27">
        <f>'Other Country-Specific Data'!K173</f>
        <v>13917.833333333334</v>
      </c>
      <c r="G58" s="27">
        <f>'Other Country-Specific Data'!K180</f>
        <v>6965.4189712783136</v>
      </c>
    </row>
    <row r="59" spans="1:14">
      <c r="A59" s="558">
        <f t="shared" si="0"/>
        <v>2045</v>
      </c>
      <c r="B59" s="27">
        <f>SUMIFS(C$20:C$47,$B$20:$B$47,$A59,$A$20:$A$47,Graphs!$B$1)*'Unit Conversions'!$E$15</f>
        <v>5007.6032986303126</v>
      </c>
      <c r="C59" s="27">
        <f>SUMIFS(D$20:D$47,$B$20:$B$47,$A59,$A$20:$A$47,Graphs!$B$1)*'Unit Conversions'!$E$15</f>
        <v>2197.4342699739786</v>
      </c>
      <c r="D59" s="27">
        <f t="shared" si="1"/>
        <v>7587.0916081006926</v>
      </c>
      <c r="F59" s="27">
        <f>'Other Country-Specific Data'!K174</f>
        <v>15188.375000000002</v>
      </c>
      <c r="G59" s="27">
        <f>'Other Country-Specific Data'!K181</f>
        <v>7601.2833918993092</v>
      </c>
    </row>
    <row r="60" spans="1:14">
      <c r="A60" s="558">
        <f t="shared" si="0"/>
        <v>2050</v>
      </c>
      <c r="B60" s="27">
        <f>SUMIFS(C$20:C$47,$B$20:$B$47,$A60,$A$20:$A$47,Graphs!$B$1)*'Unit Conversions'!$E$15</f>
        <v>5047.3389466244071</v>
      </c>
      <c r="C60" s="27">
        <f>SUMIFS(D$20:D$47,$B$20:$B$47,$A60,$A$20:$A$47,Graphs!$B$1)*'Unit Conversions'!$E$15</f>
        <v>3491.9061621464753</v>
      </c>
      <c r="D60" s="27">
        <f t="shared" si="1"/>
        <v>8221.7688541463649</v>
      </c>
      <c r="F60" s="27">
        <f>'Other Country-Specific Data'!K175</f>
        <v>16458.916666666668</v>
      </c>
      <c r="G60" s="27">
        <f>'Other Country-Specific Data'!K182</f>
        <v>8237.147812520303</v>
      </c>
    </row>
    <row r="95" spans="1:14">
      <c r="A95" s="106" t="s">
        <v>176</v>
      </c>
      <c r="B95" s="107"/>
      <c r="C95" s="107"/>
      <c r="D95" s="107"/>
      <c r="E95" s="107"/>
      <c r="F95" s="107"/>
      <c r="G95" s="107"/>
      <c r="H95" s="107"/>
      <c r="I95" s="107"/>
      <c r="J95" s="107"/>
      <c r="K95" s="107"/>
      <c r="L95" s="107"/>
      <c r="M95" s="107"/>
      <c r="N95" s="107"/>
    </row>
    <row r="97" spans="1:12" ht="45">
      <c r="A97" s="1039" t="s">
        <v>177</v>
      </c>
      <c r="B97" s="101" t="str">
        <f>E19</f>
        <v>Fossil Feedstocks</v>
      </c>
      <c r="C97" s="101" t="str">
        <f>F19</f>
        <v>Coal</v>
      </c>
      <c r="D97" s="101" t="str">
        <f t="shared" ref="D97:L97" si="2">G19</f>
        <v>Coke</v>
      </c>
      <c r="E97" s="101" t="str">
        <f t="shared" si="2"/>
        <v>Coal/Coke Byproducts</v>
      </c>
      <c r="F97" s="101" t="str">
        <f t="shared" si="2"/>
        <v>Petroleum</v>
      </c>
      <c r="G97" s="101" t="str">
        <f t="shared" si="2"/>
        <v>Natural Gas</v>
      </c>
      <c r="H97" s="101" t="str">
        <f t="shared" si="2"/>
        <v>Fossil Fuels w/ Carbon Capture</v>
      </c>
      <c r="I97" s="101" t="str">
        <f t="shared" si="2"/>
        <v>Cement Calcination</v>
      </c>
      <c r="J97" s="101" t="str">
        <f t="shared" si="2"/>
        <v>Fugitive Methane</v>
      </c>
      <c r="K97" s="101" t="str">
        <f t="shared" si="2"/>
        <v>Electricity (on-target)</v>
      </c>
      <c r="L97" s="101" t="str">
        <f t="shared" si="2"/>
        <v>Electricity (off-target)</v>
      </c>
    </row>
    <row r="98" spans="1:12">
      <c r="A98" s="558">
        <f t="shared" ref="A98:A104" si="3">B20</f>
        <v>2022</v>
      </c>
      <c r="B98" s="27">
        <f>IF(Graphs!$B$11=TRUE,SUMIFS(E$20:E$47,$B$20:$B$47,$A98,$A$20:$A$47,Graphs!$B$1),0)</f>
        <v>291.54782646400002</v>
      </c>
      <c r="C98" s="27">
        <f>SUMIFS(F$20:F$47,$B$20:$B$47,$A98,$A$20:$A$47,Graphs!$B$1)</f>
        <v>1046.5249307939796</v>
      </c>
      <c r="D98" s="27">
        <f>SUMIFS(G$20:G$47,$B$20:$B$47,$A98,$A$20:$A$47,Graphs!$B$1)</f>
        <v>1401.9053298733043</v>
      </c>
      <c r="E98" s="27">
        <f>SUMIFS(H$20:H$47,$B$20:$B$47,$A98,$A$20:$A$47,Graphs!$B$1)</f>
        <v>253.85728628269021</v>
      </c>
      <c r="F98" s="27">
        <f>SUMIFS(I$20:I$47,$B$20:$B$47,$A98,$A$20:$A$47,Graphs!$B$1)</f>
        <v>814.06065220380538</v>
      </c>
      <c r="G98" s="27">
        <f>SUMIFS(J$20:J$47,$B$20:$B$47,$A98,$A$20:$A$47,Graphs!$B$1)</f>
        <v>299.92378409889028</v>
      </c>
      <c r="H98" s="27">
        <f>SUMIFS(K$20:K$47,$B$20:$B$47,$A98,$A$20:$A$47,Graphs!$B$1)</f>
        <v>0</v>
      </c>
      <c r="I98" s="27">
        <f>SUMIFS(L$20:L$47,$B$20:$B$47,$A98,$A$20:$A$47,Graphs!$B$1)</f>
        <v>979</v>
      </c>
      <c r="J98" s="27">
        <f>SUMIFS(M$20:M$47,$B$20:$B$47,$A98,$A$20:$A$47,Graphs!$B$1)</f>
        <v>521.38599714100735</v>
      </c>
      <c r="K98" s="27">
        <f>SUMIFS(N$20:N$47,$B$20:$B$47,$A98,$A$20:$A$47,Graphs!$B$1)</f>
        <v>2928.9570261316371</v>
      </c>
      <c r="L98" s="27">
        <f>SUMIFS(O$20:O$47,$B$20:$B$47,$A98,$A$20:$A$47,Graphs!$B$1)</f>
        <v>0</v>
      </c>
    </row>
    <row r="99" spans="1:12">
      <c r="A99" s="558">
        <f t="shared" si="3"/>
        <v>2025</v>
      </c>
      <c r="B99" s="27">
        <f>IF(Graphs!$B$11=TRUE,SUMIFS(E$20:E$47,$B$20:$B$47,$A99,$A$20:$A$47,Graphs!$B$1),0)</f>
        <v>305.73662289608075</v>
      </c>
      <c r="C99" s="27">
        <f>SUMIFS(F$20:F$47,$B$20:$B$47,$A99,$A$20:$A$47,Graphs!$B$1)</f>
        <v>1041.5160984306399</v>
      </c>
      <c r="D99" s="27">
        <f>SUMIFS(G$20:G$47,$B$20:$B$47,$A99,$A$20:$A$47,Graphs!$B$1)</f>
        <v>1379.2213816118665</v>
      </c>
      <c r="E99" s="27">
        <f>SUMIFS(H$20:H$47,$B$20:$B$47,$A99,$A$20:$A$47,Graphs!$B$1)</f>
        <v>250.18622565996401</v>
      </c>
      <c r="F99" s="27">
        <f>SUMIFS(I$20:I$47,$B$20:$B$47,$A99,$A$20:$A$47,Graphs!$B$1)</f>
        <v>826.1891699737206</v>
      </c>
      <c r="G99" s="27">
        <f>SUMIFS(J$20:J$47,$B$20:$B$47,$A99,$A$20:$A$47,Graphs!$B$1)</f>
        <v>302.20891136054939</v>
      </c>
      <c r="H99" s="27">
        <f>SUMIFS(K$20:K$47,$B$20:$B$47,$A99,$A$20:$A$47,Graphs!$B$1)</f>
        <v>0</v>
      </c>
      <c r="I99" s="27">
        <f>SUMIFS(L$20:L$47,$B$20:$B$47,$A99,$A$20:$A$47,Graphs!$B$1)</f>
        <v>948.1953589256002</v>
      </c>
      <c r="J99" s="27">
        <f>SUMIFS(M$20:M$47,$B$20:$B$47,$A99,$A$20:$A$47,Graphs!$B$1)</f>
        <v>517.6884517502624</v>
      </c>
      <c r="K99" s="27">
        <f>SUMIFS(N$20:N$47,$B$20:$B$47,$A99,$A$20:$A$47,Graphs!$B$1)</f>
        <v>2626.4756660841335</v>
      </c>
      <c r="L99" s="27">
        <f>SUMIFS(O$20:O$47,$B$20:$B$47,$A99,$A$20:$A$47,Graphs!$B$1)</f>
        <v>315.17707993009572</v>
      </c>
    </row>
    <row r="100" spans="1:12">
      <c r="A100" s="558">
        <f t="shared" si="3"/>
        <v>2030</v>
      </c>
      <c r="B100" s="27">
        <f>IF(Graphs!$B$11=TRUE,SUMIFS(E$20:E$47,$B$20:$B$47,$A100,$A$20:$A$47,Graphs!$B$1),0)</f>
        <v>283.12972237906558</v>
      </c>
      <c r="C100" s="27">
        <f>SUMIFS(F$20:F$47,$B$20:$B$47,$A100,$A$20:$A$47,Graphs!$B$1)</f>
        <v>588.28333310231869</v>
      </c>
      <c r="D100" s="27">
        <f>SUMIFS(G$20:G$47,$B$20:$B$47,$A100,$A$20:$A$47,Graphs!$B$1)</f>
        <v>690.97161539741614</v>
      </c>
      <c r="E100" s="27">
        <f>SUMIFS(H$20:H$47,$B$20:$B$47,$A100,$A$20:$A$47,Graphs!$B$1)</f>
        <v>131.59224854452813</v>
      </c>
      <c r="F100" s="27">
        <f>SUMIFS(I$20:I$47,$B$20:$B$47,$A100,$A$20:$A$47,Graphs!$B$1)</f>
        <v>546.13691441032643</v>
      </c>
      <c r="G100" s="27">
        <f>SUMIFS(J$20:J$47,$B$20:$B$47,$A100,$A$20:$A$47,Graphs!$B$1)</f>
        <v>177.16699205201414</v>
      </c>
      <c r="H100" s="27">
        <f>SUMIFS(K$20:K$47,$B$20:$B$47,$A100,$A$20:$A$47,Graphs!$B$1)</f>
        <v>23.159030677925138</v>
      </c>
      <c r="I100" s="27">
        <f>SUMIFS(L$20:L$47,$B$20:$B$47,$A100,$A$20:$A$47,Graphs!$B$1)</f>
        <v>623.58415678738891</v>
      </c>
      <c r="J100" s="27">
        <f>SUMIFS(M$20:M$47,$B$20:$B$47,$A100,$A$20:$A$47,Graphs!$B$1)</f>
        <v>327.10905604345811</v>
      </c>
      <c r="K100" s="27">
        <f>SUMIFS(N$20:N$47,$B$20:$B$47,$A100,$A$20:$A$47,Graphs!$B$1)</f>
        <v>2467.1535301211434</v>
      </c>
      <c r="L100" s="27">
        <f>SUMIFS(O$20:O$47,$B$20:$B$47,$A100,$A$20:$A$47,Graphs!$B$1)</f>
        <v>986.86141204845705</v>
      </c>
    </row>
    <row r="101" spans="1:12">
      <c r="A101" s="558">
        <f t="shared" si="3"/>
        <v>2035</v>
      </c>
      <c r="B101" s="27">
        <f>IF(Graphs!$B$11=TRUE,SUMIFS(E$20:E$47,$B$20:$B$47,$A101,$A$20:$A$47,Graphs!$B$1),0)</f>
        <v>253.6617441109683</v>
      </c>
      <c r="C101" s="27">
        <f>SUMIFS(F$20:F$47,$B$20:$B$47,$A101,$A$20:$A$47,Graphs!$B$1)</f>
        <v>336.72839408526443</v>
      </c>
      <c r="D101" s="27">
        <f>SUMIFS(G$20:G$47,$B$20:$B$47,$A101,$A$20:$A$47,Graphs!$B$1)</f>
        <v>356.37521646703277</v>
      </c>
      <c r="E101" s="27">
        <f>SUMIFS(H$20:H$47,$B$20:$B$47,$A101,$A$20:$A$47,Graphs!$B$1)</f>
        <v>72.872903232838894</v>
      </c>
      <c r="F101" s="27">
        <f>SUMIFS(I$20:I$47,$B$20:$B$47,$A101,$A$20:$A$47,Graphs!$B$1)</f>
        <v>373.91605217116421</v>
      </c>
      <c r="G101" s="27">
        <f>SUMIFS(J$20:J$47,$B$20:$B$47,$A101,$A$20:$A$47,Graphs!$B$1)</f>
        <v>104.31244349481103</v>
      </c>
      <c r="H101" s="27">
        <f>SUMIFS(K$20:K$47,$B$20:$B$47,$A101,$A$20:$A$47,Graphs!$B$1)</f>
        <v>32.400806648164277</v>
      </c>
      <c r="I101" s="27">
        <f>SUMIFS(L$20:L$47,$B$20:$B$47,$A101,$A$20:$A$47,Graphs!$B$1)</f>
        <v>415.06200657331595</v>
      </c>
      <c r="J101" s="27">
        <f>SUMIFS(M$20:M$47,$B$20:$B$47,$A101,$A$20:$A$47,Graphs!$B$1)</f>
        <v>218.470842821411</v>
      </c>
      <c r="K101" s="27">
        <f>SUMIFS(N$20:N$47,$B$20:$B$47,$A101,$A$20:$A$47,Graphs!$B$1)</f>
        <v>2062.0889688937282</v>
      </c>
      <c r="L101" s="27">
        <f>SUMIFS(O$20:O$47,$B$20:$B$47,$A101,$A$20:$A$47,Graphs!$B$1)</f>
        <v>1787.1437730412313</v>
      </c>
    </row>
    <row r="102" spans="1:12">
      <c r="A102" s="558">
        <f t="shared" si="3"/>
        <v>2040</v>
      </c>
      <c r="B102" s="27">
        <f>IF(Graphs!$B$11=TRUE,SUMIFS(E$20:E$47,$B$20:$B$47,$A102,$A$20:$A$47,Graphs!$B$1),0)</f>
        <v>195.31723019026174</v>
      </c>
      <c r="C102" s="27">
        <f>SUMIFS(F$20:F$47,$B$20:$B$47,$A102,$A$20:$A$47,Graphs!$B$1)</f>
        <v>165.58528552965484</v>
      </c>
      <c r="D102" s="27">
        <f>SUMIFS(G$20:G$47,$B$20:$B$47,$A102,$A$20:$A$47,Graphs!$B$1)</f>
        <v>157.45083073249671</v>
      </c>
      <c r="E102" s="27">
        <f>SUMIFS(H$20:H$47,$B$20:$B$47,$A102,$A$20:$A$47,Graphs!$B$1)</f>
        <v>36.185960635478068</v>
      </c>
      <c r="F102" s="27">
        <f>SUMIFS(I$20:I$47,$B$20:$B$47,$A102,$A$20:$A$47,Graphs!$B$1)</f>
        <v>227.99260104754021</v>
      </c>
      <c r="G102" s="27">
        <f>SUMIFS(J$20:J$47,$B$20:$B$47,$A102,$A$20:$A$47,Graphs!$B$1)</f>
        <v>51.605107437327959</v>
      </c>
      <c r="H102" s="27">
        <f>SUMIFS(K$20:K$47,$B$20:$B$47,$A102,$A$20:$A$47,Graphs!$B$1)</f>
        <v>35.980009521515782</v>
      </c>
      <c r="I102" s="27">
        <f>SUMIFS(L$20:L$47,$B$20:$B$47,$A102,$A$20:$A$47,Graphs!$B$1)</f>
        <v>260.78184402662134</v>
      </c>
      <c r="J102" s="27">
        <f>SUMIFS(M$20:M$47,$B$20:$B$47,$A102,$A$20:$A$47,Graphs!$B$1)</f>
        <v>139.08554799405104</v>
      </c>
      <c r="K102" s="27">
        <f>SUMIFS(N$20:N$47,$B$20:$B$47,$A102,$A$20:$A$47,Graphs!$B$1)</f>
        <v>1528.6555326867647</v>
      </c>
      <c r="L102" s="27">
        <f>SUMIFS(O$20:O$47,$B$20:$B$47,$A102,$A$20:$A$47,Graphs!$B$1)</f>
        <v>2751.579958836176</v>
      </c>
    </row>
    <row r="103" spans="1:12">
      <c r="A103" s="558">
        <f t="shared" si="3"/>
        <v>2045</v>
      </c>
      <c r="B103" s="27">
        <f>IF(Graphs!$B$11=TRUE,SUMIFS(E$20:E$47,$B$20:$B$47,$A103,$A$20:$A$47,Graphs!$B$1),0)</f>
        <v>123.93043808470853</v>
      </c>
      <c r="C103" s="27">
        <f>SUMIFS(F$20:F$47,$B$20:$B$47,$A103,$A$20:$A$47,Graphs!$B$1)</f>
        <v>75.473144100037459</v>
      </c>
      <c r="D103" s="27">
        <f>SUMIFS(G$20:G$47,$B$20:$B$47,$A103,$A$20:$A$47,Graphs!$B$1)</f>
        <v>64.144604907176301</v>
      </c>
      <c r="E103" s="27">
        <f>SUMIFS(H$20:H$47,$B$20:$B$47,$A103,$A$20:$A$47,Graphs!$B$1)</f>
        <v>16.739092989180101</v>
      </c>
      <c r="F103" s="27">
        <f>SUMIFS(I$20:I$47,$B$20:$B$47,$A103,$A$20:$A$47,Graphs!$B$1)</f>
        <v>127.97886889474218</v>
      </c>
      <c r="G103" s="27">
        <f>SUMIFS(J$20:J$47,$B$20:$B$47,$A103,$A$20:$A$47,Graphs!$B$1)</f>
        <v>23.613720431211437</v>
      </c>
      <c r="H103" s="27">
        <f>SUMIFS(K$20:K$47,$B$20:$B$47,$A103,$A$20:$A$47,Graphs!$B$1)</f>
        <v>41.064358189607468</v>
      </c>
      <c r="I103" s="27">
        <f>SUMIFS(L$20:L$47,$B$20:$B$47,$A103,$A$20:$A$47,Graphs!$B$1)</f>
        <v>145.77310879471074</v>
      </c>
      <c r="J103" s="27">
        <f>SUMIFS(M$20:M$47,$B$20:$B$47,$A103,$A$20:$A$47,Graphs!$B$1)</f>
        <v>101.38054431502491</v>
      </c>
      <c r="K103" s="27">
        <f>SUMIFS(N$20:N$47,$B$20:$B$47,$A103,$A$20:$A$47,Graphs!$B$1)</f>
        <v>853.80045256571657</v>
      </c>
      <c r="L103" s="27">
        <f>SUMIFS(O$20:O$47,$B$20:$B$47,$A103,$A$20:$A$47,Graphs!$B$1)</f>
        <v>3927.4820818022954</v>
      </c>
    </row>
    <row r="104" spans="1:12">
      <c r="A104" s="558">
        <f t="shared" si="3"/>
        <v>2050</v>
      </c>
      <c r="B104" s="27">
        <f>IF(Graphs!$B$11=TRUE,SUMIFS(E$20:E$47,$B$20:$B$47,$A104,$A$20:$A$47,Graphs!$B$1),0)</f>
        <v>0</v>
      </c>
      <c r="C104" s="27">
        <f>SUMIFS(F$20:F$47,$B$20:$B$47,$A104,$A$20:$A$47,Graphs!$B$1)</f>
        <v>-4.117889563065708E-15</v>
      </c>
      <c r="D104" s="27">
        <f>SUMIFS(G$20:G$47,$B$20:$B$47,$A104,$A$20:$A$47,Graphs!$B$1)</f>
        <v>2.6076720181670496E-16</v>
      </c>
      <c r="E104" s="27">
        <f>SUMIFS(H$20:H$47,$B$20:$B$47,$A104,$A$20:$A$47,Graphs!$B$1)</f>
        <v>8.6668752107907471E-18</v>
      </c>
      <c r="F104" s="27">
        <f>SUMIFS(I$20:I$47,$B$20:$B$47,$A104,$A$20:$A$47,Graphs!$B$1)</f>
        <v>-6.8974728491544307E-17</v>
      </c>
      <c r="G104" s="27">
        <f>SUMIFS(J$20:J$47,$B$20:$B$47,$A104,$A$20:$A$47,Graphs!$B$1)</f>
        <v>-2.6715649732828938E-15</v>
      </c>
      <c r="H104" s="27">
        <f>SUMIFS(K$20:K$47,$B$20:$B$47,$A104,$A$20:$A$47,Graphs!$B$1)</f>
        <v>49.493860721511567</v>
      </c>
      <c r="I104" s="27">
        <f>SUMIFS(L$20:L$47,$B$20:$B$47,$A104,$A$20:$A$47,Graphs!$B$1)</f>
        <v>48.879772461524176</v>
      </c>
      <c r="J104" s="27">
        <f>SUMIFS(M$20:M$47,$B$20:$B$47,$A104,$A$20:$A$47,Graphs!$B$1)</f>
        <v>74.586411862148211</v>
      </c>
      <c r="K104" s="27">
        <f>SUMIFS(N$20:N$47,$B$20:$B$47,$A104,$A$20:$A$47,Graphs!$B$1)</f>
        <v>0</v>
      </c>
      <c r="L104" s="27">
        <f>SUMIFS(O$20:O$47,$B$20:$B$47,$A104,$A$20:$A$47,Graphs!$B$1)</f>
        <v>5666.6662882040609</v>
      </c>
    </row>
    <row r="139" spans="1:14">
      <c r="A139" s="106" t="s">
        <v>178</v>
      </c>
      <c r="B139" s="107"/>
      <c r="C139" s="107"/>
      <c r="D139" s="107"/>
      <c r="E139" s="107"/>
      <c r="F139" s="107"/>
      <c r="G139" s="107"/>
      <c r="H139" s="107"/>
      <c r="I139" s="107"/>
      <c r="J139" s="107"/>
      <c r="K139" s="107"/>
      <c r="L139" s="107"/>
      <c r="M139" s="107"/>
      <c r="N139" s="107"/>
    </row>
    <row r="141" spans="1:14" ht="45">
      <c r="A141" s="1039" t="s">
        <v>179</v>
      </c>
      <c r="B141" s="101" t="s">
        <v>39</v>
      </c>
      <c r="C141" s="101" t="s">
        <v>40</v>
      </c>
      <c r="D141" s="101" t="s">
        <v>41</v>
      </c>
      <c r="E141" s="101" t="s">
        <v>42</v>
      </c>
      <c r="F141" s="101" t="s">
        <v>43</v>
      </c>
      <c r="G141" s="101" t="s">
        <v>44</v>
      </c>
      <c r="H141" s="101" t="s">
        <v>45</v>
      </c>
      <c r="I141" s="101" t="s">
        <v>46</v>
      </c>
      <c r="J141" s="101" t="s">
        <v>47</v>
      </c>
      <c r="K141" s="101" t="s">
        <v>48</v>
      </c>
      <c r="L141" s="101" t="s">
        <v>49</v>
      </c>
      <c r="M141" s="101" t="s">
        <v>50</v>
      </c>
      <c r="N141" s="101" t="s">
        <v>83</v>
      </c>
    </row>
    <row r="142" spans="1:14">
      <c r="A142" s="558">
        <f>B20</f>
        <v>2022</v>
      </c>
      <c r="B142" s="27">
        <f>SUMIFS(P$20:P$47,$B$20:$B$47,$A142,$A$20:$A$47,Graphs!$B$1)</f>
        <v>27.712755965472951</v>
      </c>
      <c r="C142" s="27">
        <f>SUMIFS(Q$20:Q$47,$B$20:$B$47,$A142,$A$20:$A$47,Graphs!$B$1)</f>
        <v>38.878111985514025</v>
      </c>
      <c r="D142" s="27">
        <f>SUMIFS(R$20:R$47,$B$20:$B$47,$A142,$A$20:$A$47,Graphs!$B$1)</f>
        <v>43.37513021971759</v>
      </c>
      <c r="E142" s="27">
        <f>SUMIFS(S$20:S$47,$B$20:$B$47,$A142,$A$20:$A$47,Graphs!$B$1)</f>
        <v>19.056713406575177</v>
      </c>
      <c r="F142" s="27">
        <f>SUMIFS(T$20:T$47,$B$20:$B$47,$A142,$A$20:$A$47,Graphs!$B$1)</f>
        <v>87.2870817207329</v>
      </c>
      <c r="G142" s="27">
        <f>SUMIFS(U$20:U$47,$B$20:$B$47,$A142,$A$20:$A$47,Graphs!$B$1)</f>
        <v>74.549183929656337</v>
      </c>
      <c r="H142" s="27">
        <f>SUMIFS(V$20:V$47,$B$20:$B$47,$A142,$A$20:$A$47,Graphs!$B$1)</f>
        <v>0</v>
      </c>
      <c r="I142" s="27">
        <f>SUMIFS(W$20:W$47,$B$20:$B$47,$A142,$A$20:$A$47,Graphs!$B$1)</f>
        <v>103.79119287184345</v>
      </c>
      <c r="J142" s="27">
        <f>SUMIFS(X$20:X$47,$B$20:$B$47,$A142,$A$20:$A$47,Graphs!$B$1)</f>
        <v>428.14245240809367</v>
      </c>
      <c r="K142" s="27">
        <f>SUMIFS(Y$20:Y$47,$B$20:$B$47,$A142,$A$20:$A$47,Graphs!$B$1)</f>
        <v>0</v>
      </c>
      <c r="L142" s="27">
        <f>SUMIFS(Z$20:Z$47,$B$20:$B$47,$A142,$A$20:$A$47,Graphs!$B$1)</f>
        <v>0</v>
      </c>
      <c r="M142" s="27">
        <f>SUMIFS(AA$20:AA$47,$B$20:$B$47,$A142,$A$20:$A$47,Graphs!$B$1)</f>
        <v>0</v>
      </c>
      <c r="N142" s="27">
        <f>SUMIFS(AB$20:AB$47,$B$20:$B$47,$A142,$A$20:$A$47,Graphs!$B$1)</f>
        <v>51.023556416088191</v>
      </c>
    </row>
    <row r="143" spans="1:14">
      <c r="A143" s="558">
        <f t="shared" ref="A143:A148" si="4">B21</f>
        <v>2025</v>
      </c>
      <c r="B143" s="27">
        <f>SUMIFS(P$20:P$47,$B$20:$B$47,$A143,$A$20:$A$47,Graphs!$B$1)</f>
        <v>29.825623207726178</v>
      </c>
      <c r="C143" s="27">
        <f>SUMIFS(Q$20:Q$47,$B$20:$B$47,$A143,$A$20:$A$47,Graphs!$B$1)</f>
        <v>39.382964448186677</v>
      </c>
      <c r="D143" s="27">
        <f>SUMIFS(R$20:R$47,$B$20:$B$47,$A143,$A$20:$A$47,Graphs!$B$1)</f>
        <v>43.43530892262892</v>
      </c>
      <c r="E143" s="27">
        <f>SUMIFS(S$20:S$47,$B$20:$B$47,$A143,$A$20:$A$47,Graphs!$B$1)</f>
        <v>19.11650934847291</v>
      </c>
      <c r="F143" s="27">
        <f>SUMIFS(T$20:T$47,$B$20:$B$47,$A143,$A$20:$A$47,Graphs!$B$1)</f>
        <v>92.29548384680318</v>
      </c>
      <c r="G143" s="27">
        <f>SUMIFS(U$20:U$47,$B$20:$B$47,$A143,$A$20:$A$47,Graphs!$B$1)</f>
        <v>77.978782848250887</v>
      </c>
      <c r="H143" s="27">
        <f>SUMIFS(V$20:V$47,$B$20:$B$47,$A143,$A$20:$A$47,Graphs!$B$1)</f>
        <v>0</v>
      </c>
      <c r="I143" s="27">
        <f>SUMIFS(W$20:W$47,$B$20:$B$47,$A143,$A$20:$A$47,Graphs!$B$1)</f>
        <v>108.46351541925993</v>
      </c>
      <c r="J143" s="27">
        <f>SUMIFS(X$20:X$47,$B$20:$B$47,$A143,$A$20:$A$47,Graphs!$B$1)</f>
        <v>432.8480261668102</v>
      </c>
      <c r="K143" s="27">
        <f>SUMIFS(Y$20:Y$47,$B$20:$B$47,$A143,$A$20:$A$47,Graphs!$B$1)</f>
        <v>0</v>
      </c>
      <c r="L143" s="27">
        <f>SUMIFS(Z$20:Z$47,$B$20:$B$47,$A143,$A$20:$A$47,Graphs!$B$1)</f>
        <v>0</v>
      </c>
      <c r="M143" s="27">
        <f>SUMIFS(AA$20:AA$47,$B$20:$B$47,$A143,$A$20:$A$47,Graphs!$B$1)</f>
        <v>0</v>
      </c>
      <c r="N143" s="27">
        <f>SUMIFS(AB$20:AB$47,$B$20:$B$47,$A143,$A$20:$A$47,Graphs!$B$1)</f>
        <v>50.79693229268122</v>
      </c>
    </row>
    <row r="144" spans="1:14">
      <c r="A144" s="558">
        <f t="shared" si="4"/>
        <v>2030</v>
      </c>
      <c r="B144" s="27">
        <f>SUMIFS(P$20:P$47,$B$20:$B$47,$A144,$A$20:$A$47,Graphs!$B$1)</f>
        <v>28.799682570544551</v>
      </c>
      <c r="C144" s="27">
        <f>SUMIFS(Q$20:Q$47,$B$20:$B$47,$A144,$A$20:$A$47,Graphs!$B$1)</f>
        <v>22.89525674893105</v>
      </c>
      <c r="D144" s="27">
        <f>SUMIFS(R$20:R$47,$B$20:$B$47,$A144,$A$20:$A$47,Graphs!$B$1)</f>
        <v>22.396785882396319</v>
      </c>
      <c r="E144" s="27">
        <f>SUMIFS(S$20:S$47,$B$20:$B$47,$A144,$A$20:$A$47,Graphs!$B$1)</f>
        <v>10.348849316225936</v>
      </c>
      <c r="F144" s="27">
        <f>SUMIFS(T$20:T$47,$B$20:$B$47,$A144,$A$20:$A$47,Graphs!$B$1)</f>
        <v>55.792414970681229</v>
      </c>
      <c r="G144" s="27">
        <f>SUMIFS(U$20:U$47,$B$20:$B$47,$A144,$A$20:$A$47,Graphs!$B$1)</f>
        <v>48.510273099449364</v>
      </c>
      <c r="H144" s="27">
        <f>SUMIFS(V$20:V$47,$B$20:$B$47,$A144,$A$20:$A$47,Graphs!$B$1)</f>
        <v>0.24945596864696704</v>
      </c>
      <c r="I144" s="27">
        <f>SUMIFS(W$20:W$47,$B$20:$B$47,$A144,$A$20:$A$47,Graphs!$B$1)</f>
        <v>102.02830836628814</v>
      </c>
      <c r="J144" s="27">
        <f>SUMIFS(X$20:X$47,$B$20:$B$47,$A144,$A$20:$A$47,Graphs!$B$1)</f>
        <v>478.02834319615533</v>
      </c>
      <c r="K144" s="27">
        <f>SUMIFS(Y$20:Y$47,$B$20:$B$47,$A144,$A$20:$A$47,Graphs!$B$1)</f>
        <v>35.890424623188508</v>
      </c>
      <c r="L144" s="27">
        <f>SUMIFS(Z$20:Z$47,$B$20:$B$47,$A144,$A$20:$A$47,Graphs!$B$1)</f>
        <v>1.9644111848952068</v>
      </c>
      <c r="M144" s="27">
        <f>SUMIFS(AA$20:AA$47,$B$20:$B$47,$A144,$A$20:$A$47,Graphs!$B$1)</f>
        <v>13.374639635747013</v>
      </c>
      <c r="N144" s="27">
        <f>SUMIFS(AB$20:AB$47,$B$20:$B$47,$A144,$A$20:$A$47,Graphs!$B$1)</f>
        <v>30.818716202636125</v>
      </c>
    </row>
    <row r="145" spans="1:14">
      <c r="A145" s="558">
        <f t="shared" si="4"/>
        <v>2035</v>
      </c>
      <c r="B145" s="27">
        <f>SUMIFS(P$20:P$47,$B$20:$B$47,$A145,$A$20:$A$47,Graphs!$B$1)</f>
        <v>26.858910634169391</v>
      </c>
      <c r="C145" s="27">
        <f>SUMIFS(Q$20:Q$47,$B$20:$B$47,$A145,$A$20:$A$47,Graphs!$B$1)</f>
        <v>13.477353505653966</v>
      </c>
      <c r="D145" s="27">
        <f>SUMIFS(R$20:R$47,$B$20:$B$47,$A145,$A$20:$A$47,Graphs!$B$1)</f>
        <v>11.879519971694855</v>
      </c>
      <c r="E145" s="27">
        <f>SUMIFS(S$20:S$47,$B$20:$B$47,$A145,$A$20:$A$47,Graphs!$B$1)</f>
        <v>5.8937774756363446</v>
      </c>
      <c r="F145" s="27">
        <f>SUMIFS(T$20:T$47,$B$20:$B$47,$A145,$A$20:$A$47,Graphs!$B$1)</f>
        <v>32.691633666020536</v>
      </c>
      <c r="G145" s="27">
        <f>SUMIFS(U$20:U$47,$B$20:$B$47,$A145,$A$20:$A$47,Graphs!$B$1)</f>
        <v>30.208114311938772</v>
      </c>
      <c r="H145" s="27">
        <f>SUMIFS(V$20:V$47,$B$20:$B$47,$A145,$A$20:$A$47,Graphs!$B$1)</f>
        <v>0.77064657406543169</v>
      </c>
      <c r="I145" s="27">
        <f>SUMIFS(W$20:W$47,$B$20:$B$47,$A145,$A$20:$A$47,Graphs!$B$1)</f>
        <v>99.41596501731415</v>
      </c>
      <c r="J145" s="27">
        <f>SUMIFS(X$20:X$47,$B$20:$B$47,$A145,$A$20:$A$47,Graphs!$B$1)</f>
        <v>498.21813258586934</v>
      </c>
      <c r="K145" s="27">
        <f>SUMIFS(Y$20:Y$47,$B$20:$B$47,$A145,$A$20:$A$47,Graphs!$B$1)</f>
        <v>70.881068989271768</v>
      </c>
      <c r="L145" s="27">
        <f>SUMIFS(Z$20:Z$47,$B$20:$B$47,$A145,$A$20:$A$47,Graphs!$B$1)</f>
        <v>5.2304586633507277</v>
      </c>
      <c r="M145" s="27">
        <f>SUMIFS(AA$20:AA$47,$B$20:$B$47,$A145,$A$20:$A$47,Graphs!$B$1)</f>
        <v>19.182213574183631</v>
      </c>
      <c r="N145" s="27">
        <f>SUMIFS(AB$20:AB$47,$B$20:$B$47,$A145,$A$20:$A$47,Graphs!$B$1)</f>
        <v>29.63549215944747</v>
      </c>
    </row>
    <row r="146" spans="1:14">
      <c r="A146" s="558">
        <f t="shared" si="4"/>
        <v>2040</v>
      </c>
      <c r="B146" s="27">
        <f>SUMIFS(P$20:P$47,$B$20:$B$47,$A146,$A$20:$A$47,Graphs!$B$1)</f>
        <v>21.494752130683139</v>
      </c>
      <c r="C146" s="27">
        <f>SUMIFS(Q$20:Q$47,$B$20:$B$47,$A146,$A$20:$A$47,Graphs!$B$1)</f>
        <v>6.8105312715369495</v>
      </c>
      <c r="D146" s="27">
        <f>SUMIFS(R$20:R$47,$B$20:$B$47,$A146,$A$20:$A$47,Graphs!$B$1)</f>
        <v>5.3935005035534846</v>
      </c>
      <c r="E146" s="27">
        <f>SUMIFS(S$20:S$47,$B$20:$B$47,$A146,$A$20:$A$47,Graphs!$B$1)</f>
        <v>3.007475779201088</v>
      </c>
      <c r="F146" s="27">
        <f>SUMIFS(T$20:T$47,$B$20:$B$47,$A146,$A$20:$A$47,Graphs!$B$1)</f>
        <v>14.857574916043404</v>
      </c>
      <c r="G146" s="27">
        <f>SUMIFS(U$20:U$47,$B$20:$B$47,$A146,$A$20:$A$47,Graphs!$B$1)</f>
        <v>15.758870424591661</v>
      </c>
      <c r="H146" s="27">
        <f>SUMIFS(V$20:V$47,$B$20:$B$47,$A146,$A$20:$A$47,Graphs!$B$1)</f>
        <v>1.8606194582160078</v>
      </c>
      <c r="I146" s="27">
        <f>SUMIFS(W$20:W$47,$B$20:$B$47,$A146,$A$20:$A$47,Graphs!$B$1)</f>
        <v>97.64751447762977</v>
      </c>
      <c r="J146" s="27">
        <f>SUMIFS(X$20:X$47,$B$20:$B$47,$A146,$A$20:$A$47,Graphs!$B$1)</f>
        <v>505.63389897645084</v>
      </c>
      <c r="K146" s="27">
        <f>SUMIFS(Y$20:Y$47,$B$20:$B$47,$A146,$A$20:$A$47,Graphs!$B$1)</f>
        <v>109.91242518752004</v>
      </c>
      <c r="L146" s="27">
        <f>SUMIFS(Z$20:Z$47,$B$20:$B$47,$A146,$A$20:$A$47,Graphs!$B$1)</f>
        <v>10.713269282893371</v>
      </c>
      <c r="M146" s="27">
        <f>SUMIFS(AA$20:AA$47,$B$20:$B$47,$A146,$A$20:$A$47,Graphs!$B$1)</f>
        <v>21.018120467978981</v>
      </c>
      <c r="N146" s="27">
        <f>SUMIFS(AB$20:AB$47,$B$20:$B$47,$A146,$A$20:$A$47,Graphs!$B$1)</f>
        <v>21.689993407629004</v>
      </c>
    </row>
    <row r="147" spans="1:14">
      <c r="A147" s="558">
        <f t="shared" si="4"/>
        <v>2045</v>
      </c>
      <c r="B147" s="27">
        <f>SUMIFS(P$20:P$47,$B$20:$B$47,$A147,$A$20:$A$47,Graphs!$B$1)</f>
        <v>14.154861249248953</v>
      </c>
      <c r="C147" s="27">
        <f>SUMIFS(Q$20:Q$47,$B$20:$B$47,$A147,$A$20:$A$47,Graphs!$B$1)</f>
        <v>3.1876609013943678</v>
      </c>
      <c r="D147" s="27">
        <f>SUMIFS(R$20:R$47,$B$20:$B$47,$A147,$A$20:$A$47,Graphs!$B$1)</f>
        <v>2.2563492592289585</v>
      </c>
      <c r="E147" s="27">
        <f>SUMIFS(S$20:S$47,$B$20:$B$47,$A147,$A$20:$A$47,Graphs!$B$1)</f>
        <v>1.4286122737999551</v>
      </c>
      <c r="F147" s="27">
        <f>SUMIFS(T$20:T$47,$B$20:$B$47,$A147,$A$20:$A$47,Graphs!$B$1)</f>
        <v>6.8286230726429684</v>
      </c>
      <c r="G147" s="27">
        <f>SUMIFS(U$20:U$47,$B$20:$B$47,$A147,$A$20:$A$47,Graphs!$B$1)</f>
        <v>7.5836845434434546</v>
      </c>
      <c r="H147" s="27">
        <f>SUMIFS(V$20:V$47,$B$20:$B$47,$A147,$A$20:$A$47,Graphs!$B$1)</f>
        <v>3.3771626759349287</v>
      </c>
      <c r="I147" s="27">
        <f>SUMIFS(W$20:W$47,$B$20:$B$47,$A147,$A$20:$A$47,Graphs!$B$1)</f>
        <v>99.359629396512091</v>
      </c>
      <c r="J147" s="27">
        <f>SUMIFS(X$20:X$47,$B$20:$B$47,$A147,$A$20:$A$47,Graphs!$B$1)</f>
        <v>510.43162075631164</v>
      </c>
      <c r="K147" s="27">
        <f>SUMIFS(Y$20:Y$47,$B$20:$B$47,$A147,$A$20:$A$47,Graphs!$B$1)</f>
        <v>143.382471409825</v>
      </c>
      <c r="L147" s="27">
        <f>SUMIFS(Z$20:Z$47,$B$20:$B$47,$A147,$A$20:$A$47,Graphs!$B$1)</f>
        <v>16.151583295416479</v>
      </c>
      <c r="M147" s="27">
        <f>SUMIFS(AA$20:AA$47,$B$20:$B$47,$A147,$A$20:$A$47,Graphs!$B$1)</f>
        <v>23.129325973473374</v>
      </c>
      <c r="N147" s="27">
        <f>SUMIFS(AB$20:AB$47,$B$20:$B$47,$A147,$A$20:$A$47,Graphs!$B$1)</f>
        <v>14.334494926383865</v>
      </c>
    </row>
    <row r="148" spans="1:14">
      <c r="A148" s="558">
        <f t="shared" si="4"/>
        <v>2050</v>
      </c>
      <c r="B148" s="27">
        <f>SUMIFS(P$20:P$47,$B$20:$B$47,$A148,$A$20:$A$47,Graphs!$B$1)</f>
        <v>0</v>
      </c>
      <c r="C148" s="27">
        <f>SUMIFS(Q$20:Q$47,$B$20:$B$47,$A148,$A$20:$A$47,Graphs!$B$1)</f>
        <v>-1.7847486923343906E-16</v>
      </c>
      <c r="D148" s="27">
        <f>SUMIFS(R$20:R$47,$B$20:$B$47,$A148,$A$20:$A$47,Graphs!$B$1)</f>
        <v>9.4128656745045811E-18</v>
      </c>
      <c r="E148" s="27">
        <f>SUMIFS(S$20:S$47,$B$20:$B$47,$A148,$A$20:$A$47,Graphs!$B$1)</f>
        <v>7.5904531248493316E-19</v>
      </c>
      <c r="F148" s="27">
        <f>SUMIFS(T$20:T$47,$B$20:$B$47,$A148,$A$20:$A$47,Graphs!$B$1)</f>
        <v>-1.8859444934494797E-17</v>
      </c>
      <c r="G148" s="27">
        <f>SUMIFS(U$20:U$47,$B$20:$B$47,$A148,$A$20:$A$47,Graphs!$B$1)</f>
        <v>-9.001503379690622E-16</v>
      </c>
      <c r="H148" s="27">
        <f>SUMIFS(V$20:V$47,$B$20:$B$47,$A148,$A$20:$A$47,Graphs!$B$1)</f>
        <v>6.0230984915298027</v>
      </c>
      <c r="I148" s="27">
        <f>SUMIFS(W$20:W$47,$B$20:$B$47,$A148,$A$20:$A$47,Graphs!$B$1)</f>
        <v>103.03437395349235</v>
      </c>
      <c r="J148" s="27">
        <f>SUMIFS(X$20:X$47,$B$20:$B$47,$A148,$A$20:$A$47,Graphs!$B$1)</f>
        <v>519.88993691138444</v>
      </c>
      <c r="K148" s="27">
        <f>SUMIFS(Y$20:Y$47,$B$20:$B$47,$A148,$A$20:$A$47,Graphs!$B$1)</f>
        <v>188.56278190568412</v>
      </c>
      <c r="L148" s="27">
        <f>SUMIFS(Z$20:Z$47,$B$20:$B$47,$A148,$A$20:$A$47,Graphs!$B$1)</f>
        <v>23.231305995961616</v>
      </c>
      <c r="M148" s="27">
        <f>SUMIFS(AA$20:AA$47,$B$20:$B$47,$A148,$A$20:$A$47,Graphs!$B$1)</f>
        <v>25.915772704742512</v>
      </c>
      <c r="N148" s="27">
        <f>SUMIFS(AB$20:AB$47,$B$20:$B$47,$A148,$A$20:$A$47,Graphs!$B$1)</f>
        <v>2.4746930360755783</v>
      </c>
    </row>
  </sheetData>
  <pageMargins left="0.7" right="0.7" top="0.75" bottom="0.75" header="0.3" footer="0.3"/>
  <headerFooter>
    <oddFooter>&amp;R_x000D_&amp;1#&amp;"Aptos"&amp;10&amp;K000000 Official Use Only</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CAB0F-4180-4F21-BFE2-4EA3ED42F746}">
  <dimension ref="A1:D17"/>
  <sheetViews>
    <sheetView workbookViewId="0">
      <selection activeCell="A3" sqref="A3"/>
    </sheetView>
  </sheetViews>
  <sheetFormatPr defaultRowHeight="15"/>
  <cols>
    <col min="1" max="1" width="34.42578125" customWidth="1"/>
    <col min="2" max="2" width="9.28515625" bestFit="1" customWidth="1"/>
    <col min="4" max="4" width="30.42578125" customWidth="1"/>
  </cols>
  <sheetData>
    <row r="1" spans="1:4">
      <c r="A1" s="23" t="s">
        <v>1718</v>
      </c>
    </row>
    <row r="2" spans="1:4">
      <c r="A2" s="23" t="s">
        <v>1719</v>
      </c>
    </row>
    <row r="3" spans="1:4">
      <c r="B3" t="s">
        <v>1720</v>
      </c>
      <c r="C3" t="s">
        <v>1721</v>
      </c>
      <c r="D3" t="s">
        <v>1722</v>
      </c>
    </row>
    <row r="4" spans="1:4">
      <c r="A4" t="s">
        <v>17</v>
      </c>
    </row>
    <row r="5" spans="1:4">
      <c r="A5" s="706" t="s">
        <v>1723</v>
      </c>
      <c r="B5" s="1015">
        <f>'Steel Cost Model-China'!D135</f>
        <v>342.61961328441492</v>
      </c>
      <c r="C5" s="1015">
        <v>276.3</v>
      </c>
    </row>
    <row r="6" spans="1:4">
      <c r="A6" s="706" t="s">
        <v>1724</v>
      </c>
      <c r="B6" s="1024">
        <f>'Cement Cost Model-China'!C146</f>
        <v>361.43443820537533</v>
      </c>
      <c r="C6" s="1015">
        <v>391.5</v>
      </c>
      <c r="D6" s="50">
        <f>B6/C6</f>
        <v>0.92320418443263175</v>
      </c>
    </row>
    <row r="7" spans="1:4">
      <c r="D7" s="50"/>
    </row>
    <row r="8" spans="1:4">
      <c r="A8" t="s">
        <v>142</v>
      </c>
      <c r="B8" s="1015"/>
      <c r="C8" s="1015"/>
    </row>
    <row r="9" spans="1:4">
      <c r="A9" s="706" t="s">
        <v>1723</v>
      </c>
      <c r="B9" s="1015">
        <f>'Steel Cost Model-Indonesia'!D137</f>
        <v>34.419776601872485</v>
      </c>
      <c r="C9" s="1015">
        <v>31.4</v>
      </c>
    </row>
    <row r="10" spans="1:4">
      <c r="A10" s="706" t="s">
        <v>465</v>
      </c>
      <c r="B10" s="1015">
        <f>'Cement Cost Model-Indonesia'!C107</f>
        <v>25.979157358863016</v>
      </c>
      <c r="C10" s="1015">
        <v>32.6</v>
      </c>
      <c r="D10" s="50">
        <f>B10/C10</f>
        <v>0.79690666744978578</v>
      </c>
    </row>
    <row r="12" spans="1:4">
      <c r="A12" t="s">
        <v>166</v>
      </c>
      <c r="B12" s="1015"/>
      <c r="C12" s="1015"/>
    </row>
    <row r="13" spans="1:4">
      <c r="A13" s="706" t="s">
        <v>1723</v>
      </c>
      <c r="B13" s="576">
        <f>'Steel Cost Model-Vietnam'!D139</f>
        <v>8.2728177948874766</v>
      </c>
      <c r="C13" s="576">
        <v>8.3000000000000007</v>
      </c>
    </row>
    <row r="14" spans="1:4">
      <c r="A14" s="706" t="s">
        <v>465</v>
      </c>
      <c r="B14" s="1024">
        <f>'Cement Cost Model-Vietnam'!C107</f>
        <v>42.594752441840285</v>
      </c>
      <c r="C14" s="1015">
        <v>47.2</v>
      </c>
      <c r="D14" s="50">
        <f>B14/C14</f>
        <v>0.90243119580170095</v>
      </c>
    </row>
    <row r="16" spans="1:4">
      <c r="A16" t="s">
        <v>17</v>
      </c>
    </row>
    <row r="17" spans="1:4" ht="90">
      <c r="A17" s="706" t="s">
        <v>1725</v>
      </c>
      <c r="B17" s="498">
        <f>'Cement Cost Model-China'!C165</f>
        <v>159.64598152155264</v>
      </c>
      <c r="D17" s="33" t="s">
        <v>1726</v>
      </c>
    </row>
  </sheetData>
  <pageMargins left="0.7" right="0.7" top="0.75" bottom="0.75" header="0.3" footer="0.3"/>
  <headerFooter>
    <oddFooter>&amp;R_x000D_&amp;1#&amp;"Aptos"&amp;10&amp;K000000 Official Use Only</oddFooter>
  </headerFooter>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463B1-431C-4A55-8388-14AEE5C1056B}">
  <dimension ref="A1:E95"/>
  <sheetViews>
    <sheetView topLeftCell="A33" zoomScale="115" zoomScaleNormal="115" workbookViewId="0">
      <selection activeCell="B63" sqref="B63"/>
    </sheetView>
  </sheetViews>
  <sheetFormatPr defaultRowHeight="15"/>
  <cols>
    <col min="1" max="1" width="41" customWidth="1"/>
    <col min="2" max="2" width="27.5703125" customWidth="1"/>
    <col min="3" max="3" width="23.5703125" customWidth="1"/>
    <col min="4" max="4" width="21.140625" customWidth="1"/>
  </cols>
  <sheetData>
    <row r="1" spans="1:3">
      <c r="A1" s="45" t="s">
        <v>1727</v>
      </c>
      <c r="B1" s="51"/>
      <c r="C1" s="51"/>
    </row>
    <row r="2" spans="1:3">
      <c r="A2" s="502" t="s">
        <v>1728</v>
      </c>
    </row>
    <row r="3" spans="1:3">
      <c r="A3" s="58" t="s">
        <v>1729</v>
      </c>
    </row>
    <row r="5" spans="1:3">
      <c r="A5" s="24" t="s">
        <v>1730</v>
      </c>
      <c r="B5" s="25"/>
      <c r="C5" s="25"/>
    </row>
    <row r="6" spans="1:3">
      <c r="A6" t="s">
        <v>1731</v>
      </c>
      <c r="B6">
        <v>394</v>
      </c>
      <c r="C6" t="s">
        <v>565</v>
      </c>
    </row>
    <row r="7" spans="1:3">
      <c r="A7" t="s">
        <v>1732</v>
      </c>
      <c r="B7">
        <v>925793</v>
      </c>
      <c r="C7" t="s">
        <v>1733</v>
      </c>
    </row>
    <row r="8" spans="1:3">
      <c r="B8" s="501">
        <f>B7/10^6</f>
        <v>0.92579299999999998</v>
      </c>
      <c r="C8" t="s">
        <v>1734</v>
      </c>
    </row>
    <row r="9" spans="1:3">
      <c r="B9" s="827">
        <f>B6/B8</f>
        <v>425.58109642220239</v>
      </c>
      <c r="C9" t="s">
        <v>1735</v>
      </c>
    </row>
    <row r="10" spans="1:3">
      <c r="B10">
        <v>1.21</v>
      </c>
      <c r="C10" t="s">
        <v>1736</v>
      </c>
    </row>
    <row r="11" spans="1:3">
      <c r="B11" s="793">
        <f>B9*B10</f>
        <v>514.95312667086489</v>
      </c>
      <c r="C11" t="s">
        <v>1737</v>
      </c>
    </row>
    <row r="12" spans="1:3">
      <c r="B12" s="827"/>
    </row>
    <row r="13" spans="1:3">
      <c r="A13" s="24" t="s">
        <v>1738</v>
      </c>
      <c r="B13" s="25"/>
      <c r="C13" s="25"/>
    </row>
    <row r="14" spans="1:3">
      <c r="A14" t="s">
        <v>1739</v>
      </c>
      <c r="B14">
        <f>1064</f>
        <v>1064</v>
      </c>
      <c r="C14" t="s">
        <v>565</v>
      </c>
    </row>
    <row r="15" spans="1:3">
      <c r="A15" t="s">
        <v>1740</v>
      </c>
      <c r="B15">
        <v>2860681</v>
      </c>
      <c r="C15" t="s">
        <v>1733</v>
      </c>
    </row>
    <row r="16" spans="1:3">
      <c r="B16" s="501">
        <f>B15/10^6</f>
        <v>2.860681</v>
      </c>
      <c r="C16" t="s">
        <v>1734</v>
      </c>
    </row>
    <row r="17" spans="1:3">
      <c r="B17" s="827">
        <f>B14/B16</f>
        <v>371.93940883307158</v>
      </c>
      <c r="C17" t="s">
        <v>1735</v>
      </c>
    </row>
    <row r="18" spans="1:3">
      <c r="B18">
        <v>1.21</v>
      </c>
      <c r="C18" t="s">
        <v>1736</v>
      </c>
    </row>
    <row r="19" spans="1:3">
      <c r="B19" s="793">
        <f>B17*B18</f>
        <v>450.04668468801663</v>
      </c>
      <c r="C19" t="s">
        <v>1737</v>
      </c>
    </row>
    <row r="21" spans="1:3">
      <c r="A21" s="23" t="s">
        <v>1741</v>
      </c>
      <c r="B21" s="793">
        <f>AVERAGE(B11,B19)</f>
        <v>482.49990567944076</v>
      </c>
      <c r="C21" t="s">
        <v>1737</v>
      </c>
    </row>
    <row r="24" spans="1:3">
      <c r="A24" s="45" t="s">
        <v>1742</v>
      </c>
      <c r="B24" s="51"/>
      <c r="C24" s="51"/>
    </row>
    <row r="25" spans="1:3">
      <c r="A25" s="502" t="s">
        <v>1743</v>
      </c>
    </row>
    <row r="27" spans="1:3">
      <c r="A27" s="58" t="s">
        <v>1744</v>
      </c>
    </row>
    <row r="29" spans="1:3">
      <c r="A29" t="s">
        <v>1745</v>
      </c>
      <c r="B29">
        <v>13952</v>
      </c>
      <c r="C29" t="s">
        <v>1746</v>
      </c>
    </row>
    <row r="30" spans="1:3">
      <c r="A30" t="s">
        <v>1747</v>
      </c>
      <c r="B30">
        <f>B29*365</f>
        <v>5092480</v>
      </c>
      <c r="C30" t="s">
        <v>1733</v>
      </c>
    </row>
    <row r="32" spans="1:3">
      <c r="A32" t="s">
        <v>1748</v>
      </c>
      <c r="B32">
        <v>78</v>
      </c>
      <c r="C32" t="s">
        <v>1749</v>
      </c>
    </row>
    <row r="33" spans="1:4">
      <c r="A33" t="s">
        <v>1748</v>
      </c>
      <c r="B33" s="27">
        <f>B32*10^6/B30</f>
        <v>15.316702274726655</v>
      </c>
      <c r="C33" t="s">
        <v>1750</v>
      </c>
    </row>
    <row r="34" spans="1:4">
      <c r="B34">
        <v>1.21</v>
      </c>
      <c r="C34" t="s">
        <v>1736</v>
      </c>
    </row>
    <row r="35" spans="1:4">
      <c r="B35" s="793">
        <f>B33*B34</f>
        <v>18.533209752419253</v>
      </c>
      <c r="C35" t="s">
        <v>1737</v>
      </c>
    </row>
    <row r="39" spans="1:4">
      <c r="A39" s="45" t="s">
        <v>1751</v>
      </c>
      <c r="B39" s="51"/>
      <c r="C39" s="51"/>
    </row>
    <row r="40" spans="1:4">
      <c r="A40" s="502" t="s">
        <v>1743</v>
      </c>
    </row>
    <row r="42" spans="1:4">
      <c r="A42" s="58" t="s">
        <v>1752</v>
      </c>
    </row>
    <row r="43" spans="1:4">
      <c r="A43" s="58" t="s">
        <v>1753</v>
      </c>
    </row>
    <row r="44" spans="1:4">
      <c r="A44" s="58" t="s">
        <v>1754</v>
      </c>
    </row>
    <row r="46" spans="1:4" ht="30">
      <c r="A46" s="23" t="s">
        <v>1755</v>
      </c>
      <c r="B46" s="101" t="s">
        <v>1756</v>
      </c>
      <c r="C46" s="101" t="s">
        <v>1757</v>
      </c>
      <c r="D46" s="101" t="s">
        <v>1758</v>
      </c>
    </row>
    <row r="47" spans="1:4">
      <c r="A47" t="s">
        <v>1759</v>
      </c>
      <c r="B47" s="828">
        <v>8.32</v>
      </c>
      <c r="C47" s="61">
        <v>0.114</v>
      </c>
      <c r="D47" s="828">
        <f>B47*C47</f>
        <v>0.9484800000000001</v>
      </c>
    </row>
    <row r="48" spans="1:4">
      <c r="A48" t="s">
        <v>1760</v>
      </c>
      <c r="B48" s="828">
        <v>8.66</v>
      </c>
      <c r="C48" s="61">
        <v>0.11899999999999999</v>
      </c>
      <c r="D48" s="828">
        <f t="shared" ref="D48:D50" si="0">B48*C48</f>
        <v>1.03054</v>
      </c>
    </row>
    <row r="49" spans="1:4">
      <c r="A49" t="s">
        <v>1761</v>
      </c>
      <c r="B49" s="828">
        <v>12.98</v>
      </c>
      <c r="C49" s="61">
        <v>0.13600000000000001</v>
      </c>
      <c r="D49" s="828">
        <f t="shared" si="0"/>
        <v>1.7652800000000002</v>
      </c>
    </row>
    <row r="50" spans="1:4">
      <c r="A50" t="s">
        <v>1762</v>
      </c>
      <c r="B50" s="828">
        <v>19.84</v>
      </c>
      <c r="C50" s="61">
        <v>0.27400000000000002</v>
      </c>
      <c r="D50" s="828">
        <f t="shared" si="0"/>
        <v>5.4361600000000001</v>
      </c>
    </row>
    <row r="52" spans="1:4">
      <c r="A52" t="s">
        <v>1763</v>
      </c>
      <c r="B52" s="501">
        <f>AVERAGE(D47:D50)</f>
        <v>2.295115</v>
      </c>
      <c r="C52" t="s">
        <v>1764</v>
      </c>
    </row>
    <row r="54" spans="1:4">
      <c r="A54" s="58" t="s">
        <v>1765</v>
      </c>
    </row>
    <row r="55" spans="1:4">
      <c r="A55" s="58" t="s">
        <v>1766</v>
      </c>
    </row>
    <row r="56" spans="1:4">
      <c r="A56" s="58" t="s">
        <v>1767</v>
      </c>
    </row>
    <row r="57" spans="1:4">
      <c r="A57" s="58" t="s">
        <v>1768</v>
      </c>
    </row>
    <row r="59" spans="1:4">
      <c r="A59" t="s">
        <v>1769</v>
      </c>
      <c r="B59">
        <v>30</v>
      </c>
      <c r="C59" t="s">
        <v>1134</v>
      </c>
    </row>
    <row r="61" spans="1:4" ht="30">
      <c r="A61" s="33" t="s">
        <v>1770</v>
      </c>
      <c r="B61" s="27">
        <f>B52*B59</f>
        <v>68.853449999999995</v>
      </c>
      <c r="C61" t="s">
        <v>1750</v>
      </c>
    </row>
    <row r="62" spans="1:4">
      <c r="B62">
        <v>1.21</v>
      </c>
      <c r="C62" t="s">
        <v>1736</v>
      </c>
    </row>
    <row r="63" spans="1:4">
      <c r="B63" s="793">
        <f>B61*B62</f>
        <v>83.312674499999986</v>
      </c>
      <c r="C63" t="s">
        <v>1737</v>
      </c>
    </row>
    <row r="68" spans="1:5">
      <c r="A68" s="45" t="s">
        <v>1771</v>
      </c>
      <c r="B68" s="51"/>
      <c r="C68" s="51"/>
      <c r="D68" s="51"/>
      <c r="E68" s="51"/>
    </row>
    <row r="71" spans="1:5">
      <c r="A71" s="972" t="s">
        <v>1772</v>
      </c>
      <c r="B71" s="537"/>
      <c r="C71" s="537"/>
    </row>
    <row r="73" spans="1:5">
      <c r="A73" s="1206" t="s">
        <v>1773</v>
      </c>
      <c r="B73" s="1221">
        <v>2030</v>
      </c>
      <c r="C73" s="1221" t="s">
        <v>1774</v>
      </c>
      <c r="D73" s="1221" t="s">
        <v>116</v>
      </c>
      <c r="E73" s="1222" t="s">
        <v>1775</v>
      </c>
    </row>
    <row r="74" spans="1:5">
      <c r="A74" s="22" t="s">
        <v>17</v>
      </c>
      <c r="B74" s="591">
        <f>'Steel Cost Model-China'!H133</f>
        <v>851.35676561646346</v>
      </c>
      <c r="C74" s="591">
        <f>'Steel Cost Model-China'!I133</f>
        <v>789.97400440390072</v>
      </c>
      <c r="D74" t="s">
        <v>1419</v>
      </c>
      <c r="E74" s="595" t="s">
        <v>1776</v>
      </c>
    </row>
    <row r="75" spans="1:5">
      <c r="A75" s="22" t="s">
        <v>142</v>
      </c>
      <c r="B75" s="591">
        <f>'Steel Cost Model-Indonesia'!H149</f>
        <v>528.90011223344572</v>
      </c>
      <c r="C75" s="591">
        <f>'Steel Cost Model-Indonesia'!I149</f>
        <v>600.52910052910067</v>
      </c>
      <c r="D75" t="s">
        <v>1419</v>
      </c>
      <c r="E75" s="595"/>
    </row>
    <row r="76" spans="1:5">
      <c r="A76" s="22" t="s">
        <v>166</v>
      </c>
      <c r="B76" s="591">
        <f>'Steel Cost Model-Vietnam'!H140</f>
        <v>458.05500000000012</v>
      </c>
      <c r="C76" s="591">
        <f>'Steel Cost Model-Vietnam'!I140</f>
        <v>386.49375000000003</v>
      </c>
      <c r="D76" t="s">
        <v>1419</v>
      </c>
      <c r="E76" s="595" t="s">
        <v>1777</v>
      </c>
    </row>
    <row r="77" spans="1:5">
      <c r="A77" s="22"/>
      <c r="E77" s="595"/>
    </row>
    <row r="78" spans="1:5">
      <c r="A78" s="1206" t="s">
        <v>1778</v>
      </c>
      <c r="B78" s="1221">
        <v>2030</v>
      </c>
      <c r="C78" s="1221" t="s">
        <v>1774</v>
      </c>
      <c r="D78" s="1221" t="s">
        <v>116</v>
      </c>
      <c r="E78" s="1222" t="s">
        <v>1775</v>
      </c>
    </row>
    <row r="79" spans="1:5">
      <c r="A79" s="22" t="s">
        <v>17</v>
      </c>
      <c r="B79" s="591">
        <f>AVERAGE('Cement Cost Model-China'!O139,'Cement Cost Model-China'!O159)</f>
        <v>471.73489278752436</v>
      </c>
      <c r="C79" s="591">
        <f>AVERAGE('Cement Cost Model-China'!P139,'Cement Cost Model-China'!P159)</f>
        <v>503.44322552482572</v>
      </c>
      <c r="D79" t="s">
        <v>1419</v>
      </c>
      <c r="E79" s="595" t="s">
        <v>1779</v>
      </c>
    </row>
    <row r="80" spans="1:5">
      <c r="A80" s="22" t="s">
        <v>142</v>
      </c>
      <c r="B80" s="591">
        <f>'Cement Cost Model-Indonesia'!G112</f>
        <v>632.95418649805049</v>
      </c>
      <c r="C80" s="591">
        <f>'Cement Cost Model-Indonesia'!H112</f>
        <v>669.48308337942319</v>
      </c>
      <c r="D80" t="s">
        <v>1419</v>
      </c>
      <c r="E80" s="595"/>
    </row>
    <row r="81" spans="1:5">
      <c r="A81" s="31" t="s">
        <v>166</v>
      </c>
      <c r="B81" s="593">
        <f>'Cement Cost Model-Vietnam'!G113</f>
        <v>509.25925925925918</v>
      </c>
      <c r="C81" s="593">
        <f>'Cement Cost Model-Vietnam'!H113</f>
        <v>653.51165980795611</v>
      </c>
      <c r="D81" s="523" t="s">
        <v>1419</v>
      </c>
      <c r="E81" s="605"/>
    </row>
    <row r="83" spans="1:5">
      <c r="A83" t="s">
        <v>1780</v>
      </c>
    </row>
    <row r="84" spans="1:5">
      <c r="A84" t="s">
        <v>1781</v>
      </c>
    </row>
    <row r="85" spans="1:5">
      <c r="A85" t="s">
        <v>1782</v>
      </c>
    </row>
    <row r="86" spans="1:5">
      <c r="A86" t="s">
        <v>1783</v>
      </c>
    </row>
    <row r="87" spans="1:5">
      <c r="A87" t="s">
        <v>1784</v>
      </c>
    </row>
    <row r="89" spans="1:5">
      <c r="A89" t="s">
        <v>1785</v>
      </c>
      <c r="B89" s="793">
        <f>SUM(B19,B35,B63)</f>
        <v>551.89256894043581</v>
      </c>
      <c r="C89" t="s">
        <v>1786</v>
      </c>
    </row>
    <row r="90" spans="1:5">
      <c r="A90" t="s">
        <v>1787</v>
      </c>
      <c r="B90" s="793">
        <f>SUM(B11,B35,B63)</f>
        <v>616.79901092328407</v>
      </c>
      <c r="C90" t="s">
        <v>1786</v>
      </c>
    </row>
    <row r="92" spans="1:5">
      <c r="A92" t="s">
        <v>1788</v>
      </c>
      <c r="B92" s="970">
        <f>AVERAGE(B74:C76)</f>
        <v>602.55145546381846</v>
      </c>
    </row>
    <row r="93" spans="1:5">
      <c r="A93" t="s">
        <v>1789</v>
      </c>
      <c r="B93" s="970">
        <f>AVERAGE(B79:C81)</f>
        <v>573.39771787617315</v>
      </c>
    </row>
    <row r="95" spans="1:5">
      <c r="A95" t="s">
        <v>1790</v>
      </c>
    </row>
  </sheetData>
  <pageMargins left="0.7" right="0.7" top="0.75" bottom="0.75" header="0.3" footer="0.3"/>
  <headerFooter>
    <oddFooter>&amp;R_x000D_&amp;1#&amp;"Aptos"&amp;10&amp;K000000 Official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EB9D9-4C55-4AFD-AE6C-2CD805117F71}">
  <dimension ref="A1:E87"/>
  <sheetViews>
    <sheetView zoomScale="130" zoomScaleNormal="130" workbookViewId="0">
      <pane ySplit="1" topLeftCell="A2" activePane="bottomLeft" state="frozen"/>
      <selection pane="bottomLeft"/>
    </sheetView>
  </sheetViews>
  <sheetFormatPr defaultRowHeight="15"/>
  <cols>
    <col min="1" max="1" width="59.5703125" customWidth="1"/>
    <col min="2" max="2" width="9.7109375" customWidth="1"/>
    <col min="3" max="3" width="21.28515625" style="49" customWidth="1"/>
    <col min="4" max="4" width="12.5703125" style="49" customWidth="1"/>
  </cols>
  <sheetData>
    <row r="1" spans="1:5">
      <c r="A1" s="24" t="s">
        <v>265</v>
      </c>
      <c r="B1" s="57" t="s">
        <v>1791</v>
      </c>
      <c r="C1" s="48" t="s">
        <v>116</v>
      </c>
      <c r="D1" s="48" t="s">
        <v>1443</v>
      </c>
      <c r="E1" s="24" t="s">
        <v>505</v>
      </c>
    </row>
    <row r="3" spans="1:5">
      <c r="A3" s="535" t="s">
        <v>1792</v>
      </c>
    </row>
    <row r="4" spans="1:5">
      <c r="A4" t="s">
        <v>1793</v>
      </c>
      <c r="B4">
        <v>13.3</v>
      </c>
      <c r="C4" s="49" t="s">
        <v>1794</v>
      </c>
      <c r="D4" s="49">
        <v>20</v>
      </c>
    </row>
    <row r="5" spans="1:5">
      <c r="A5" t="s">
        <v>1795</v>
      </c>
      <c r="B5">
        <v>12.6</v>
      </c>
      <c r="C5" s="49" t="s">
        <v>1794</v>
      </c>
      <c r="D5" s="49">
        <v>20</v>
      </c>
    </row>
    <row r="6" spans="1:5">
      <c r="A6" t="s">
        <v>1796</v>
      </c>
      <c r="B6" s="50">
        <v>0.67</v>
      </c>
      <c r="C6" s="49" t="s">
        <v>282</v>
      </c>
      <c r="D6" s="49">
        <v>20</v>
      </c>
    </row>
    <row r="7" spans="1:5">
      <c r="A7" t="s">
        <v>1797</v>
      </c>
      <c r="B7" s="790">
        <v>2.2999999999999998</v>
      </c>
      <c r="C7" s="49" t="s">
        <v>1794</v>
      </c>
      <c r="D7" s="49">
        <v>6</v>
      </c>
      <c r="E7" t="s">
        <v>1798</v>
      </c>
    </row>
    <row r="9" spans="1:5">
      <c r="A9" s="535" t="s">
        <v>1799</v>
      </c>
    </row>
    <row r="11" spans="1:5">
      <c r="A11" t="s">
        <v>1800</v>
      </c>
      <c r="B11" s="46">
        <v>0.57999999999999996</v>
      </c>
      <c r="C11" s="49" t="s">
        <v>282</v>
      </c>
      <c r="D11" s="49">
        <v>6</v>
      </c>
      <c r="E11" t="s">
        <v>1801</v>
      </c>
    </row>
    <row r="12" spans="1:5">
      <c r="A12" t="s">
        <v>1802</v>
      </c>
      <c r="B12" s="46">
        <v>0.33</v>
      </c>
      <c r="C12" s="49" t="s">
        <v>282</v>
      </c>
      <c r="D12" s="49">
        <v>6</v>
      </c>
      <c r="E12" t="s">
        <v>1801</v>
      </c>
    </row>
    <row r="13" spans="1:5">
      <c r="A13" t="s">
        <v>1803</v>
      </c>
      <c r="B13" s="46">
        <v>0.09</v>
      </c>
      <c r="C13" s="49" t="s">
        <v>282</v>
      </c>
      <c r="D13" s="49">
        <v>6</v>
      </c>
      <c r="E13" t="s">
        <v>1801</v>
      </c>
    </row>
    <row r="15" spans="1:5">
      <c r="A15" s="535" t="s">
        <v>1804</v>
      </c>
    </row>
    <row r="16" spans="1:5">
      <c r="A16" t="s">
        <v>1805</v>
      </c>
      <c r="B16" s="46">
        <v>0.76</v>
      </c>
      <c r="C16" s="49" t="s">
        <v>282</v>
      </c>
      <c r="D16" s="49">
        <v>73</v>
      </c>
      <c r="E16" t="s">
        <v>1806</v>
      </c>
    </row>
    <row r="18" spans="1:5">
      <c r="A18" s="535" t="s">
        <v>1514</v>
      </c>
    </row>
    <row r="19" spans="1:5">
      <c r="A19" t="s">
        <v>1807</v>
      </c>
      <c r="B19" s="50">
        <v>0.2</v>
      </c>
      <c r="C19" s="49" t="s">
        <v>282</v>
      </c>
      <c r="D19" s="49">
        <v>22</v>
      </c>
    </row>
    <row r="20" spans="1:5">
      <c r="A20" t="s">
        <v>1808</v>
      </c>
      <c r="B20" s="46">
        <v>0.9</v>
      </c>
      <c r="C20" s="49" t="s">
        <v>282</v>
      </c>
      <c r="D20" s="49">
        <v>6</v>
      </c>
      <c r="E20" t="s">
        <v>1809</v>
      </c>
    </row>
    <row r="22" spans="1:5">
      <c r="A22" s="23" t="s">
        <v>1810</v>
      </c>
    </row>
    <row r="23" spans="1:5">
      <c r="A23" s="58"/>
      <c r="B23" s="537" t="s">
        <v>1811</v>
      </c>
      <c r="C23" s="549"/>
      <c r="D23" s="549"/>
    </row>
    <row r="24" spans="1:5">
      <c r="A24" t="s">
        <v>1812</v>
      </c>
      <c r="B24" s="27">
        <f>AVERAGE(935,1177,1177,808,820,1378,808,1378,1049)</f>
        <v>1058.8888888888889</v>
      </c>
      <c r="C24" s="49" t="s">
        <v>1813</v>
      </c>
      <c r="D24" s="49">
        <v>44</v>
      </c>
    </row>
    <row r="25" spans="1:5" ht="30">
      <c r="A25" s="33" t="s">
        <v>1814</v>
      </c>
      <c r="B25" s="27">
        <f>AVERAGE(1843,2599,2160,1422,1717,2626,1422,2626,2061)</f>
        <v>2052.8888888888887</v>
      </c>
      <c r="C25" s="49" t="s">
        <v>1813</v>
      </c>
      <c r="D25" s="49">
        <v>44</v>
      </c>
    </row>
    <row r="26" spans="1:5">
      <c r="A26" t="s">
        <v>1815</v>
      </c>
      <c r="B26" s="50">
        <f>(B25-B24)/B24</f>
        <v>0.93871983210912879</v>
      </c>
      <c r="C26" s="49" t="s">
        <v>282</v>
      </c>
      <c r="D26" s="49">
        <v>44</v>
      </c>
    </row>
    <row r="28" spans="1:5">
      <c r="A28" s="535" t="s">
        <v>1816</v>
      </c>
    </row>
    <row r="30" spans="1:5">
      <c r="A30" t="s">
        <v>1817</v>
      </c>
    </row>
    <row r="31" spans="1:5">
      <c r="A31" t="s">
        <v>1818</v>
      </c>
    </row>
    <row r="32" spans="1:5">
      <c r="A32" t="s">
        <v>1819</v>
      </c>
    </row>
    <row r="33" spans="1:5">
      <c r="A33" t="s">
        <v>1820</v>
      </c>
    </row>
    <row r="35" spans="1:5">
      <c r="A35" t="s">
        <v>1821</v>
      </c>
      <c r="B35">
        <v>2.31</v>
      </c>
      <c r="C35" s="49" t="s">
        <v>1822</v>
      </c>
      <c r="D35" s="49">
        <v>54</v>
      </c>
      <c r="E35" t="s">
        <v>1823</v>
      </c>
    </row>
    <row r="36" spans="1:5">
      <c r="A36" t="s">
        <v>1824</v>
      </c>
      <c r="B36">
        <v>2.46</v>
      </c>
      <c r="C36" s="49" t="s">
        <v>1822</v>
      </c>
      <c r="D36" s="49">
        <v>54</v>
      </c>
      <c r="E36" t="s">
        <v>1825</v>
      </c>
    </row>
    <row r="37" spans="1:5">
      <c r="A37" t="s">
        <v>1826</v>
      </c>
      <c r="B37">
        <v>0.96</v>
      </c>
      <c r="C37" s="49" t="s">
        <v>1822</v>
      </c>
      <c r="D37" s="49">
        <v>54</v>
      </c>
    </row>
    <row r="39" spans="1:5">
      <c r="A39" t="s">
        <v>1827</v>
      </c>
      <c r="B39" s="501">
        <f>B35*'Unit Conversions'!$E$13</f>
        <v>1.04779752</v>
      </c>
      <c r="C39" s="49" t="s">
        <v>1828</v>
      </c>
    </row>
    <row r="40" spans="1:5">
      <c r="A40" t="s">
        <v>1829</v>
      </c>
      <c r="B40" s="501">
        <f>B36*'Unit Conversions'!$E$13</f>
        <v>1.1158363199999999</v>
      </c>
      <c r="C40" s="49" t="s">
        <v>1828</v>
      </c>
    </row>
    <row r="41" spans="1:5">
      <c r="A41" t="s">
        <v>1830</v>
      </c>
      <c r="B41" s="501">
        <f>B37*'Unit Conversions'!$E$13</f>
        <v>0.43544832</v>
      </c>
      <c r="C41" s="49" t="s">
        <v>1828</v>
      </c>
    </row>
    <row r="43" spans="1:5">
      <c r="A43" t="s">
        <v>1831</v>
      </c>
      <c r="B43" s="974">
        <f>B39/10^9/'Unit Conversions'!$E$6</f>
        <v>0.29106295170517488</v>
      </c>
      <c r="C43" s="49" t="s">
        <v>326</v>
      </c>
    </row>
    <row r="44" spans="1:5">
      <c r="A44" t="s">
        <v>1832</v>
      </c>
      <c r="B44" s="974">
        <f>B40/10^9/'Unit Conversions'!$E$6</f>
        <v>0.30996314337434205</v>
      </c>
      <c r="C44" s="49" t="s">
        <v>326</v>
      </c>
    </row>
    <row r="45" spans="1:5">
      <c r="A45" t="s">
        <v>1833</v>
      </c>
      <c r="B45" s="974">
        <f>B41/10^9/'Unit Conversions'!$E$6</f>
        <v>0.12096122668267008</v>
      </c>
      <c r="C45" s="49" t="s">
        <v>326</v>
      </c>
    </row>
    <row r="48" spans="1:5">
      <c r="A48" s="535" t="s">
        <v>1834</v>
      </c>
    </row>
    <row r="50" spans="1:5">
      <c r="A50" t="s">
        <v>1835</v>
      </c>
      <c r="B50">
        <v>29.8</v>
      </c>
      <c r="C50" s="49" t="s">
        <v>1836</v>
      </c>
      <c r="D50" s="49">
        <v>57</v>
      </c>
      <c r="E50" t="s">
        <v>1837</v>
      </c>
    </row>
    <row r="52" spans="1:5">
      <c r="A52" t="s">
        <v>1838</v>
      </c>
      <c r="B52">
        <v>18</v>
      </c>
      <c r="C52" s="49" t="s">
        <v>1839</v>
      </c>
      <c r="D52" s="49">
        <v>56</v>
      </c>
      <c r="E52" t="s">
        <v>1840</v>
      </c>
    </row>
    <row r="53" spans="1:5">
      <c r="A53" t="s">
        <v>1841</v>
      </c>
      <c r="B53">
        <v>2.5</v>
      </c>
      <c r="C53" s="49" t="s">
        <v>1839</v>
      </c>
      <c r="D53" s="49">
        <v>56</v>
      </c>
      <c r="E53" t="s">
        <v>1842</v>
      </c>
    </row>
    <row r="54" spans="1:5">
      <c r="A54" t="s">
        <v>1843</v>
      </c>
      <c r="B54">
        <v>0.67</v>
      </c>
      <c r="C54" s="49" t="s">
        <v>1844</v>
      </c>
      <c r="D54" s="49">
        <v>56</v>
      </c>
    </row>
    <row r="55" spans="1:5">
      <c r="A55" t="s">
        <v>1845</v>
      </c>
      <c r="B55">
        <f>SUM(B52:B53)*B54</f>
        <v>13.735000000000001</v>
      </c>
      <c r="C55" s="49" t="s">
        <v>1846</v>
      </c>
    </row>
    <row r="56" spans="1:5">
      <c r="A56" t="s">
        <v>1845</v>
      </c>
      <c r="B56" s="27">
        <f>B55*B50</f>
        <v>409.30300000000005</v>
      </c>
      <c r="C56" s="49" t="s">
        <v>1847</v>
      </c>
    </row>
    <row r="58" spans="1:5">
      <c r="A58" t="s">
        <v>1848</v>
      </c>
      <c r="B58">
        <v>1.2</v>
      </c>
      <c r="C58" s="49" t="s">
        <v>1839</v>
      </c>
      <c r="D58" s="49">
        <v>56</v>
      </c>
      <c r="E58" t="s">
        <v>1849</v>
      </c>
    </row>
    <row r="59" spans="1:5">
      <c r="A59" t="s">
        <v>1850</v>
      </c>
      <c r="B59">
        <v>0.1</v>
      </c>
      <c r="C59" s="49" t="s">
        <v>1839</v>
      </c>
      <c r="D59" s="49">
        <v>56</v>
      </c>
      <c r="E59" t="s">
        <v>1842</v>
      </c>
    </row>
    <row r="60" spans="1:5">
      <c r="A60" t="s">
        <v>1843</v>
      </c>
      <c r="B60">
        <v>0.67</v>
      </c>
      <c r="C60" s="49" t="s">
        <v>1844</v>
      </c>
      <c r="D60" s="49">
        <v>56</v>
      </c>
    </row>
    <row r="61" spans="1:5">
      <c r="A61" t="s">
        <v>1851</v>
      </c>
      <c r="B61">
        <f>SUM(B58:B59)*B60</f>
        <v>0.87100000000000011</v>
      </c>
      <c r="C61" s="49" t="s">
        <v>1846</v>
      </c>
    </row>
    <row r="62" spans="1:5">
      <c r="A62" t="s">
        <v>1851</v>
      </c>
      <c r="B62" s="27">
        <f>B50*B61</f>
        <v>25.955800000000004</v>
      </c>
      <c r="C62" s="49" t="s">
        <v>1847</v>
      </c>
    </row>
    <row r="64" spans="1:5">
      <c r="A64" t="s">
        <v>1852</v>
      </c>
      <c r="B64">
        <v>9448</v>
      </c>
      <c r="C64" s="49" t="s">
        <v>1853</v>
      </c>
      <c r="D64" s="49">
        <v>63</v>
      </c>
    </row>
    <row r="65" spans="1:5">
      <c r="A65" t="s">
        <v>1852</v>
      </c>
      <c r="B65" s="27">
        <f>B64/'Unit Conversions'!E13</f>
        <v>20829.291521896332</v>
      </c>
      <c r="C65" s="49" t="s">
        <v>1854</v>
      </c>
    </row>
    <row r="66" spans="1:5">
      <c r="A66" t="s">
        <v>1852</v>
      </c>
      <c r="B66">
        <f>B65*10^3</f>
        <v>20829291.521896333</v>
      </c>
      <c r="C66" s="49" t="s">
        <v>1855</v>
      </c>
    </row>
    <row r="67" spans="1:5">
      <c r="A67" t="s">
        <v>1852</v>
      </c>
      <c r="B67">
        <f>B66*'Unit Conversions'!E5</f>
        <v>21976152.185542356</v>
      </c>
      <c r="C67" s="49" t="s">
        <v>1856</v>
      </c>
    </row>
    <row r="68" spans="1:5">
      <c r="A68" t="s">
        <v>1852</v>
      </c>
      <c r="B68" s="997">
        <f>B67/10^12</f>
        <v>2.1976152185542357E-5</v>
      </c>
      <c r="C68" s="49" t="s">
        <v>1857</v>
      </c>
    </row>
    <row r="70" spans="1:5">
      <c r="A70" t="s">
        <v>1858</v>
      </c>
      <c r="B70" s="997">
        <f>B56/B68</f>
        <v>18624871.021291517</v>
      </c>
      <c r="C70" s="49" t="s">
        <v>1859</v>
      </c>
    </row>
    <row r="71" spans="1:5">
      <c r="A71" t="s">
        <v>1858</v>
      </c>
      <c r="B71" s="824">
        <f>B70/10^9</f>
        <v>1.8624871021291518E-2</v>
      </c>
      <c r="C71" s="49" t="s">
        <v>625</v>
      </c>
    </row>
    <row r="73" spans="1:5">
      <c r="A73" t="s">
        <v>1860</v>
      </c>
      <c r="B73" s="546">
        <f>B62/B68</f>
        <v>1181089.3818379985</v>
      </c>
      <c r="C73" s="49" t="s">
        <v>1859</v>
      </c>
    </row>
    <row r="74" spans="1:5">
      <c r="A74" t="s">
        <v>1860</v>
      </c>
      <c r="B74" s="824">
        <f>B73/10^9</f>
        <v>1.1810893818379985E-3</v>
      </c>
      <c r="C74" s="49" t="s">
        <v>625</v>
      </c>
    </row>
    <row r="76" spans="1:5">
      <c r="A76" s="535" t="s">
        <v>1861</v>
      </c>
    </row>
    <row r="78" spans="1:5">
      <c r="A78" t="s">
        <v>1862</v>
      </c>
      <c r="B78" s="794">
        <v>2.9499999999999998E-2</v>
      </c>
      <c r="C78" s="49" t="s">
        <v>282</v>
      </c>
      <c r="D78" s="49">
        <v>55</v>
      </c>
      <c r="E78" t="s">
        <v>1863</v>
      </c>
    </row>
    <row r="79" spans="1:5">
      <c r="E79" s="58" t="s">
        <v>1864</v>
      </c>
    </row>
    <row r="81" spans="1:4">
      <c r="A81" t="s">
        <v>1865</v>
      </c>
      <c r="B81">
        <f>B78</f>
        <v>2.9499999999999998E-2</v>
      </c>
      <c r="C81" s="49" t="s">
        <v>1866</v>
      </c>
    </row>
    <row r="83" spans="1:4">
      <c r="A83" t="s">
        <v>1867</v>
      </c>
      <c r="B83">
        <v>50</v>
      </c>
      <c r="C83" s="49" t="s">
        <v>1122</v>
      </c>
      <c r="D83" s="998" t="s">
        <v>1123</v>
      </c>
    </row>
    <row r="84" spans="1:4">
      <c r="A84" t="s">
        <v>1867</v>
      </c>
      <c r="B84">
        <f>B83</f>
        <v>50</v>
      </c>
      <c r="C84" s="49" t="s">
        <v>1868</v>
      </c>
    </row>
    <row r="86" spans="1:4">
      <c r="A86" t="s">
        <v>1869</v>
      </c>
      <c r="B86">
        <f>B81/B84</f>
        <v>5.8999999999999992E-4</v>
      </c>
      <c r="C86" s="49" t="s">
        <v>1870</v>
      </c>
    </row>
    <row r="87" spans="1:4">
      <c r="A87" t="s">
        <v>1871</v>
      </c>
      <c r="B87" s="824">
        <f>B86*B50</f>
        <v>1.7581999999999997E-2</v>
      </c>
      <c r="C87" s="49" t="s">
        <v>628</v>
      </c>
    </row>
  </sheetData>
  <hyperlinks>
    <hyperlink ref="D83" r:id="rId1" xr:uid="{8DD0DC7F-E68A-4619-96F7-13AEC399C75C}"/>
  </hyperlinks>
  <pageMargins left="0.7" right="0.7" top="0.75" bottom="0.75" header="0.3" footer="0.3"/>
  <headerFooter>
    <oddFooter>&amp;R_x000D_&amp;1#&amp;"Aptos"&amp;10&amp;K000000 Official Use Only</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4FAF7-2BCE-4AA2-869F-AB747659EE79}">
  <dimension ref="A1:U39"/>
  <sheetViews>
    <sheetView zoomScale="115" zoomScaleNormal="115" workbookViewId="0"/>
  </sheetViews>
  <sheetFormatPr defaultRowHeight="15"/>
  <cols>
    <col min="1" max="1" width="47.28515625" customWidth="1"/>
    <col min="2" max="2" width="25.7109375" customWidth="1"/>
    <col min="3" max="3" width="20.42578125" customWidth="1"/>
    <col min="4" max="8" width="15.85546875" customWidth="1"/>
    <col min="9" max="14" width="13.28515625" customWidth="1"/>
    <col min="16" max="21" width="12.42578125" customWidth="1"/>
  </cols>
  <sheetData>
    <row r="1" spans="1:21">
      <c r="A1" s="59" t="s">
        <v>1872</v>
      </c>
      <c r="B1" s="59"/>
      <c r="C1" s="59"/>
      <c r="D1" s="60"/>
      <c r="E1" s="60"/>
      <c r="F1" s="60"/>
      <c r="G1" s="60"/>
    </row>
    <row r="2" spans="1:21">
      <c r="A2" s="23" t="s">
        <v>1873</v>
      </c>
      <c r="B2" s="23"/>
      <c r="C2" s="23"/>
    </row>
    <row r="3" spans="1:21">
      <c r="D3" s="1142" t="s">
        <v>1874</v>
      </c>
      <c r="E3" s="1142"/>
      <c r="F3" s="1142"/>
      <c r="G3" s="1142"/>
      <c r="I3" s="24" t="s">
        <v>1875</v>
      </c>
      <c r="J3" s="25"/>
      <c r="K3" s="25"/>
      <c r="L3" s="25"/>
      <c r="M3" s="25"/>
      <c r="N3" s="25"/>
      <c r="P3" s="24" t="s">
        <v>1876</v>
      </c>
      <c r="Q3" s="25"/>
      <c r="R3" s="25"/>
      <c r="S3" s="25"/>
      <c r="T3" s="25"/>
      <c r="U3" s="25"/>
    </row>
    <row r="4" spans="1:21">
      <c r="B4" s="30" t="s">
        <v>1877</v>
      </c>
      <c r="C4" s="30" t="s">
        <v>1878</v>
      </c>
      <c r="D4" s="30" t="s">
        <v>1879</v>
      </c>
      <c r="E4" s="30" t="s">
        <v>1880</v>
      </c>
      <c r="F4" s="30" t="s">
        <v>1881</v>
      </c>
      <c r="G4" s="30" t="s">
        <v>1882</v>
      </c>
      <c r="I4" s="30" t="s">
        <v>448</v>
      </c>
      <c r="J4" s="30" t="s">
        <v>449</v>
      </c>
      <c r="K4" s="30" t="s">
        <v>450</v>
      </c>
      <c r="L4" s="30" t="s">
        <v>451</v>
      </c>
      <c r="M4" s="30" t="s">
        <v>452</v>
      </c>
      <c r="N4" s="30" t="s">
        <v>453</v>
      </c>
      <c r="P4" s="30" t="s">
        <v>448</v>
      </c>
      <c r="Q4" s="30" t="s">
        <v>449</v>
      </c>
      <c r="R4" s="30" t="s">
        <v>450</v>
      </c>
      <c r="S4" s="30" t="s">
        <v>451</v>
      </c>
      <c r="T4" s="30" t="s">
        <v>452</v>
      </c>
      <c r="U4" s="30" t="s">
        <v>453</v>
      </c>
    </row>
    <row r="5" spans="1:21">
      <c r="A5" t="s">
        <v>1883</v>
      </c>
      <c r="B5" s="46">
        <v>0.32</v>
      </c>
      <c r="C5" s="46">
        <v>0.17</v>
      </c>
      <c r="D5" s="46">
        <v>0.01</v>
      </c>
      <c r="E5" s="46">
        <v>0.13</v>
      </c>
      <c r="F5" s="46">
        <v>0.37</v>
      </c>
      <c r="G5" s="46">
        <v>0</v>
      </c>
      <c r="I5" s="50">
        <f>0.8*D5</f>
        <v>8.0000000000000002E-3</v>
      </c>
      <c r="J5" s="50">
        <f>0.2*D5+(1/6)*E5</f>
        <v>2.3666666666666669E-2</v>
      </c>
      <c r="K5" s="50">
        <f>0.5*E5</f>
        <v>6.5000000000000002E-2</v>
      </c>
      <c r="L5" s="50">
        <f>(1/3)*E5+0.25*F5</f>
        <v>0.13583333333333333</v>
      </c>
      <c r="M5" s="50">
        <f>0.75*F5</f>
        <v>0.27749999999999997</v>
      </c>
      <c r="N5" s="50">
        <f>G5</f>
        <v>0</v>
      </c>
      <c r="P5" s="50">
        <f t="shared" ref="P5:U5" si="0">I5/SUM($I5:$N5)</f>
        <v>1.5686274509803921E-2</v>
      </c>
      <c r="Q5" s="50">
        <f t="shared" si="0"/>
        <v>4.6405228758169936E-2</v>
      </c>
      <c r="R5" s="50">
        <f t="shared" si="0"/>
        <v>0.12745098039215685</v>
      </c>
      <c r="S5" s="50">
        <f t="shared" si="0"/>
        <v>0.26633986928104575</v>
      </c>
      <c r="T5" s="50">
        <f t="shared" si="0"/>
        <v>0.54411764705882348</v>
      </c>
      <c r="U5" s="50">
        <f t="shared" si="0"/>
        <v>0</v>
      </c>
    </row>
    <row r="6" spans="1:21">
      <c r="A6" t="s">
        <v>1884</v>
      </c>
      <c r="B6" s="46">
        <v>0.28000000000000003</v>
      </c>
      <c r="C6" s="46">
        <v>0.32</v>
      </c>
      <c r="D6" s="46">
        <v>0.04</v>
      </c>
      <c r="E6" s="46">
        <v>0.08</v>
      </c>
      <c r="F6" s="46">
        <v>0.05</v>
      </c>
      <c r="G6" s="46">
        <v>0.23</v>
      </c>
      <c r="I6" s="50">
        <f t="shared" ref="I6:I19" si="1">0.8*D6</f>
        <v>3.2000000000000001E-2</v>
      </c>
      <c r="J6" s="50">
        <f t="shared" ref="J6:J19" si="2">0.2*D6+(1/6)*E6</f>
        <v>2.1333333333333333E-2</v>
      </c>
      <c r="K6" s="50">
        <f t="shared" ref="K6:K19" si="3">0.5*E6</f>
        <v>0.04</v>
      </c>
      <c r="L6" s="50">
        <f t="shared" ref="L6:L19" si="4">(1/3)*E6+0.25*F6</f>
        <v>3.9166666666666669E-2</v>
      </c>
      <c r="M6" s="50">
        <f t="shared" ref="M6:M19" si="5">0.75*F6</f>
        <v>3.7500000000000006E-2</v>
      </c>
      <c r="N6" s="50">
        <f t="shared" ref="N6:N19" si="6">G6</f>
        <v>0.23</v>
      </c>
      <c r="P6" s="50">
        <f t="shared" ref="P6:P19" si="7">I6/SUM($I6:$N6)</f>
        <v>0.08</v>
      </c>
      <c r="Q6" s="50">
        <f t="shared" ref="Q6:Q19" si="8">J6/SUM($I6:$N6)</f>
        <v>5.333333333333333E-2</v>
      </c>
      <c r="R6" s="50">
        <f t="shared" ref="R6:R19" si="9">K6/SUM($I6:$N6)</f>
        <v>9.9999999999999992E-2</v>
      </c>
      <c r="S6" s="50">
        <f t="shared" ref="S6:S19" si="10">L6/SUM($I6:$N6)</f>
        <v>9.7916666666666666E-2</v>
      </c>
      <c r="T6" s="50">
        <f t="shared" ref="T6:T19" si="11">M6/SUM($I6:$N6)</f>
        <v>9.3750000000000014E-2</v>
      </c>
      <c r="U6" s="50">
        <f t="shared" ref="U6:U19" si="12">N6/SUM($I6:$N6)</f>
        <v>0.57499999999999996</v>
      </c>
    </row>
    <row r="7" spans="1:21">
      <c r="A7" t="s">
        <v>461</v>
      </c>
      <c r="B7" s="46">
        <v>0.35</v>
      </c>
      <c r="C7" s="46">
        <v>0.1</v>
      </c>
      <c r="D7" s="46">
        <v>0.26</v>
      </c>
      <c r="E7" s="46">
        <v>0.28999999999999998</v>
      </c>
      <c r="F7" s="46">
        <v>0</v>
      </c>
      <c r="G7" s="46">
        <v>0</v>
      </c>
      <c r="I7" s="50">
        <f t="shared" si="1"/>
        <v>0.20800000000000002</v>
      </c>
      <c r="J7" s="50">
        <f t="shared" si="2"/>
        <v>0.10033333333333333</v>
      </c>
      <c r="K7" s="50">
        <f t="shared" si="3"/>
        <v>0.14499999999999999</v>
      </c>
      <c r="L7" s="50">
        <f t="shared" si="4"/>
        <v>9.6666666666666651E-2</v>
      </c>
      <c r="M7" s="50">
        <f t="shared" si="5"/>
        <v>0</v>
      </c>
      <c r="N7" s="50">
        <f t="shared" si="6"/>
        <v>0</v>
      </c>
      <c r="P7" s="50">
        <f t="shared" si="7"/>
        <v>0.37818181818181817</v>
      </c>
      <c r="Q7" s="50">
        <f t="shared" si="8"/>
        <v>0.18242424242424241</v>
      </c>
      <c r="R7" s="50">
        <f t="shared" si="9"/>
        <v>0.26363636363636361</v>
      </c>
      <c r="S7" s="50">
        <f t="shared" si="10"/>
        <v>0.17575757575757572</v>
      </c>
      <c r="T7" s="50">
        <f t="shared" si="11"/>
        <v>0</v>
      </c>
      <c r="U7" s="50">
        <f t="shared" si="12"/>
        <v>0</v>
      </c>
    </row>
    <row r="8" spans="1:21">
      <c r="A8" t="s">
        <v>1885</v>
      </c>
      <c r="B8" s="46">
        <v>0.18</v>
      </c>
      <c r="C8" s="46">
        <v>0.5</v>
      </c>
      <c r="D8" s="46">
        <v>0</v>
      </c>
      <c r="E8" s="46">
        <v>0.19</v>
      </c>
      <c r="F8" s="46">
        <v>0.04</v>
      </c>
      <c r="G8" s="46">
        <v>0.09</v>
      </c>
      <c r="I8" s="50">
        <f t="shared" si="1"/>
        <v>0</v>
      </c>
      <c r="J8" s="50">
        <f t="shared" si="2"/>
        <v>3.1666666666666662E-2</v>
      </c>
      <c r="K8" s="50">
        <f t="shared" si="3"/>
        <v>9.5000000000000001E-2</v>
      </c>
      <c r="L8" s="50">
        <f t="shared" si="4"/>
        <v>7.333333333333332E-2</v>
      </c>
      <c r="M8" s="50">
        <f t="shared" si="5"/>
        <v>0.03</v>
      </c>
      <c r="N8" s="50">
        <f t="shared" si="6"/>
        <v>0.09</v>
      </c>
      <c r="P8" s="50">
        <f t="shared" si="7"/>
        <v>0</v>
      </c>
      <c r="Q8" s="50">
        <f t="shared" si="8"/>
        <v>9.8958333333333329E-2</v>
      </c>
      <c r="R8" s="50">
        <f t="shared" si="9"/>
        <v>0.29687500000000006</v>
      </c>
      <c r="S8" s="50">
        <f t="shared" si="10"/>
        <v>0.22916666666666666</v>
      </c>
      <c r="T8" s="50">
        <f t="shared" si="11"/>
        <v>9.3750000000000014E-2</v>
      </c>
      <c r="U8" s="50">
        <f t="shared" si="12"/>
        <v>0.28125000000000006</v>
      </c>
    </row>
    <row r="9" spans="1:21">
      <c r="A9" t="s">
        <v>1886</v>
      </c>
      <c r="B9" s="46">
        <v>0.28999999999999998</v>
      </c>
      <c r="C9" s="46">
        <v>0.03</v>
      </c>
      <c r="D9" s="46">
        <v>0.08</v>
      </c>
      <c r="E9" s="46">
        <v>0.6</v>
      </c>
      <c r="F9" s="46">
        <v>0</v>
      </c>
      <c r="G9" s="46">
        <v>0</v>
      </c>
      <c r="I9" s="50">
        <f t="shared" si="1"/>
        <v>6.4000000000000001E-2</v>
      </c>
      <c r="J9" s="50">
        <f t="shared" si="2"/>
        <v>0.11599999999999999</v>
      </c>
      <c r="K9" s="50">
        <f t="shared" si="3"/>
        <v>0.3</v>
      </c>
      <c r="L9" s="50">
        <f t="shared" si="4"/>
        <v>0.19999999999999998</v>
      </c>
      <c r="M9" s="50">
        <f t="shared" si="5"/>
        <v>0</v>
      </c>
      <c r="N9" s="50">
        <f t="shared" si="6"/>
        <v>0</v>
      </c>
      <c r="P9" s="50">
        <f t="shared" si="7"/>
        <v>9.4117647058823542E-2</v>
      </c>
      <c r="Q9" s="50">
        <f t="shared" si="8"/>
        <v>0.17058823529411765</v>
      </c>
      <c r="R9" s="50">
        <f t="shared" si="9"/>
        <v>0.44117647058823534</v>
      </c>
      <c r="S9" s="50">
        <f t="shared" si="10"/>
        <v>0.29411764705882354</v>
      </c>
      <c r="T9" s="50">
        <f t="shared" si="11"/>
        <v>0</v>
      </c>
      <c r="U9" s="50">
        <f t="shared" si="12"/>
        <v>0</v>
      </c>
    </row>
    <row r="10" spans="1:21">
      <c r="A10" t="s">
        <v>1887</v>
      </c>
      <c r="B10" s="46">
        <v>0.21</v>
      </c>
      <c r="C10" s="46">
        <v>0.14000000000000001</v>
      </c>
      <c r="D10" s="46">
        <v>0</v>
      </c>
      <c r="E10" s="46">
        <v>0</v>
      </c>
      <c r="F10" s="46">
        <v>0.05</v>
      </c>
      <c r="G10" s="46">
        <v>0.6</v>
      </c>
      <c r="I10" s="50">
        <f t="shared" si="1"/>
        <v>0</v>
      </c>
      <c r="J10" s="50">
        <f t="shared" si="2"/>
        <v>0</v>
      </c>
      <c r="K10" s="50">
        <f t="shared" si="3"/>
        <v>0</v>
      </c>
      <c r="L10" s="50">
        <f t="shared" si="4"/>
        <v>1.2500000000000001E-2</v>
      </c>
      <c r="M10" s="50">
        <f t="shared" si="5"/>
        <v>3.7500000000000006E-2</v>
      </c>
      <c r="N10" s="50">
        <f t="shared" si="6"/>
        <v>0.6</v>
      </c>
      <c r="P10" s="50">
        <f t="shared" si="7"/>
        <v>0</v>
      </c>
      <c r="Q10" s="50">
        <f t="shared" si="8"/>
        <v>0</v>
      </c>
      <c r="R10" s="50">
        <f t="shared" si="9"/>
        <v>0</v>
      </c>
      <c r="S10" s="50">
        <f t="shared" si="10"/>
        <v>1.9230769230769232E-2</v>
      </c>
      <c r="T10" s="50">
        <f t="shared" si="11"/>
        <v>5.7692307692307696E-2</v>
      </c>
      <c r="U10" s="50">
        <f t="shared" si="12"/>
        <v>0.92307692307692302</v>
      </c>
    </row>
    <row r="11" spans="1:21">
      <c r="A11" t="s">
        <v>1888</v>
      </c>
      <c r="B11" s="46">
        <v>0.21</v>
      </c>
      <c r="C11" s="46">
        <v>0.49</v>
      </c>
      <c r="D11" s="46">
        <v>0.02</v>
      </c>
      <c r="E11" s="46">
        <v>0.03</v>
      </c>
      <c r="F11" s="46">
        <v>0.14000000000000001</v>
      </c>
      <c r="G11" s="46">
        <v>0.11</v>
      </c>
      <c r="I11" s="50">
        <f t="shared" si="1"/>
        <v>1.6E-2</v>
      </c>
      <c r="J11" s="50">
        <f t="shared" si="2"/>
        <v>8.9999999999999993E-3</v>
      </c>
      <c r="K11" s="50">
        <f t="shared" si="3"/>
        <v>1.4999999999999999E-2</v>
      </c>
      <c r="L11" s="50">
        <f t="shared" si="4"/>
        <v>4.4999999999999998E-2</v>
      </c>
      <c r="M11" s="50">
        <f t="shared" si="5"/>
        <v>0.10500000000000001</v>
      </c>
      <c r="N11" s="50">
        <f t="shared" si="6"/>
        <v>0.11</v>
      </c>
      <c r="P11" s="50">
        <f t="shared" si="7"/>
        <v>5.3333333333333337E-2</v>
      </c>
      <c r="Q11" s="50">
        <f t="shared" si="8"/>
        <v>0.03</v>
      </c>
      <c r="R11" s="50">
        <f t="shared" si="9"/>
        <v>0.05</v>
      </c>
      <c r="S11" s="50">
        <f t="shared" si="10"/>
        <v>0.15</v>
      </c>
      <c r="T11" s="50">
        <f t="shared" si="11"/>
        <v>0.35000000000000003</v>
      </c>
      <c r="U11" s="50">
        <f t="shared" si="12"/>
        <v>0.3666666666666667</v>
      </c>
    </row>
    <row r="12" spans="1:21">
      <c r="A12" t="s">
        <v>1889</v>
      </c>
      <c r="B12" s="46">
        <v>0.4</v>
      </c>
      <c r="C12" s="46">
        <v>0.17</v>
      </c>
      <c r="D12" s="46">
        <v>0.18</v>
      </c>
      <c r="E12" s="46">
        <v>0.17</v>
      </c>
      <c r="F12" s="46">
        <v>0</v>
      </c>
      <c r="G12" s="46">
        <v>0.08</v>
      </c>
      <c r="I12" s="50">
        <f t="shared" si="1"/>
        <v>0.14399999999999999</v>
      </c>
      <c r="J12" s="50">
        <f t="shared" si="2"/>
        <v>6.4333333333333326E-2</v>
      </c>
      <c r="K12" s="50">
        <f t="shared" si="3"/>
        <v>8.5000000000000006E-2</v>
      </c>
      <c r="L12" s="50">
        <f t="shared" si="4"/>
        <v>5.6666666666666671E-2</v>
      </c>
      <c r="M12" s="50">
        <f t="shared" si="5"/>
        <v>0</v>
      </c>
      <c r="N12" s="50">
        <f t="shared" si="6"/>
        <v>0.08</v>
      </c>
      <c r="P12" s="50">
        <f t="shared" si="7"/>
        <v>0.33488372093023255</v>
      </c>
      <c r="Q12" s="50">
        <f t="shared" si="8"/>
        <v>0.14961240310077517</v>
      </c>
      <c r="R12" s="50">
        <f t="shared" si="9"/>
        <v>0.19767441860465118</v>
      </c>
      <c r="S12" s="50">
        <f t="shared" si="10"/>
        <v>0.13178294573643412</v>
      </c>
      <c r="T12" s="50">
        <f t="shared" si="11"/>
        <v>0</v>
      </c>
      <c r="U12" s="50">
        <f t="shared" si="12"/>
        <v>0.18604651162790697</v>
      </c>
    </row>
    <row r="13" spans="1:21">
      <c r="A13" t="s">
        <v>465</v>
      </c>
      <c r="B13" s="46">
        <v>0.09</v>
      </c>
      <c r="C13" s="46">
        <v>0</v>
      </c>
      <c r="D13" s="46">
        <v>0.04</v>
      </c>
      <c r="E13" s="46">
        <v>0</v>
      </c>
      <c r="F13" s="46">
        <v>0.23</v>
      </c>
      <c r="G13" s="46">
        <v>0.64</v>
      </c>
      <c r="I13" s="50">
        <f t="shared" si="1"/>
        <v>3.2000000000000001E-2</v>
      </c>
      <c r="J13" s="50">
        <f t="shared" si="2"/>
        <v>8.0000000000000002E-3</v>
      </c>
      <c r="K13" s="50">
        <f t="shared" si="3"/>
        <v>0</v>
      </c>
      <c r="L13" s="50">
        <f t="shared" si="4"/>
        <v>5.7500000000000002E-2</v>
      </c>
      <c r="M13" s="50">
        <f t="shared" si="5"/>
        <v>0.17250000000000001</v>
      </c>
      <c r="N13" s="50">
        <f t="shared" si="6"/>
        <v>0.64</v>
      </c>
      <c r="P13" s="50">
        <f t="shared" si="7"/>
        <v>3.5164835164835165E-2</v>
      </c>
      <c r="Q13" s="50">
        <f t="shared" si="8"/>
        <v>8.7912087912087912E-3</v>
      </c>
      <c r="R13" s="50">
        <f t="shared" si="9"/>
        <v>0</v>
      </c>
      <c r="S13" s="50">
        <f t="shared" si="10"/>
        <v>6.3186813186813184E-2</v>
      </c>
      <c r="T13" s="50">
        <f t="shared" si="11"/>
        <v>0.18956043956043958</v>
      </c>
      <c r="U13" s="50">
        <f t="shared" si="12"/>
        <v>0.70329670329670324</v>
      </c>
    </row>
    <row r="14" spans="1:21">
      <c r="A14" t="s">
        <v>1890</v>
      </c>
      <c r="B14" s="46">
        <v>7.0000000000000007E-2</v>
      </c>
      <c r="C14" s="46">
        <v>0.1</v>
      </c>
      <c r="D14" s="46">
        <v>0.02</v>
      </c>
      <c r="E14" s="46">
        <v>0.11</v>
      </c>
      <c r="F14" s="46">
        <v>0</v>
      </c>
      <c r="G14" s="46">
        <v>0.7</v>
      </c>
      <c r="I14" s="50">
        <f t="shared" si="1"/>
        <v>1.6E-2</v>
      </c>
      <c r="J14" s="50">
        <f t="shared" si="2"/>
        <v>2.2333333333333334E-2</v>
      </c>
      <c r="K14" s="50">
        <f t="shared" si="3"/>
        <v>5.5E-2</v>
      </c>
      <c r="L14" s="50">
        <f t="shared" si="4"/>
        <v>3.6666666666666667E-2</v>
      </c>
      <c r="M14" s="50">
        <f t="shared" si="5"/>
        <v>0</v>
      </c>
      <c r="N14" s="50">
        <f t="shared" si="6"/>
        <v>0.7</v>
      </c>
      <c r="P14" s="50">
        <f t="shared" si="7"/>
        <v>1.9277108433734941E-2</v>
      </c>
      <c r="Q14" s="50">
        <f t="shared" si="8"/>
        <v>2.6907630522088354E-2</v>
      </c>
      <c r="R14" s="50">
        <f t="shared" si="9"/>
        <v>6.6265060240963861E-2</v>
      </c>
      <c r="S14" s="50">
        <f t="shared" si="10"/>
        <v>4.4176706827309238E-2</v>
      </c>
      <c r="T14" s="50">
        <f t="shared" si="11"/>
        <v>0</v>
      </c>
      <c r="U14" s="50">
        <f t="shared" si="12"/>
        <v>0.84337349397590355</v>
      </c>
    </row>
    <row r="15" spans="1:21">
      <c r="A15" t="s">
        <v>1891</v>
      </c>
      <c r="B15" s="46">
        <v>0.34</v>
      </c>
      <c r="C15" s="46">
        <v>0.23</v>
      </c>
      <c r="D15" s="46">
        <v>0.14000000000000001</v>
      </c>
      <c r="E15" s="46">
        <v>0.09</v>
      </c>
      <c r="F15" s="46">
        <v>0.09</v>
      </c>
      <c r="G15" s="46">
        <v>0.11</v>
      </c>
      <c r="I15" s="50">
        <f t="shared" si="1"/>
        <v>0.11200000000000002</v>
      </c>
      <c r="J15" s="50">
        <f t="shared" si="2"/>
        <v>4.3000000000000003E-2</v>
      </c>
      <c r="K15" s="50">
        <f t="shared" si="3"/>
        <v>4.4999999999999998E-2</v>
      </c>
      <c r="L15" s="50">
        <f t="shared" si="4"/>
        <v>5.2499999999999998E-2</v>
      </c>
      <c r="M15" s="50">
        <f t="shared" si="5"/>
        <v>6.7500000000000004E-2</v>
      </c>
      <c r="N15" s="50">
        <f t="shared" si="6"/>
        <v>0.11</v>
      </c>
      <c r="P15" s="50">
        <f t="shared" si="7"/>
        <v>0.26046511627906982</v>
      </c>
      <c r="Q15" s="50">
        <f t="shared" si="8"/>
        <v>0.1</v>
      </c>
      <c r="R15" s="50">
        <f t="shared" si="9"/>
        <v>0.10465116279069767</v>
      </c>
      <c r="S15" s="50">
        <f t="shared" si="10"/>
        <v>0.12209302325581395</v>
      </c>
      <c r="T15" s="50">
        <f t="shared" si="11"/>
        <v>0.15697674418604651</v>
      </c>
      <c r="U15" s="50">
        <f t="shared" si="12"/>
        <v>0.2558139534883721</v>
      </c>
    </row>
    <row r="16" spans="1:21">
      <c r="A16" t="s">
        <v>460</v>
      </c>
      <c r="B16" s="46">
        <v>0.23</v>
      </c>
      <c r="C16" s="46">
        <v>0.17</v>
      </c>
      <c r="D16" s="46">
        <v>0.14000000000000001</v>
      </c>
      <c r="E16" s="46">
        <v>0.46</v>
      </c>
      <c r="F16" s="46">
        <v>0</v>
      </c>
      <c r="G16" s="46">
        <v>0</v>
      </c>
      <c r="I16" s="50">
        <f t="shared" si="1"/>
        <v>0.11200000000000002</v>
      </c>
      <c r="J16" s="50">
        <f t="shared" si="2"/>
        <v>0.10466666666666666</v>
      </c>
      <c r="K16" s="50">
        <f t="shared" si="3"/>
        <v>0.23</v>
      </c>
      <c r="L16" s="50">
        <f t="shared" si="4"/>
        <v>0.15333333333333332</v>
      </c>
      <c r="M16" s="50">
        <f t="shared" si="5"/>
        <v>0</v>
      </c>
      <c r="N16" s="50">
        <f t="shared" si="6"/>
        <v>0</v>
      </c>
      <c r="P16" s="50">
        <f t="shared" si="7"/>
        <v>0.1866666666666667</v>
      </c>
      <c r="Q16" s="50">
        <f t="shared" si="8"/>
        <v>0.17444444444444443</v>
      </c>
      <c r="R16" s="50">
        <f t="shared" si="9"/>
        <v>0.38333333333333336</v>
      </c>
      <c r="S16" s="50">
        <f t="shared" si="10"/>
        <v>0.25555555555555554</v>
      </c>
      <c r="T16" s="50">
        <f t="shared" si="11"/>
        <v>0</v>
      </c>
      <c r="U16" s="50">
        <f t="shared" si="12"/>
        <v>0</v>
      </c>
    </row>
    <row r="17" spans="1:21">
      <c r="A17" t="s">
        <v>1892</v>
      </c>
      <c r="B17" s="46">
        <v>0.24</v>
      </c>
      <c r="C17" s="46">
        <v>0.01</v>
      </c>
      <c r="D17" s="46">
        <v>0.26</v>
      </c>
      <c r="E17" s="46">
        <v>0.46</v>
      </c>
      <c r="F17" s="46">
        <v>0.03</v>
      </c>
      <c r="G17" s="46">
        <v>0</v>
      </c>
      <c r="I17" s="50">
        <f t="shared" si="1"/>
        <v>0.20800000000000002</v>
      </c>
      <c r="J17" s="50">
        <f t="shared" si="2"/>
        <v>0.12866666666666665</v>
      </c>
      <c r="K17" s="50">
        <f t="shared" si="3"/>
        <v>0.23</v>
      </c>
      <c r="L17" s="50">
        <f t="shared" si="4"/>
        <v>0.16083333333333333</v>
      </c>
      <c r="M17" s="50">
        <f t="shared" si="5"/>
        <v>2.2499999999999999E-2</v>
      </c>
      <c r="N17" s="50">
        <f t="shared" si="6"/>
        <v>0</v>
      </c>
      <c r="P17" s="50">
        <f t="shared" si="7"/>
        <v>0.27733333333333338</v>
      </c>
      <c r="Q17" s="50">
        <f t="shared" si="8"/>
        <v>0.17155555555555554</v>
      </c>
      <c r="R17" s="50">
        <f t="shared" si="9"/>
        <v>0.3066666666666667</v>
      </c>
      <c r="S17" s="50">
        <f t="shared" si="10"/>
        <v>0.21444444444444444</v>
      </c>
      <c r="T17" s="50">
        <f t="shared" si="11"/>
        <v>0.03</v>
      </c>
      <c r="U17" s="50">
        <f t="shared" si="12"/>
        <v>0</v>
      </c>
    </row>
    <row r="18" spans="1:21">
      <c r="A18" t="s">
        <v>466</v>
      </c>
      <c r="B18" s="46">
        <v>0.11</v>
      </c>
      <c r="C18" s="61">
        <v>5.0000000000000001E-3</v>
      </c>
      <c r="D18" s="61">
        <v>5.0000000000000001E-3</v>
      </c>
      <c r="E18" s="46">
        <v>0.01</v>
      </c>
      <c r="F18" s="46">
        <v>0.02</v>
      </c>
      <c r="G18" s="46">
        <v>0.85</v>
      </c>
      <c r="I18" s="50">
        <f t="shared" si="1"/>
        <v>4.0000000000000001E-3</v>
      </c>
      <c r="J18" s="50">
        <f t="shared" si="2"/>
        <v>2.6666666666666666E-3</v>
      </c>
      <c r="K18" s="50">
        <f t="shared" si="3"/>
        <v>5.0000000000000001E-3</v>
      </c>
      <c r="L18" s="50">
        <f t="shared" si="4"/>
        <v>8.3333333333333332E-3</v>
      </c>
      <c r="M18" s="50">
        <f t="shared" si="5"/>
        <v>1.4999999999999999E-2</v>
      </c>
      <c r="N18" s="50">
        <f t="shared" si="6"/>
        <v>0.85</v>
      </c>
      <c r="P18" s="50">
        <f t="shared" si="7"/>
        <v>4.5197740112994352E-3</v>
      </c>
      <c r="Q18" s="50">
        <f t="shared" si="8"/>
        <v>3.0131826741996233E-3</v>
      </c>
      <c r="R18" s="50">
        <f t="shared" si="9"/>
        <v>5.6497175141242938E-3</v>
      </c>
      <c r="S18" s="50">
        <f t="shared" si="10"/>
        <v>9.4161958568738224E-3</v>
      </c>
      <c r="T18" s="50">
        <f t="shared" si="11"/>
        <v>1.6949152542372881E-2</v>
      </c>
      <c r="U18" s="50">
        <f t="shared" si="12"/>
        <v>0.96045197740112986</v>
      </c>
    </row>
    <row r="19" spans="1:21">
      <c r="A19" t="s">
        <v>68</v>
      </c>
      <c r="B19" s="46">
        <v>0.13</v>
      </c>
      <c r="C19" s="46">
        <v>0.09</v>
      </c>
      <c r="D19" s="46">
        <v>0.06</v>
      </c>
      <c r="E19" s="46">
        <v>0.59</v>
      </c>
      <c r="F19" s="46">
        <v>0.13</v>
      </c>
      <c r="G19" s="46">
        <v>0</v>
      </c>
      <c r="I19" s="50">
        <f t="shared" si="1"/>
        <v>4.8000000000000001E-2</v>
      </c>
      <c r="J19" s="50">
        <f t="shared" si="2"/>
        <v>0.11033333333333332</v>
      </c>
      <c r="K19" s="50">
        <f t="shared" si="3"/>
        <v>0.29499999999999998</v>
      </c>
      <c r="L19" s="50">
        <f t="shared" si="4"/>
        <v>0.22916666666666666</v>
      </c>
      <c r="M19" s="50">
        <f t="shared" si="5"/>
        <v>9.7500000000000003E-2</v>
      </c>
      <c r="N19" s="50">
        <f t="shared" si="6"/>
        <v>0</v>
      </c>
      <c r="P19" s="50">
        <f t="shared" si="7"/>
        <v>6.1538461538461535E-2</v>
      </c>
      <c r="Q19" s="50">
        <f t="shared" si="8"/>
        <v>0.14145299145299145</v>
      </c>
      <c r="R19" s="50">
        <f t="shared" si="9"/>
        <v>0.37820512820512819</v>
      </c>
      <c r="S19" s="50">
        <f t="shared" si="10"/>
        <v>0.29380341880341876</v>
      </c>
      <c r="T19" s="50">
        <f t="shared" si="11"/>
        <v>0.125</v>
      </c>
      <c r="U19" s="50">
        <f t="shared" si="12"/>
        <v>0</v>
      </c>
    </row>
    <row r="23" spans="1:21">
      <c r="B23" s="110" t="s">
        <v>1893</v>
      </c>
    </row>
    <row r="24" spans="1:21" ht="45">
      <c r="A24" s="24" t="s">
        <v>1894</v>
      </c>
      <c r="B24" s="37" t="s">
        <v>1895</v>
      </c>
      <c r="D24" s="57" t="s">
        <v>448</v>
      </c>
      <c r="E24" s="57" t="s">
        <v>449</v>
      </c>
      <c r="F24" s="57" t="s">
        <v>450</v>
      </c>
      <c r="G24" s="57" t="s">
        <v>451</v>
      </c>
      <c r="H24" s="57" t="s">
        <v>452</v>
      </c>
      <c r="I24" s="57" t="s">
        <v>453</v>
      </c>
      <c r="K24" s="98" t="s">
        <v>1443</v>
      </c>
      <c r="L24" s="99" t="s">
        <v>271</v>
      </c>
    </row>
    <row r="25" spans="1:21">
      <c r="A25" t="s">
        <v>63</v>
      </c>
      <c r="B25" s="50">
        <f>SUM('MECS T5.2'!E47:I50)/SUM('MECS T5.2'!E46:I50,'MECS T5.2'!E42:I42)</f>
        <v>5.0078247261345854E-2</v>
      </c>
      <c r="D25" s="46">
        <v>0.55000000000000004</v>
      </c>
      <c r="E25" s="46">
        <v>0.43</v>
      </c>
      <c r="F25" s="46">
        <v>0</v>
      </c>
      <c r="G25" s="46">
        <v>0.02</v>
      </c>
      <c r="H25" s="46">
        <v>0</v>
      </c>
      <c r="I25" s="46">
        <v>0</v>
      </c>
      <c r="J25" s="46"/>
      <c r="K25" s="49">
        <v>11</v>
      </c>
    </row>
    <row r="26" spans="1:21">
      <c r="A26" t="s">
        <v>64</v>
      </c>
      <c r="B26" s="50">
        <f>SUM('MECS T5.2'!E267:I270)/SUM('MECS T5.2'!E266:I270,'MECS T5.2'!E262:I262)</f>
        <v>4.3478260869565216E-2</v>
      </c>
      <c r="D26" s="46">
        <f t="shared" ref="D26:I26" si="13">P7</f>
        <v>0.37818181818181817</v>
      </c>
      <c r="E26" s="46">
        <f t="shared" si="13"/>
        <v>0.18242424242424241</v>
      </c>
      <c r="F26" s="46">
        <f t="shared" si="13"/>
        <v>0.26363636363636361</v>
      </c>
      <c r="G26" s="46">
        <f t="shared" si="13"/>
        <v>0.17575757575757572</v>
      </c>
      <c r="H26" s="46">
        <f t="shared" si="13"/>
        <v>0</v>
      </c>
      <c r="I26" s="46">
        <f t="shared" si="13"/>
        <v>0</v>
      </c>
      <c r="J26" s="46"/>
      <c r="K26" s="49">
        <v>12</v>
      </c>
    </row>
    <row r="27" spans="1:21">
      <c r="A27" t="s">
        <v>65</v>
      </c>
      <c r="B27" s="50">
        <f>SUM('MECS T5.2'!E355:I358)/SUM('MECS T5.2'!E354:I358,'MECS T5.2'!E350:I350)</f>
        <v>0.11666666666666667</v>
      </c>
      <c r="D27" s="46">
        <f t="shared" ref="D27:I27" si="14">P9</f>
        <v>9.4117647058823542E-2</v>
      </c>
      <c r="E27" s="46">
        <f t="shared" si="14"/>
        <v>0.17058823529411765</v>
      </c>
      <c r="F27" s="46">
        <f t="shared" si="14"/>
        <v>0.44117647058823534</v>
      </c>
      <c r="G27" s="46">
        <f t="shared" si="14"/>
        <v>0.29411764705882354</v>
      </c>
      <c r="H27" s="46">
        <f t="shared" si="14"/>
        <v>0</v>
      </c>
      <c r="I27" s="46">
        <f t="shared" si="14"/>
        <v>0</v>
      </c>
      <c r="J27" s="46"/>
      <c r="K27" s="49">
        <v>12</v>
      </c>
    </row>
    <row r="28" spans="1:21">
      <c r="A28" t="s">
        <v>66</v>
      </c>
      <c r="B28" s="50">
        <f>SUM('MECS T5.2'!E465:I468)/SUM('MECS T5.2'!E464:I468,'MECS T5.2'!E460:I460)</f>
        <v>2.4711696869851731E-2</v>
      </c>
      <c r="D28" s="46">
        <v>0.33</v>
      </c>
      <c r="E28" s="46">
        <v>0.1</v>
      </c>
      <c r="F28" s="46">
        <v>0.15</v>
      </c>
      <c r="G28" s="46">
        <v>0</v>
      </c>
      <c r="H28" s="46">
        <v>0.42</v>
      </c>
      <c r="I28" s="46">
        <v>0</v>
      </c>
      <c r="J28" s="46"/>
      <c r="K28" s="49">
        <v>11</v>
      </c>
    </row>
    <row r="29" spans="1:21">
      <c r="A29" t="s">
        <v>67</v>
      </c>
      <c r="B29" s="50">
        <f>SUM('MECS T5.2'!E619:I622)/SUM('MECS T5.2'!E618:I622,'MECS T5.2'!E614:I614)</f>
        <v>3.3707865168539325E-2</v>
      </c>
      <c r="D29" s="46">
        <v>0.08</v>
      </c>
      <c r="E29" s="46">
        <v>0.18</v>
      </c>
      <c r="F29" s="46">
        <v>0.46</v>
      </c>
      <c r="G29" s="46">
        <v>0.27</v>
      </c>
      <c r="H29" s="46">
        <v>0</v>
      </c>
      <c r="I29" s="46">
        <v>0.01</v>
      </c>
      <c r="J29" s="46"/>
      <c r="K29" s="49">
        <v>11</v>
      </c>
    </row>
    <row r="30" spans="1:21">
      <c r="A30" t="s">
        <v>68</v>
      </c>
      <c r="B30" s="50">
        <f>SUM('MECS T5.2'!E729:I732)/SUM('MECS T5.2'!E728:I732,'MECS T5.2'!E724:I724)</f>
        <v>0.11190576356752209</v>
      </c>
      <c r="D30" s="46">
        <v>0.03</v>
      </c>
      <c r="E30" s="46">
        <v>0.56999999999999995</v>
      </c>
      <c r="F30" s="46">
        <v>0.15</v>
      </c>
      <c r="G30" s="46">
        <v>0.02</v>
      </c>
      <c r="H30" s="46">
        <v>0.23</v>
      </c>
      <c r="I30" s="46">
        <v>0</v>
      </c>
      <c r="J30" s="46"/>
      <c r="K30" s="49">
        <v>11</v>
      </c>
    </row>
    <row r="31" spans="1:21">
      <c r="A31" t="s">
        <v>69</v>
      </c>
      <c r="B31" s="50">
        <f>SUM('MECS T5.2'!E1059:I1062)/SUM('MECS T5.2'!E1058:I1062,'MECS T5.2'!E1054:I1054)</f>
        <v>0</v>
      </c>
      <c r="D31" s="46">
        <v>0.04</v>
      </c>
      <c r="E31" s="46">
        <v>0.38</v>
      </c>
      <c r="F31" s="46">
        <v>0.57999999999999996</v>
      </c>
      <c r="G31" s="46">
        <v>0</v>
      </c>
      <c r="H31" s="46">
        <v>0</v>
      </c>
      <c r="I31" s="46">
        <v>0</v>
      </c>
      <c r="J31" s="46"/>
      <c r="K31" s="49">
        <v>11</v>
      </c>
    </row>
    <row r="32" spans="1:21">
      <c r="A32" t="s">
        <v>70</v>
      </c>
      <c r="B32" s="50">
        <f>SUM('MECS T5.2'!E1081:I1084)/SUM('MECS T5.2'!E1080:I1084,'MECS T5.2'!E1076:I1076)</f>
        <v>0.10199999999999999</v>
      </c>
      <c r="D32" s="46">
        <v>0</v>
      </c>
      <c r="E32" s="46">
        <v>0</v>
      </c>
      <c r="F32" s="46">
        <v>0.16</v>
      </c>
      <c r="G32" s="46">
        <v>0</v>
      </c>
      <c r="H32" s="46">
        <v>0</v>
      </c>
      <c r="I32" s="46">
        <v>0.84</v>
      </c>
      <c r="J32" s="46"/>
      <c r="K32" s="49">
        <v>11</v>
      </c>
    </row>
    <row r="33" spans="1:12">
      <c r="A33" t="s">
        <v>71</v>
      </c>
      <c r="B33" s="50">
        <f>SUM('MECS T5.2'!E1323:I1326)/SUM('MECS T5.2'!E1322:I1326,'MECS T5.2'!E1318:I1318)</f>
        <v>0.13189448441247004</v>
      </c>
      <c r="D33" s="46">
        <f t="shared" ref="D33:I33" si="15">P18</f>
        <v>4.5197740112994352E-3</v>
      </c>
      <c r="E33" s="46">
        <f t="shared" si="15"/>
        <v>3.0131826741996233E-3</v>
      </c>
      <c r="F33" s="46">
        <f t="shared" si="15"/>
        <v>5.6497175141242938E-3</v>
      </c>
      <c r="G33" s="46">
        <f t="shared" si="15"/>
        <v>9.4161958568738224E-3</v>
      </c>
      <c r="H33" s="46">
        <f t="shared" si="15"/>
        <v>1.6949152542372881E-2</v>
      </c>
      <c r="I33" s="46">
        <f t="shared" si="15"/>
        <v>0.96045197740112986</v>
      </c>
      <c r="J33" s="46"/>
      <c r="K33" s="49">
        <v>12</v>
      </c>
    </row>
    <row r="34" spans="1:12">
      <c r="A34" t="s">
        <v>72</v>
      </c>
      <c r="B34" s="50">
        <f>SUM('MECS T5.2'!E1367:I1370)/SUM('MECS T5.2'!E1366:I1370,'MECS T5.2'!E1372:I1372)</f>
        <v>2.9702970297029702E-2</v>
      </c>
      <c r="D34" s="46">
        <v>0.3</v>
      </c>
      <c r="E34" s="46">
        <v>0</v>
      </c>
      <c r="F34" s="46">
        <v>0</v>
      </c>
      <c r="G34" s="46">
        <v>0.06</v>
      </c>
      <c r="H34" s="46">
        <v>0.15</v>
      </c>
      <c r="I34" s="46">
        <v>0.49</v>
      </c>
      <c r="J34" s="46"/>
      <c r="K34" s="49">
        <v>11</v>
      </c>
    </row>
    <row r="35" spans="1:12">
      <c r="A35" t="s">
        <v>73</v>
      </c>
      <c r="B35" s="50">
        <f>SUM('MECS T5.2'!E1609:I1612)/SUM('MECS T5.2'!E1608:I1612,'MECS T5.2'!E1604:I1604)</f>
        <v>0.1875</v>
      </c>
      <c r="D35" s="46">
        <f t="shared" ref="D35:I35" si="16">P15</f>
        <v>0.26046511627906982</v>
      </c>
      <c r="E35" s="46">
        <f t="shared" si="16"/>
        <v>0.1</v>
      </c>
      <c r="F35" s="46">
        <f t="shared" si="16"/>
        <v>0.10465116279069767</v>
      </c>
      <c r="G35" s="46">
        <f t="shared" si="16"/>
        <v>0.12209302325581395</v>
      </c>
      <c r="H35" s="46">
        <f t="shared" si="16"/>
        <v>0.15697674418604651</v>
      </c>
      <c r="I35" s="46">
        <f t="shared" si="16"/>
        <v>0.2558139534883721</v>
      </c>
      <c r="J35" s="46"/>
      <c r="K35" s="49">
        <v>12</v>
      </c>
    </row>
    <row r="36" spans="1:12">
      <c r="A36" t="s">
        <v>74</v>
      </c>
      <c r="B36" s="50">
        <f>SUM('MECS T5.2'!E1697:I1700)/SUM('MECS T5.2'!E1696:I1700,'MECS T5.2'!E1692:I1692)</f>
        <v>8.1632653061224483E-2</v>
      </c>
      <c r="D36" s="46">
        <f t="shared" ref="D36:I36" si="17">P12</f>
        <v>0.33488372093023255</v>
      </c>
      <c r="E36" s="46">
        <f t="shared" si="17"/>
        <v>0.14961240310077517</v>
      </c>
      <c r="F36" s="46">
        <f t="shared" si="17"/>
        <v>0.19767441860465118</v>
      </c>
      <c r="G36" s="46">
        <f t="shared" si="17"/>
        <v>0.13178294573643412</v>
      </c>
      <c r="H36" s="46">
        <f t="shared" si="17"/>
        <v>0</v>
      </c>
      <c r="I36" s="46">
        <f t="shared" si="17"/>
        <v>0.18604651162790697</v>
      </c>
      <c r="J36" s="46"/>
      <c r="K36" s="49">
        <v>12</v>
      </c>
    </row>
    <row r="37" spans="1:12">
      <c r="A37" t="s">
        <v>75</v>
      </c>
      <c r="B37" s="50">
        <f>SUM('MECS T5.2'!E1631:I1634)/SUM('MECS T5.2'!E1630:I1634,'MECS T5.2'!E1626:I1626)</f>
        <v>7.6923076923076927E-2</v>
      </c>
      <c r="D37" s="46">
        <f t="shared" ref="D37:I37" si="18">P12</f>
        <v>0.33488372093023255</v>
      </c>
      <c r="E37" s="46">
        <f t="shared" si="18"/>
        <v>0.14961240310077517</v>
      </c>
      <c r="F37" s="46">
        <f t="shared" si="18"/>
        <v>0.19767441860465118</v>
      </c>
      <c r="G37" s="46">
        <f t="shared" si="18"/>
        <v>0.13178294573643412</v>
      </c>
      <c r="H37" s="46">
        <f t="shared" si="18"/>
        <v>0</v>
      </c>
      <c r="I37" s="46">
        <f t="shared" si="18"/>
        <v>0.18604651162790697</v>
      </c>
      <c r="J37" s="46"/>
      <c r="K37" s="49">
        <v>12</v>
      </c>
      <c r="L37" t="s">
        <v>1896</v>
      </c>
    </row>
    <row r="38" spans="1:12">
      <c r="A38" t="s">
        <v>76</v>
      </c>
      <c r="B38" s="50">
        <f>SUM('MECS T5.2'!E1675:I1678)/SUM('MECS T5.2'!E1674:I1678,'MECS T5.2'!E1670:I1670)</f>
        <v>0</v>
      </c>
      <c r="D38" s="46">
        <f t="shared" ref="D38:I38" si="19">P12</f>
        <v>0.33488372093023255</v>
      </c>
      <c r="E38" s="46">
        <f t="shared" si="19"/>
        <v>0.14961240310077517</v>
      </c>
      <c r="F38" s="46">
        <f t="shared" si="19"/>
        <v>0.19767441860465118</v>
      </c>
      <c r="G38" s="46">
        <f t="shared" si="19"/>
        <v>0.13178294573643412</v>
      </c>
      <c r="H38" s="46">
        <f t="shared" si="19"/>
        <v>0</v>
      </c>
      <c r="I38" s="46">
        <f t="shared" si="19"/>
        <v>0.18604651162790697</v>
      </c>
      <c r="J38" s="46"/>
      <c r="K38" s="49">
        <v>12</v>
      </c>
      <c r="L38" t="s">
        <v>1896</v>
      </c>
    </row>
    <row r="39" spans="1:12">
      <c r="A39" t="s">
        <v>77</v>
      </c>
      <c r="B39" s="50">
        <f>SUM('MECS T5.2'!E1829:I1832)/SUM('MECS T5.2'!E1828:I1832,'MECS T5.2'!E1824:I1824)</f>
        <v>7.1428571428571425E-2</v>
      </c>
      <c r="D39" s="46">
        <f t="shared" ref="D39:I39" si="20">P12</f>
        <v>0.33488372093023255</v>
      </c>
      <c r="E39" s="46">
        <f t="shared" si="20"/>
        <v>0.14961240310077517</v>
      </c>
      <c r="F39" s="46">
        <f t="shared" si="20"/>
        <v>0.19767441860465118</v>
      </c>
      <c r="G39" s="46">
        <f t="shared" si="20"/>
        <v>0.13178294573643412</v>
      </c>
      <c r="H39" s="46">
        <f t="shared" si="20"/>
        <v>0</v>
      </c>
      <c r="I39" s="46">
        <f t="shared" si="20"/>
        <v>0.18604651162790697</v>
      </c>
      <c r="J39" s="46"/>
      <c r="K39" s="49">
        <v>12</v>
      </c>
      <c r="L39" t="s">
        <v>1896</v>
      </c>
    </row>
  </sheetData>
  <mergeCells count="1">
    <mergeCell ref="D3:G3"/>
  </mergeCells>
  <pageMargins left="0.7" right="0.7" top="0.75" bottom="0.75" header="0.3" footer="0.3"/>
  <headerFooter>
    <oddFooter>&amp;R_x000D_&amp;1#&amp;"Aptos"&amp;10&amp;K000000 Official Use Only</oddFooter>
  </headerFooter>
  <ignoredErrors>
    <ignoredError sqref="B30" formulaRange="1"/>
  </ignoredError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3CDF-CD23-441F-B085-91376C88F310}">
  <dimension ref="A1:I24"/>
  <sheetViews>
    <sheetView zoomScale="115" zoomScaleNormal="115" workbookViewId="0">
      <selection activeCell="I9" sqref="I9"/>
    </sheetView>
  </sheetViews>
  <sheetFormatPr defaultRowHeight="15"/>
  <cols>
    <col min="1" max="1" width="45.28515625" customWidth="1"/>
    <col min="2" max="2" width="24.7109375" customWidth="1"/>
    <col min="3" max="3" width="14.42578125" customWidth="1"/>
    <col min="4" max="4" width="15.28515625" style="49" customWidth="1"/>
    <col min="5" max="5" width="16.85546875" customWidth="1"/>
    <col min="6" max="6" width="14.7109375" customWidth="1"/>
    <col min="7" max="9" width="15" customWidth="1"/>
  </cols>
  <sheetData>
    <row r="1" spans="1:9">
      <c r="A1" s="535" t="s">
        <v>1897</v>
      </c>
      <c r="B1" s="50"/>
      <c r="C1" s="49"/>
      <c r="G1" s="24" t="s">
        <v>1898</v>
      </c>
      <c r="H1" s="104"/>
      <c r="I1" s="104"/>
    </row>
    <row r="2" spans="1:9" ht="30">
      <c r="A2" s="100" t="s">
        <v>1899</v>
      </c>
      <c r="B2" s="100" t="s">
        <v>1900</v>
      </c>
      <c r="C2" s="101" t="s">
        <v>1901</v>
      </c>
      <c r="D2" s="101" t="s">
        <v>1902</v>
      </c>
      <c r="E2" s="101" t="s">
        <v>1903</v>
      </c>
      <c r="G2" s="55" t="s">
        <v>1901</v>
      </c>
      <c r="H2" s="55" t="s">
        <v>1904</v>
      </c>
      <c r="I2" s="55" t="s">
        <v>1903</v>
      </c>
    </row>
    <row r="3" spans="1:9">
      <c r="A3" t="s">
        <v>447</v>
      </c>
      <c r="B3" t="s">
        <v>1905</v>
      </c>
      <c r="D3"/>
      <c r="E3" s="102">
        <v>0.43</v>
      </c>
      <c r="G3" s="49"/>
      <c r="H3" s="49"/>
      <c r="I3" s="49">
        <v>13</v>
      </c>
    </row>
    <row r="4" spans="1:9">
      <c r="A4" t="s">
        <v>448</v>
      </c>
      <c r="B4" t="s">
        <v>1906</v>
      </c>
      <c r="D4"/>
      <c r="E4" s="102">
        <v>0.71</v>
      </c>
      <c r="G4" s="49"/>
      <c r="H4" s="49"/>
      <c r="I4" s="49">
        <v>14</v>
      </c>
    </row>
    <row r="5" spans="1:9">
      <c r="A5" t="s">
        <v>449</v>
      </c>
      <c r="B5" t="s">
        <v>1906</v>
      </c>
      <c r="D5"/>
      <c r="E5" s="102">
        <v>0.71</v>
      </c>
      <c r="G5" s="49"/>
      <c r="H5" s="49"/>
      <c r="I5" s="49">
        <v>14</v>
      </c>
    </row>
    <row r="6" spans="1:9">
      <c r="A6" t="s">
        <v>450</v>
      </c>
      <c r="B6" t="s">
        <v>1906</v>
      </c>
      <c r="D6"/>
      <c r="E6" s="102">
        <v>0.71</v>
      </c>
      <c r="G6" s="49"/>
      <c r="H6" s="49"/>
      <c r="I6" s="49">
        <v>14</v>
      </c>
    </row>
    <row r="7" spans="1:9">
      <c r="A7" t="s">
        <v>451</v>
      </c>
      <c r="B7" t="s">
        <v>1907</v>
      </c>
      <c r="C7" s="102">
        <v>0.84</v>
      </c>
      <c r="D7" s="46">
        <f>0.0913+0.0556+0.0264</f>
        <v>0.17330000000000001</v>
      </c>
      <c r="E7" s="46">
        <f>C7-D7</f>
        <v>0.66669999999999996</v>
      </c>
      <c r="G7" s="49">
        <v>16</v>
      </c>
      <c r="H7" s="49">
        <v>17</v>
      </c>
      <c r="I7" s="49"/>
    </row>
    <row r="8" spans="1:9">
      <c r="A8" t="s">
        <v>452</v>
      </c>
      <c r="B8" t="s">
        <v>1907</v>
      </c>
      <c r="C8" s="102">
        <v>0.68</v>
      </c>
      <c r="D8" s="46">
        <f>0.0913+0.0556+0.0264</f>
        <v>0.17330000000000001</v>
      </c>
      <c r="E8" s="46">
        <f>C8-D8</f>
        <v>0.50670000000000004</v>
      </c>
      <c r="G8" s="49">
        <v>16</v>
      </c>
      <c r="H8" s="49">
        <v>17</v>
      </c>
      <c r="I8" s="49"/>
    </row>
    <row r="9" spans="1:9">
      <c r="A9" t="s">
        <v>453</v>
      </c>
      <c r="B9" t="s">
        <v>1907</v>
      </c>
      <c r="D9"/>
      <c r="E9" s="102">
        <v>0.4</v>
      </c>
      <c r="G9" s="49"/>
      <c r="H9" s="49"/>
      <c r="I9" s="49">
        <v>15</v>
      </c>
    </row>
    <row r="10" spans="1:9">
      <c r="B10" s="50"/>
      <c r="C10" s="49"/>
    </row>
    <row r="11" spans="1:9">
      <c r="A11" s="535" t="s">
        <v>1908</v>
      </c>
      <c r="B11" s="50"/>
      <c r="G11" s="24" t="s">
        <v>1898</v>
      </c>
    </row>
    <row r="12" spans="1:9" ht="30">
      <c r="A12" s="100" t="s">
        <v>1899</v>
      </c>
      <c r="B12" s="100" t="s">
        <v>1909</v>
      </c>
      <c r="E12" s="101" t="s">
        <v>1903</v>
      </c>
      <c r="G12" s="55" t="s">
        <v>1903</v>
      </c>
    </row>
    <row r="13" spans="1:9">
      <c r="A13" t="s">
        <v>447</v>
      </c>
      <c r="B13" t="s">
        <v>1910</v>
      </c>
      <c r="E13" s="46">
        <v>0.96</v>
      </c>
      <c r="G13" s="49">
        <v>18</v>
      </c>
    </row>
    <row r="14" spans="1:9">
      <c r="A14" t="s">
        <v>448</v>
      </c>
      <c r="B14" t="s">
        <v>1911</v>
      </c>
      <c r="E14" s="46">
        <v>3.5</v>
      </c>
      <c r="G14" s="49">
        <v>6</v>
      </c>
    </row>
    <row r="15" spans="1:9">
      <c r="A15" t="s">
        <v>449</v>
      </c>
      <c r="B15" t="s">
        <v>1912</v>
      </c>
      <c r="E15" s="46">
        <v>2.1</v>
      </c>
      <c r="G15" s="49">
        <v>6</v>
      </c>
    </row>
    <row r="16" spans="1:9">
      <c r="A16" t="s">
        <v>450</v>
      </c>
      <c r="B16" t="s">
        <v>1913</v>
      </c>
      <c r="E16" s="46">
        <v>0.99</v>
      </c>
      <c r="G16" s="49">
        <v>6</v>
      </c>
    </row>
    <row r="17" spans="1:8">
      <c r="A17" t="s">
        <v>451</v>
      </c>
      <c r="B17" t="s">
        <v>1914</v>
      </c>
      <c r="E17" s="46">
        <v>0.99</v>
      </c>
      <c r="G17" s="49">
        <v>6</v>
      </c>
    </row>
    <row r="18" spans="1:8">
      <c r="A18" t="s">
        <v>452</v>
      </c>
      <c r="B18" t="s">
        <v>1914</v>
      </c>
      <c r="E18" s="46">
        <v>0.99</v>
      </c>
      <c r="G18" s="49">
        <v>6</v>
      </c>
    </row>
    <row r="19" spans="1:8">
      <c r="A19" t="s">
        <v>453</v>
      </c>
      <c r="B19" t="s">
        <v>1915</v>
      </c>
      <c r="E19" s="46">
        <v>0.9</v>
      </c>
      <c r="G19" s="49">
        <v>6</v>
      </c>
    </row>
    <row r="22" spans="1:8">
      <c r="B22" s="46"/>
      <c r="C22" s="50"/>
      <c r="D22" s="50"/>
      <c r="E22" s="50"/>
      <c r="F22" s="50"/>
      <c r="G22" s="50"/>
      <c r="H22" s="50"/>
    </row>
    <row r="23" spans="1:8">
      <c r="B23" s="37" t="str">
        <f t="array" ref="B23:H23">TRANSPOSE(A13:A19)</f>
        <v>Non-heating uses</v>
      </c>
      <c r="C23" s="57" t="str">
        <v>&lt; 80 °C</v>
      </c>
      <c r="D23" s="57" t="str">
        <v>80 - 150 °C</v>
      </c>
      <c r="E23" s="57" t="str">
        <v>150 - 300 °C</v>
      </c>
      <c r="F23" s="57" t="str">
        <v>300 - 550 °C</v>
      </c>
      <c r="G23" s="57" t="str">
        <v>550 - 1100 °C</v>
      </c>
      <c r="H23" s="57" t="str">
        <v>&gt; 1100 °C</v>
      </c>
    </row>
    <row r="24" spans="1:8" ht="30">
      <c r="A24" s="100" t="s">
        <v>1916</v>
      </c>
      <c r="B24" s="556">
        <f t="array" ref="B24:H24">TRANSPOSE(E3:E9/E13:E19)</f>
        <v>0.44791666666666669</v>
      </c>
      <c r="C24" s="557">
        <v>0.20285714285714285</v>
      </c>
      <c r="D24" s="556">
        <v>0.33809523809523806</v>
      </c>
      <c r="E24" s="556">
        <v>0.71717171717171713</v>
      </c>
      <c r="F24" s="556">
        <v>0.67343434343434339</v>
      </c>
      <c r="G24" s="556">
        <v>0.51181818181818184</v>
      </c>
      <c r="H24" s="556">
        <v>0.44444444444444448</v>
      </c>
    </row>
  </sheetData>
  <pageMargins left="0.7" right="0.7" top="0.75" bottom="0.75" header="0.3" footer="0.3"/>
  <headerFooter>
    <oddFooter>&amp;R_x000D_&amp;1#&amp;"Aptos"&amp;10&amp;K000000 Official Use Only</oddFooter>
  </headerFooter>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69AAC-628D-4122-8D67-AB63A3BC2A77}">
  <dimension ref="A1:F53"/>
  <sheetViews>
    <sheetView topLeftCell="A19" zoomScale="130" zoomScaleNormal="130" workbookViewId="0">
      <selection activeCell="C43" sqref="C43"/>
    </sheetView>
  </sheetViews>
  <sheetFormatPr defaultRowHeight="15"/>
  <cols>
    <col min="1" max="1" width="21.42578125" customWidth="1"/>
    <col min="2" max="6" width="15" customWidth="1"/>
  </cols>
  <sheetData>
    <row r="1" spans="1:6">
      <c r="A1" s="45" t="s">
        <v>1917</v>
      </c>
      <c r="B1" s="51"/>
      <c r="C1" s="51"/>
      <c r="D1" s="51"/>
      <c r="E1" s="51"/>
      <c r="F1" s="51"/>
    </row>
    <row r="2" spans="1:6">
      <c r="A2" s="58" t="s">
        <v>1918</v>
      </c>
    </row>
    <row r="3" spans="1:6">
      <c r="A3" t="s">
        <v>1919</v>
      </c>
    </row>
    <row r="4" spans="1:6">
      <c r="A4" s="52" t="s">
        <v>1920</v>
      </c>
    </row>
    <row r="6" spans="1:6">
      <c r="A6" t="s">
        <v>1921</v>
      </c>
      <c r="B6" s="33"/>
      <c r="C6" s="33"/>
      <c r="D6" s="33"/>
      <c r="E6" s="33"/>
      <c r="F6" s="33"/>
    </row>
    <row r="8" spans="1:6">
      <c r="A8" s="100" t="s">
        <v>114</v>
      </c>
      <c r="B8" s="101" t="s">
        <v>1922</v>
      </c>
      <c r="C8" s="101" t="s">
        <v>1923</v>
      </c>
      <c r="D8" s="101" t="s">
        <v>1924</v>
      </c>
      <c r="E8" s="101" t="s">
        <v>1925</v>
      </c>
      <c r="F8" s="101" t="s">
        <v>1926</v>
      </c>
    </row>
    <row r="9" spans="1:6">
      <c r="A9" t="s">
        <v>465</v>
      </c>
      <c r="B9">
        <v>22.7</v>
      </c>
      <c r="C9">
        <v>9.6999999999999993</v>
      </c>
      <c r="D9">
        <v>58.5</v>
      </c>
      <c r="E9">
        <v>161.80000000000001</v>
      </c>
      <c r="F9">
        <v>0</v>
      </c>
    </row>
    <row r="10" spans="1:6">
      <c r="A10" t="s">
        <v>466</v>
      </c>
      <c r="B10">
        <v>27.7</v>
      </c>
      <c r="C10">
        <v>5.8</v>
      </c>
      <c r="D10">
        <v>19.7</v>
      </c>
      <c r="E10">
        <v>194.5</v>
      </c>
      <c r="F10">
        <v>5</v>
      </c>
    </row>
    <row r="11" spans="1:6">
      <c r="A11" t="s">
        <v>68</v>
      </c>
      <c r="B11">
        <v>54.6</v>
      </c>
      <c r="C11">
        <v>165</v>
      </c>
      <c r="D11">
        <v>0</v>
      </c>
      <c r="E11">
        <v>33.1</v>
      </c>
      <c r="F11">
        <v>0</v>
      </c>
    </row>
    <row r="12" spans="1:6">
      <c r="A12" t="s">
        <v>1927</v>
      </c>
      <c r="B12">
        <v>59.2</v>
      </c>
      <c r="C12">
        <v>20.7</v>
      </c>
      <c r="D12">
        <v>172.8</v>
      </c>
      <c r="E12">
        <v>0</v>
      </c>
      <c r="F12">
        <v>0</v>
      </c>
    </row>
    <row r="13" spans="1:6">
      <c r="A13" t="s">
        <v>463</v>
      </c>
      <c r="B13">
        <v>64</v>
      </c>
      <c r="C13">
        <v>181</v>
      </c>
      <c r="D13">
        <v>7.7</v>
      </c>
      <c r="E13">
        <v>0</v>
      </c>
      <c r="F13">
        <v>0</v>
      </c>
    </row>
    <row r="14" spans="1:6">
      <c r="A14" t="s">
        <v>462</v>
      </c>
      <c r="B14">
        <v>80.900000000000006</v>
      </c>
      <c r="C14">
        <v>171.8</v>
      </c>
      <c r="D14">
        <v>0</v>
      </c>
      <c r="E14">
        <v>0</v>
      </c>
      <c r="F14">
        <v>0</v>
      </c>
    </row>
    <row r="15" spans="1:6">
      <c r="A15" t="s">
        <v>460</v>
      </c>
      <c r="B15">
        <v>100.7</v>
      </c>
      <c r="C15">
        <v>152</v>
      </c>
      <c r="D15">
        <v>0</v>
      </c>
      <c r="E15">
        <v>0</v>
      </c>
      <c r="F15">
        <v>0</v>
      </c>
    </row>
    <row r="16" spans="1:6">
      <c r="A16" t="s">
        <v>461</v>
      </c>
      <c r="B16">
        <v>112.5</v>
      </c>
      <c r="C16">
        <v>140.19999999999999</v>
      </c>
      <c r="D16">
        <v>0</v>
      </c>
      <c r="E16">
        <v>0</v>
      </c>
      <c r="F16">
        <v>0</v>
      </c>
    </row>
    <row r="17" spans="1:6">
      <c r="A17" t="s">
        <v>73</v>
      </c>
      <c r="B17">
        <v>145.1</v>
      </c>
      <c r="C17">
        <v>58.6</v>
      </c>
      <c r="D17">
        <v>49</v>
      </c>
      <c r="E17">
        <v>0</v>
      </c>
      <c r="F17">
        <v>0</v>
      </c>
    </row>
    <row r="18" spans="1:6">
      <c r="A18" t="s">
        <v>468</v>
      </c>
      <c r="B18">
        <v>145.19999999999999</v>
      </c>
      <c r="C18">
        <v>88.3</v>
      </c>
      <c r="D18">
        <v>19.2</v>
      </c>
      <c r="E18">
        <v>0</v>
      </c>
      <c r="F18">
        <v>0</v>
      </c>
    </row>
    <row r="19" spans="1:6">
      <c r="A19" t="s">
        <v>467</v>
      </c>
      <c r="B19">
        <v>159.9</v>
      </c>
      <c r="C19">
        <v>40.299999999999997</v>
      </c>
      <c r="D19">
        <v>44.7</v>
      </c>
      <c r="E19">
        <v>0</v>
      </c>
      <c r="F19">
        <v>7.8</v>
      </c>
    </row>
    <row r="20" spans="1:6">
      <c r="A20" t="s">
        <v>1888</v>
      </c>
      <c r="B20">
        <v>176.8</v>
      </c>
      <c r="C20">
        <v>7.2</v>
      </c>
      <c r="D20">
        <v>63.8</v>
      </c>
      <c r="E20">
        <v>0</v>
      </c>
      <c r="F20">
        <v>4.9000000000000004</v>
      </c>
    </row>
    <row r="22" spans="1:6">
      <c r="A22" s="23" t="s">
        <v>1928</v>
      </c>
    </row>
    <row r="24" spans="1:6">
      <c r="A24" s="100" t="s">
        <v>114</v>
      </c>
      <c r="B24" s="101" t="s">
        <v>1923</v>
      </c>
      <c r="C24" s="101" t="s">
        <v>1924</v>
      </c>
      <c r="D24" s="101" t="s">
        <v>1925</v>
      </c>
      <c r="E24" s="101" t="s">
        <v>1926</v>
      </c>
    </row>
    <row r="25" spans="1:6">
      <c r="A25" t="s">
        <v>465</v>
      </c>
      <c r="B25" s="105">
        <f t="shared" ref="B25:E36" si="0">C9/SUM($C9:$F9)</f>
        <v>4.2173913043478256E-2</v>
      </c>
      <c r="C25" s="105">
        <f t="shared" si="0"/>
        <v>0.2543478260869565</v>
      </c>
      <c r="D25" s="105">
        <f t="shared" si="0"/>
        <v>0.70347826086956522</v>
      </c>
      <c r="E25" s="105">
        <f t="shared" si="0"/>
        <v>0</v>
      </c>
    </row>
    <row r="26" spans="1:6">
      <c r="A26" t="s">
        <v>466</v>
      </c>
      <c r="B26" s="105">
        <f t="shared" si="0"/>
        <v>2.5777777777777778E-2</v>
      </c>
      <c r="C26" s="105">
        <f t="shared" si="0"/>
        <v>8.7555555555555553E-2</v>
      </c>
      <c r="D26" s="105">
        <f t="shared" si="0"/>
        <v>0.86444444444444446</v>
      </c>
      <c r="E26" s="105">
        <f t="shared" si="0"/>
        <v>2.2222222222222223E-2</v>
      </c>
    </row>
    <row r="27" spans="1:6">
      <c r="A27" t="s">
        <v>68</v>
      </c>
      <c r="B27" s="105">
        <f t="shared" si="0"/>
        <v>0.83291267036850081</v>
      </c>
      <c r="C27" s="105">
        <f t="shared" si="0"/>
        <v>0</v>
      </c>
      <c r="D27" s="105">
        <f t="shared" si="0"/>
        <v>0.16708732963149925</v>
      </c>
      <c r="E27" s="105">
        <f t="shared" si="0"/>
        <v>0</v>
      </c>
    </row>
    <row r="28" spans="1:6">
      <c r="A28" t="s">
        <v>1927</v>
      </c>
      <c r="B28" s="105">
        <f t="shared" si="0"/>
        <v>0.10697674418604651</v>
      </c>
      <c r="C28" s="105">
        <f t="shared" si="0"/>
        <v>0.89302325581395359</v>
      </c>
      <c r="D28" s="105">
        <f t="shared" si="0"/>
        <v>0</v>
      </c>
      <c r="E28" s="105">
        <f t="shared" si="0"/>
        <v>0</v>
      </c>
    </row>
    <row r="29" spans="1:6">
      <c r="A29" t="s">
        <v>463</v>
      </c>
      <c r="B29" s="105">
        <f t="shared" si="0"/>
        <v>0.95919448860625334</v>
      </c>
      <c r="C29" s="105">
        <f t="shared" si="0"/>
        <v>4.0805511393746691E-2</v>
      </c>
      <c r="D29" s="105">
        <f t="shared" si="0"/>
        <v>0</v>
      </c>
      <c r="E29" s="105">
        <f t="shared" si="0"/>
        <v>0</v>
      </c>
    </row>
    <row r="30" spans="1:6">
      <c r="A30" t="s">
        <v>462</v>
      </c>
      <c r="B30" s="105">
        <f t="shared" si="0"/>
        <v>1</v>
      </c>
      <c r="C30" s="105">
        <f t="shared" si="0"/>
        <v>0</v>
      </c>
      <c r="D30" s="105">
        <f t="shared" si="0"/>
        <v>0</v>
      </c>
      <c r="E30" s="105">
        <f t="shared" si="0"/>
        <v>0</v>
      </c>
    </row>
    <row r="31" spans="1:6">
      <c r="A31" t="s">
        <v>460</v>
      </c>
      <c r="B31" s="105">
        <f t="shared" si="0"/>
        <v>1</v>
      </c>
      <c r="C31" s="105">
        <f t="shared" si="0"/>
        <v>0</v>
      </c>
      <c r="D31" s="105">
        <f t="shared" si="0"/>
        <v>0</v>
      </c>
      <c r="E31" s="105">
        <f t="shared" si="0"/>
        <v>0</v>
      </c>
    </row>
    <row r="32" spans="1:6">
      <c r="A32" t="s">
        <v>461</v>
      </c>
      <c r="B32" s="105">
        <f t="shared" si="0"/>
        <v>1</v>
      </c>
      <c r="C32" s="105">
        <f t="shared" si="0"/>
        <v>0</v>
      </c>
      <c r="D32" s="105">
        <f t="shared" si="0"/>
        <v>0</v>
      </c>
      <c r="E32" s="105">
        <f t="shared" si="0"/>
        <v>0</v>
      </c>
    </row>
    <row r="33" spans="1:5">
      <c r="A33" t="s">
        <v>73</v>
      </c>
      <c r="B33" s="105">
        <f t="shared" si="0"/>
        <v>0.54460966542750933</v>
      </c>
      <c r="C33" s="105">
        <f t="shared" si="0"/>
        <v>0.45539033457249073</v>
      </c>
      <c r="D33" s="105">
        <f t="shared" si="0"/>
        <v>0</v>
      </c>
      <c r="E33" s="105">
        <f t="shared" si="0"/>
        <v>0</v>
      </c>
    </row>
    <row r="34" spans="1:5">
      <c r="A34" t="s">
        <v>468</v>
      </c>
      <c r="B34" s="105">
        <f t="shared" si="0"/>
        <v>0.82139534883720933</v>
      </c>
      <c r="C34" s="105">
        <f t="shared" si="0"/>
        <v>0.1786046511627907</v>
      </c>
      <c r="D34" s="105">
        <f t="shared" si="0"/>
        <v>0</v>
      </c>
      <c r="E34" s="105">
        <f t="shared" si="0"/>
        <v>0</v>
      </c>
    </row>
    <row r="35" spans="1:5">
      <c r="A35" t="s">
        <v>467</v>
      </c>
      <c r="B35" s="105">
        <f t="shared" si="0"/>
        <v>0.43426724137931033</v>
      </c>
      <c r="C35" s="105">
        <f t="shared" si="0"/>
        <v>0.48168103448275867</v>
      </c>
      <c r="D35" s="105">
        <f t="shared" si="0"/>
        <v>0</v>
      </c>
      <c r="E35" s="105">
        <f t="shared" si="0"/>
        <v>8.4051724137931036E-2</v>
      </c>
    </row>
    <row r="36" spans="1:5">
      <c r="A36" t="s">
        <v>1888</v>
      </c>
      <c r="B36" s="105">
        <f t="shared" si="0"/>
        <v>9.4861660079051377E-2</v>
      </c>
      <c r="C36" s="105">
        <f t="shared" si="0"/>
        <v>0.84057971014492738</v>
      </c>
      <c r="D36" s="105">
        <f t="shared" si="0"/>
        <v>0</v>
      </c>
      <c r="E36" s="105">
        <f t="shared" si="0"/>
        <v>6.4558629776021087E-2</v>
      </c>
    </row>
    <row r="38" spans="1:5">
      <c r="A38" s="23" t="s">
        <v>1929</v>
      </c>
    </row>
    <row r="40" spans="1:5" ht="45">
      <c r="A40" s="100" t="s">
        <v>114</v>
      </c>
      <c r="B40" s="101" t="s">
        <v>1930</v>
      </c>
      <c r="C40" s="101" t="s">
        <v>1931</v>
      </c>
    </row>
    <row r="41" spans="1:5">
      <c r="A41" t="s">
        <v>465</v>
      </c>
      <c r="B41" s="61">
        <f t="shared" ref="B41:B52" si="1">SUM(B25:C25)</f>
        <v>0.29652173913043478</v>
      </c>
      <c r="C41" s="61">
        <f t="shared" ref="C41:C52" si="2">SUM(D25:E25)</f>
        <v>0.70347826086956522</v>
      </c>
    </row>
    <row r="42" spans="1:5">
      <c r="A42" t="s">
        <v>466</v>
      </c>
      <c r="B42" s="61">
        <f t="shared" si="1"/>
        <v>0.11333333333333333</v>
      </c>
      <c r="C42" s="61">
        <f t="shared" si="2"/>
        <v>0.88666666666666671</v>
      </c>
    </row>
    <row r="43" spans="1:5">
      <c r="A43" t="s">
        <v>68</v>
      </c>
      <c r="B43" s="61">
        <f t="shared" si="1"/>
        <v>0.83291267036850081</v>
      </c>
      <c r="C43" s="61">
        <f t="shared" si="2"/>
        <v>0.16708732963149925</v>
      </c>
    </row>
    <row r="44" spans="1:5">
      <c r="A44" t="s">
        <v>1927</v>
      </c>
      <c r="B44" s="61">
        <f t="shared" si="1"/>
        <v>1</v>
      </c>
      <c r="C44" s="61">
        <f t="shared" si="2"/>
        <v>0</v>
      </c>
    </row>
    <row r="45" spans="1:5">
      <c r="A45" t="s">
        <v>463</v>
      </c>
      <c r="B45" s="61">
        <f t="shared" si="1"/>
        <v>1</v>
      </c>
      <c r="C45" s="61">
        <f t="shared" si="2"/>
        <v>0</v>
      </c>
    </row>
    <row r="46" spans="1:5">
      <c r="A46" t="s">
        <v>462</v>
      </c>
      <c r="B46" s="61">
        <f t="shared" si="1"/>
        <v>1</v>
      </c>
      <c r="C46" s="61">
        <f t="shared" si="2"/>
        <v>0</v>
      </c>
    </row>
    <row r="47" spans="1:5">
      <c r="A47" t="s">
        <v>460</v>
      </c>
      <c r="B47" s="61">
        <f t="shared" si="1"/>
        <v>1</v>
      </c>
      <c r="C47" s="61">
        <f t="shared" si="2"/>
        <v>0</v>
      </c>
    </row>
    <row r="48" spans="1:5">
      <c r="A48" t="s">
        <v>461</v>
      </c>
      <c r="B48" s="61">
        <f t="shared" si="1"/>
        <v>1</v>
      </c>
      <c r="C48" s="61">
        <f t="shared" si="2"/>
        <v>0</v>
      </c>
    </row>
    <row r="49" spans="1:5">
      <c r="A49" t="s">
        <v>73</v>
      </c>
      <c r="B49" s="61">
        <f t="shared" si="1"/>
        <v>1</v>
      </c>
      <c r="C49" s="61">
        <f t="shared" si="2"/>
        <v>0</v>
      </c>
    </row>
    <row r="50" spans="1:5">
      <c r="A50" t="s">
        <v>468</v>
      </c>
      <c r="B50" s="61">
        <f t="shared" si="1"/>
        <v>1</v>
      </c>
      <c r="C50" s="61">
        <f t="shared" si="2"/>
        <v>0</v>
      </c>
    </row>
    <row r="51" spans="1:5">
      <c r="A51" t="s">
        <v>467</v>
      </c>
      <c r="B51" s="61">
        <f t="shared" si="1"/>
        <v>0.91594827586206895</v>
      </c>
      <c r="C51" s="61">
        <f t="shared" si="2"/>
        <v>8.4051724137931036E-2</v>
      </c>
    </row>
    <row r="52" spans="1:5">
      <c r="A52" t="s">
        <v>1888</v>
      </c>
      <c r="B52" s="61">
        <f t="shared" si="1"/>
        <v>0.93544137022397877</v>
      </c>
      <c r="C52" s="61">
        <f t="shared" si="2"/>
        <v>6.4558629776021087E-2</v>
      </c>
    </row>
    <row r="53" spans="1:5">
      <c r="A53" s="51" t="s">
        <v>464</v>
      </c>
      <c r="B53" s="108">
        <v>0.3</v>
      </c>
      <c r="C53" s="108">
        <v>0.7</v>
      </c>
      <c r="D53" s="109" t="s">
        <v>1932</v>
      </c>
      <c r="E53" s="58" t="s">
        <v>1933</v>
      </c>
    </row>
  </sheetData>
  <pageMargins left="0.7" right="0.7" top="0.75" bottom="0.75" header="0.3" footer="0.3"/>
  <headerFooter>
    <oddFooter>&amp;R_x000D_&amp;1#&amp;"Aptos"&amp;10&amp;K000000 Official Use Only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1204-DC9C-4277-B0F8-30AF77684233}">
  <dimension ref="A1:E84"/>
  <sheetViews>
    <sheetView topLeftCell="A28" zoomScale="145" zoomScaleNormal="145" workbookViewId="0">
      <selection activeCell="A83" sqref="A83"/>
    </sheetView>
  </sheetViews>
  <sheetFormatPr defaultRowHeight="15"/>
  <cols>
    <col min="1" max="1" width="24" customWidth="1"/>
    <col min="3" max="3" width="13.28515625" customWidth="1"/>
    <col min="4" max="4" width="12.85546875" customWidth="1"/>
  </cols>
  <sheetData>
    <row r="1" spans="1:3">
      <c r="A1" s="106" t="s">
        <v>1934</v>
      </c>
      <c r="B1" s="107"/>
      <c r="C1" s="107"/>
    </row>
    <row r="3" spans="1:3">
      <c r="A3" t="s">
        <v>1935</v>
      </c>
    </row>
    <row r="4" spans="1:3">
      <c r="A4" t="s">
        <v>1936</v>
      </c>
    </row>
    <row r="5" spans="1:3">
      <c r="A5" t="s">
        <v>1937</v>
      </c>
    </row>
    <row r="6" spans="1:3">
      <c r="A6" t="s">
        <v>1938</v>
      </c>
    </row>
    <row r="7" spans="1:3">
      <c r="A7" t="s">
        <v>1939</v>
      </c>
    </row>
    <row r="9" spans="1:3">
      <c r="A9" t="s">
        <v>1940</v>
      </c>
    </row>
    <row r="11" spans="1:3">
      <c r="A11" s="535" t="s">
        <v>1941</v>
      </c>
    </row>
    <row r="12" spans="1:3">
      <c r="A12" t="s">
        <v>1942</v>
      </c>
    </row>
    <row r="13" spans="1:3">
      <c r="A13" t="s">
        <v>1943</v>
      </c>
    </row>
    <row r="14" spans="1:3">
      <c r="A14" t="s">
        <v>1944</v>
      </c>
    </row>
    <row r="15" spans="1:3">
      <c r="A15" t="s">
        <v>1945</v>
      </c>
      <c r="B15">
        <v>96.5</v>
      </c>
      <c r="C15" s="49" t="s">
        <v>1946</v>
      </c>
    </row>
    <row r="16" spans="1:3">
      <c r="A16" t="s">
        <v>1947</v>
      </c>
      <c r="B16">
        <v>55</v>
      </c>
      <c r="C16" s="49" t="s">
        <v>1946</v>
      </c>
    </row>
    <row r="17" spans="1:3">
      <c r="A17" s="23" t="s">
        <v>1948</v>
      </c>
      <c r="B17" s="1088">
        <f>(B16-B15)/B15</f>
        <v>-0.43005181347150256</v>
      </c>
      <c r="C17" s="49" t="s">
        <v>282</v>
      </c>
    </row>
    <row r="18" spans="1:3">
      <c r="B18" s="558" t="s">
        <v>769</v>
      </c>
    </row>
    <row r="19" spans="1:3">
      <c r="B19" s="558">
        <v>2024</v>
      </c>
    </row>
    <row r="20" spans="1:3">
      <c r="B20" s="558" t="s">
        <v>1949</v>
      </c>
    </row>
    <row r="21" spans="1:3">
      <c r="B21" s="998" t="s">
        <v>1950</v>
      </c>
    </row>
    <row r="22" spans="1:3">
      <c r="B22" s="558" t="s">
        <v>1951</v>
      </c>
    </row>
    <row r="24" spans="1:3">
      <c r="A24" s="535" t="s">
        <v>1952</v>
      </c>
    </row>
    <row r="25" spans="1:3">
      <c r="A25" t="s">
        <v>1953</v>
      </c>
    </row>
    <row r="26" spans="1:3">
      <c r="A26" t="s">
        <v>1954</v>
      </c>
    </row>
    <row r="27" spans="1:3">
      <c r="A27" t="s">
        <v>1955</v>
      </c>
    </row>
    <row r="28" spans="1:3">
      <c r="A28" t="s">
        <v>1956</v>
      </c>
    </row>
    <row r="29" spans="1:3">
      <c r="A29" t="s">
        <v>1945</v>
      </c>
      <c r="B29">
        <v>188.25</v>
      </c>
      <c r="C29" s="49" t="s">
        <v>684</v>
      </c>
    </row>
    <row r="30" spans="1:3">
      <c r="A30" t="s">
        <v>1947</v>
      </c>
      <c r="B30">
        <v>182.33</v>
      </c>
      <c r="C30" s="49" t="s">
        <v>684</v>
      </c>
    </row>
    <row r="31" spans="1:3">
      <c r="A31" s="23" t="s">
        <v>1948</v>
      </c>
      <c r="B31" s="1088">
        <f>(B30-B29)/B29</f>
        <v>-3.1447543160690504E-2</v>
      </c>
      <c r="C31" s="49" t="s">
        <v>282</v>
      </c>
    </row>
    <row r="32" spans="1:3">
      <c r="B32" t="s">
        <v>1957</v>
      </c>
    </row>
    <row r="33" spans="1:3">
      <c r="B33" s="558">
        <v>2025</v>
      </c>
    </row>
    <row r="34" spans="1:3">
      <c r="B34" t="s">
        <v>1958</v>
      </c>
    </row>
    <row r="35" spans="1:3">
      <c r="B35" t="s">
        <v>1959</v>
      </c>
    </row>
    <row r="36" spans="1:3">
      <c r="B36" t="s">
        <v>1960</v>
      </c>
    </row>
    <row r="38" spans="1:3">
      <c r="A38" s="535" t="s">
        <v>1961</v>
      </c>
    </row>
    <row r="39" spans="1:3">
      <c r="A39" t="s">
        <v>1962</v>
      </c>
    </row>
    <row r="40" spans="1:3">
      <c r="A40" t="s">
        <v>1963</v>
      </c>
    </row>
    <row r="41" spans="1:3">
      <c r="A41" t="s">
        <v>1964</v>
      </c>
      <c r="B41">
        <v>183</v>
      </c>
      <c r="C41" s="49" t="s">
        <v>1965</v>
      </c>
    </row>
    <row r="42" spans="1:3">
      <c r="A42" t="s">
        <v>1966</v>
      </c>
      <c r="B42">
        <v>188</v>
      </c>
      <c r="C42" s="49" t="s">
        <v>1965</v>
      </c>
    </row>
    <row r="43" spans="1:3">
      <c r="A43" s="23" t="s">
        <v>1948</v>
      </c>
      <c r="B43" s="1088">
        <f>(B42-B41)/B41</f>
        <v>2.7322404371584699E-2</v>
      </c>
      <c r="C43" s="49" t="s">
        <v>282</v>
      </c>
    </row>
    <row r="44" spans="1:3">
      <c r="B44" t="s">
        <v>803</v>
      </c>
    </row>
    <row r="45" spans="1:3">
      <c r="B45" s="558">
        <v>2024</v>
      </c>
    </row>
    <row r="46" spans="1:3">
      <c r="B46" t="s">
        <v>1967</v>
      </c>
    </row>
    <row r="47" spans="1:3">
      <c r="B47" t="s">
        <v>805</v>
      </c>
    </row>
    <row r="48" spans="1:3">
      <c r="B48" t="s">
        <v>806</v>
      </c>
    </row>
    <row r="50" spans="1:3">
      <c r="A50" s="535" t="s">
        <v>1968</v>
      </c>
    </row>
    <row r="51" spans="1:3">
      <c r="A51" t="s">
        <v>1969</v>
      </c>
    </row>
    <row r="52" spans="1:3">
      <c r="A52" t="s">
        <v>1970</v>
      </c>
    </row>
    <row r="53" spans="1:3">
      <c r="A53" t="s">
        <v>1971</v>
      </c>
      <c r="B53">
        <v>80.400000000000006</v>
      </c>
      <c r="C53" s="49" t="s">
        <v>1972</v>
      </c>
    </row>
    <row r="54" spans="1:3">
      <c r="A54" t="s">
        <v>1973</v>
      </c>
      <c r="B54">
        <v>92.7</v>
      </c>
      <c r="C54" s="49" t="s">
        <v>1972</v>
      </c>
    </row>
    <row r="55" spans="1:3">
      <c r="A55" s="23" t="s">
        <v>1948</v>
      </c>
      <c r="B55" s="1088">
        <f>(B54-B53)/B53</f>
        <v>0.15298507462686561</v>
      </c>
      <c r="C55" s="49" t="s">
        <v>282</v>
      </c>
    </row>
    <row r="56" spans="1:3">
      <c r="B56" t="s">
        <v>749</v>
      </c>
    </row>
    <row r="57" spans="1:3">
      <c r="B57" s="558">
        <v>2023</v>
      </c>
    </row>
    <row r="58" spans="1:3">
      <c r="B58" t="s">
        <v>1974</v>
      </c>
    </row>
    <row r="59" spans="1:3">
      <c r="B59" t="s">
        <v>1975</v>
      </c>
    </row>
    <row r="60" spans="1:3">
      <c r="B60" t="s">
        <v>1976</v>
      </c>
    </row>
    <row r="62" spans="1:3">
      <c r="A62" s="535" t="s">
        <v>1977</v>
      </c>
    </row>
    <row r="63" spans="1:3">
      <c r="A63" t="s">
        <v>1978</v>
      </c>
    </row>
    <row r="64" spans="1:3">
      <c r="A64" t="s">
        <v>1979</v>
      </c>
    </row>
    <row r="65" spans="1:5">
      <c r="A65" t="s">
        <v>1980</v>
      </c>
    </row>
    <row r="66" spans="1:5">
      <c r="A66" t="s">
        <v>1981</v>
      </c>
    </row>
    <row r="67" spans="1:5">
      <c r="B67" s="23">
        <v>2023</v>
      </c>
      <c r="C67" s="23">
        <v>2050</v>
      </c>
      <c r="D67" s="98" t="s">
        <v>116</v>
      </c>
      <c r="E67" s="30" t="s">
        <v>1982</v>
      </c>
    </row>
    <row r="68" spans="1:5">
      <c r="A68" t="s">
        <v>1443</v>
      </c>
      <c r="B68">
        <v>102.2</v>
      </c>
      <c r="C68">
        <v>120.1</v>
      </c>
      <c r="D68" s="49" t="s">
        <v>1983</v>
      </c>
      <c r="E68" s="547">
        <f>(C68-B68)/B68</f>
        <v>0.1751467710371819</v>
      </c>
    </row>
    <row r="69" spans="1:5">
      <c r="A69" t="s">
        <v>1984</v>
      </c>
      <c r="B69">
        <v>102.2</v>
      </c>
      <c r="C69">
        <v>96.1</v>
      </c>
      <c r="D69" s="49" t="s">
        <v>1983</v>
      </c>
      <c r="E69" s="547">
        <f>(C69-B69)/B69</f>
        <v>-5.9686888454011822E-2</v>
      </c>
    </row>
    <row r="70" spans="1:5">
      <c r="A70" t="s">
        <v>1985</v>
      </c>
      <c r="B70">
        <v>102.2</v>
      </c>
      <c r="C70">
        <v>127.2</v>
      </c>
      <c r="D70" s="49" t="s">
        <v>1983</v>
      </c>
      <c r="E70" s="547">
        <f>(C70-B70)/B70</f>
        <v>0.2446183953033268</v>
      </c>
    </row>
    <row r="71" spans="1:5">
      <c r="B71" t="s">
        <v>1986</v>
      </c>
    </row>
    <row r="72" spans="1:5">
      <c r="B72" s="558">
        <v>2024</v>
      </c>
    </row>
    <row r="73" spans="1:5">
      <c r="A73" s="23"/>
      <c r="B73" t="s">
        <v>1987</v>
      </c>
    </row>
    <row r="74" spans="1:5">
      <c r="B74" t="s">
        <v>1988</v>
      </c>
    </row>
    <row r="75" spans="1:5">
      <c r="B75" t="s">
        <v>1989</v>
      </c>
    </row>
    <row r="77" spans="1:5">
      <c r="A77" s="533" t="s">
        <v>1990</v>
      </c>
    </row>
    <row r="78" spans="1:5">
      <c r="A78" t="s">
        <v>1991</v>
      </c>
      <c r="B78" s="46"/>
    </row>
    <row r="79" spans="1:5">
      <c r="A79" t="s">
        <v>1992</v>
      </c>
    </row>
    <row r="80" spans="1:5">
      <c r="A80" t="s">
        <v>1993</v>
      </c>
    </row>
    <row r="81" spans="1:2">
      <c r="A81" t="s">
        <v>1994</v>
      </c>
    </row>
    <row r="83" spans="1:2">
      <c r="A83" s="23" t="s">
        <v>1995</v>
      </c>
      <c r="B83" s="1089">
        <f>B43</f>
        <v>2.7322404371584699E-2</v>
      </c>
    </row>
    <row r="84" spans="1:2">
      <c r="A84" s="538" t="s">
        <v>1996</v>
      </c>
    </row>
  </sheetData>
  <hyperlinks>
    <hyperlink ref="B21" r:id="rId1" xr:uid="{E80B7BC1-2EDA-46B2-8740-4AD94E7A2970}"/>
  </hyperlinks>
  <pageMargins left="0.7" right="0.7" top="0.75" bottom="0.75" header="0.3" footer="0.3"/>
  <headerFooter>
    <oddFooter>&amp;R_x000D_&amp;1#&amp;"Aptos"&amp;10&amp;K000000 Official Use 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5FEE-FB95-447E-B83B-B278C7ECE34B}">
  <dimension ref="A1:AJ51"/>
  <sheetViews>
    <sheetView zoomScaleNormal="100" workbookViewId="0">
      <selection activeCell="P39" sqref="P39"/>
    </sheetView>
  </sheetViews>
  <sheetFormatPr defaultRowHeight="15"/>
  <cols>
    <col min="1" max="1" width="45.7109375" customWidth="1"/>
    <col min="2" max="2" width="74.7109375" customWidth="1"/>
    <col min="3" max="3" width="36.28515625" customWidth="1"/>
    <col min="4" max="4" width="18.28515625" customWidth="1"/>
    <col min="5" max="35" width="11" customWidth="1"/>
  </cols>
  <sheetData>
    <row r="1" spans="1:36">
      <c r="A1" s="1" t="s">
        <v>1997</v>
      </c>
      <c r="B1" s="2"/>
      <c r="C1" s="2"/>
      <c r="D1" s="2"/>
      <c r="E1" s="2"/>
      <c r="F1" s="2"/>
      <c r="G1" s="2"/>
      <c r="H1" s="2"/>
      <c r="I1" s="2"/>
      <c r="J1" s="2"/>
      <c r="K1" s="2"/>
      <c r="L1" s="2"/>
      <c r="M1" s="2"/>
      <c r="N1" s="2"/>
      <c r="O1" s="3"/>
    </row>
    <row r="2" spans="1:36">
      <c r="A2" s="1" t="s">
        <v>1998</v>
      </c>
      <c r="B2" s="2"/>
      <c r="C2" s="2"/>
      <c r="D2" s="2"/>
      <c r="E2" s="2"/>
      <c r="F2" s="2"/>
      <c r="G2" s="39" t="s">
        <v>1999</v>
      </c>
      <c r="H2" s="40"/>
      <c r="I2" s="40"/>
      <c r="J2" s="40"/>
      <c r="K2" s="40"/>
      <c r="L2" s="2"/>
      <c r="M2" s="2"/>
      <c r="N2" s="2"/>
      <c r="O2" s="3"/>
    </row>
    <row r="3" spans="1:36" s="33" customFormat="1" ht="30">
      <c r="A3" s="34" t="s">
        <v>2000</v>
      </c>
      <c r="B3" s="35"/>
      <c r="C3" s="35"/>
      <c r="D3" s="35"/>
      <c r="E3" s="35"/>
      <c r="F3" s="35"/>
      <c r="G3" s="38" t="s">
        <v>40</v>
      </c>
      <c r="H3" s="38" t="s">
        <v>40</v>
      </c>
      <c r="I3" s="38" t="s">
        <v>40</v>
      </c>
      <c r="J3" s="38" t="s">
        <v>41</v>
      </c>
      <c r="K3" s="38" t="s">
        <v>42</v>
      </c>
      <c r="L3" s="38" t="s">
        <v>42</v>
      </c>
      <c r="M3" s="38" t="s">
        <v>42</v>
      </c>
      <c r="N3" s="38" t="s">
        <v>42</v>
      </c>
      <c r="O3" s="38" t="s">
        <v>42</v>
      </c>
      <c r="Q3" s="38" t="s">
        <v>43</v>
      </c>
      <c r="R3" s="38" t="s">
        <v>43</v>
      </c>
      <c r="S3" s="38" t="s">
        <v>43</v>
      </c>
      <c r="T3" s="38" t="s">
        <v>43</v>
      </c>
      <c r="U3" s="38" t="s">
        <v>43</v>
      </c>
      <c r="V3" s="38" t="s">
        <v>43</v>
      </c>
      <c r="W3" s="38" t="s">
        <v>43</v>
      </c>
      <c r="X3" s="38" t="s">
        <v>43</v>
      </c>
      <c r="Y3" s="38" t="s">
        <v>43</v>
      </c>
      <c r="Z3" s="38" t="s">
        <v>43</v>
      </c>
      <c r="AA3" s="38" t="s">
        <v>43</v>
      </c>
      <c r="AB3" s="38" t="s">
        <v>43</v>
      </c>
      <c r="AC3" s="38" t="s">
        <v>43</v>
      </c>
      <c r="AD3" s="38" t="s">
        <v>43</v>
      </c>
      <c r="AE3" s="38" t="s">
        <v>44</v>
      </c>
      <c r="AF3" s="38" t="s">
        <v>44</v>
      </c>
      <c r="AG3" s="38" t="s">
        <v>46</v>
      </c>
      <c r="AH3" s="38" t="s">
        <v>141</v>
      </c>
    </row>
    <row r="4" spans="1:36" ht="15.75">
      <c r="A4" s="4" t="s">
        <v>2001</v>
      </c>
      <c r="B4" s="5"/>
      <c r="C4" s="5"/>
      <c r="D4" s="5"/>
      <c r="E4" s="5"/>
      <c r="F4" s="5"/>
      <c r="G4" s="5"/>
      <c r="H4" s="5"/>
      <c r="I4" s="5"/>
      <c r="J4" s="5"/>
      <c r="K4" s="5"/>
      <c r="L4" s="5"/>
      <c r="M4" s="5"/>
      <c r="N4" s="5"/>
      <c r="O4" s="32"/>
    </row>
    <row r="5" spans="1:36" ht="30.75" customHeight="1">
      <c r="A5" s="1149" t="s">
        <v>2002</v>
      </c>
      <c r="B5" s="1151" t="s">
        <v>1207</v>
      </c>
      <c r="C5" s="6"/>
      <c r="D5" s="1153" t="s">
        <v>2003</v>
      </c>
      <c r="E5" s="1154"/>
      <c r="F5" s="1155" t="s">
        <v>2004</v>
      </c>
      <c r="G5" s="1145" t="s">
        <v>2005</v>
      </c>
      <c r="H5" s="1145" t="s">
        <v>2006</v>
      </c>
      <c r="I5" s="1145" t="s">
        <v>2007</v>
      </c>
      <c r="J5" s="1145" t="s">
        <v>2008</v>
      </c>
      <c r="K5" s="1145" t="s">
        <v>2009</v>
      </c>
      <c r="L5" s="1145" t="s">
        <v>2010</v>
      </c>
      <c r="M5" s="1145" t="s">
        <v>2011</v>
      </c>
      <c r="N5" s="1147" t="s">
        <v>2012</v>
      </c>
      <c r="O5" s="1143" t="s">
        <v>2013</v>
      </c>
      <c r="P5" s="31"/>
    </row>
    <row r="6" spans="1:36" ht="72">
      <c r="A6" s="1150"/>
      <c r="B6" s="1152"/>
      <c r="C6" s="7"/>
      <c r="D6" s="8" t="s">
        <v>2014</v>
      </c>
      <c r="E6" s="9" t="s">
        <v>2015</v>
      </c>
      <c r="F6" s="1156"/>
      <c r="G6" s="1146"/>
      <c r="H6" s="1146"/>
      <c r="I6" s="1146"/>
      <c r="J6" s="1146"/>
      <c r="K6" s="1146"/>
      <c r="L6" s="1146"/>
      <c r="M6" s="1146"/>
      <c r="N6" s="1148"/>
      <c r="O6" s="1144"/>
      <c r="P6" s="11" t="s">
        <v>2016</v>
      </c>
      <c r="Q6" s="10" t="s">
        <v>2017</v>
      </c>
      <c r="R6" s="10" t="s">
        <v>2018</v>
      </c>
      <c r="S6" s="10" t="s">
        <v>2019</v>
      </c>
      <c r="T6" s="10" t="s">
        <v>2020</v>
      </c>
      <c r="U6" s="10" t="s">
        <v>2021</v>
      </c>
      <c r="V6" s="10" t="s">
        <v>2022</v>
      </c>
      <c r="W6" s="10" t="s">
        <v>2023</v>
      </c>
      <c r="X6" s="10" t="s">
        <v>2024</v>
      </c>
      <c r="Y6" s="12" t="s">
        <v>2025</v>
      </c>
      <c r="Z6" s="10" t="s">
        <v>2026</v>
      </c>
      <c r="AA6" s="10" t="s">
        <v>2027</v>
      </c>
      <c r="AB6" s="10" t="s">
        <v>2028</v>
      </c>
      <c r="AC6" s="10" t="s">
        <v>2029</v>
      </c>
      <c r="AD6" s="10" t="s">
        <v>2030</v>
      </c>
      <c r="AE6" s="10" t="s">
        <v>2031</v>
      </c>
      <c r="AF6" s="10" t="s">
        <v>2032</v>
      </c>
      <c r="AG6" s="10" t="s">
        <v>2033</v>
      </c>
      <c r="AH6" s="10" t="s">
        <v>2034</v>
      </c>
      <c r="AI6" s="12" t="s">
        <v>2035</v>
      </c>
      <c r="AJ6" s="22"/>
    </row>
    <row r="7" spans="1:36">
      <c r="A7" s="13" t="s">
        <v>2036</v>
      </c>
      <c r="B7" s="14" t="s">
        <v>114</v>
      </c>
      <c r="C7" s="13"/>
      <c r="D7" s="15">
        <v>353950.41</v>
      </c>
      <c r="E7" s="15">
        <v>260411.57</v>
      </c>
      <c r="F7" s="15">
        <v>42244.09</v>
      </c>
      <c r="G7" s="15">
        <v>34270.67</v>
      </c>
      <c r="H7" s="16"/>
      <c r="I7" s="15">
        <v>7348.29</v>
      </c>
      <c r="J7" s="15">
        <v>44748.93</v>
      </c>
      <c r="K7" s="15">
        <v>5150.99</v>
      </c>
      <c r="L7" s="15">
        <v>10881.82</v>
      </c>
      <c r="M7" s="15">
        <v>1873.2</v>
      </c>
      <c r="N7" s="15">
        <v>479.94</v>
      </c>
      <c r="O7" s="15">
        <v>1269.25</v>
      </c>
      <c r="P7" s="15">
        <v>41273.120000000003</v>
      </c>
      <c r="Q7" s="15">
        <v>439.63</v>
      </c>
      <c r="R7" s="15">
        <v>225.54</v>
      </c>
      <c r="S7" s="15">
        <v>11.7</v>
      </c>
      <c r="T7" s="15">
        <v>2041.43</v>
      </c>
      <c r="U7" s="15">
        <v>698.43</v>
      </c>
      <c r="V7" s="15">
        <v>11183.01</v>
      </c>
      <c r="W7" s="15">
        <v>312.91000000000003</v>
      </c>
      <c r="X7" s="15">
        <v>330.26</v>
      </c>
      <c r="Y7" s="15">
        <v>114.91</v>
      </c>
      <c r="Z7" s="15">
        <v>653.61</v>
      </c>
      <c r="AA7" s="15">
        <v>4004.38</v>
      </c>
      <c r="AB7" s="15">
        <v>6331.28</v>
      </c>
      <c r="AC7" s="15">
        <v>3182.07</v>
      </c>
      <c r="AD7" s="15">
        <v>11743.96</v>
      </c>
      <c r="AE7" s="15">
        <v>10764.37</v>
      </c>
      <c r="AF7" s="15">
        <v>12478.73</v>
      </c>
      <c r="AG7" s="15">
        <v>21105.48</v>
      </c>
      <c r="AH7" s="15">
        <v>66795.66</v>
      </c>
      <c r="AI7" s="15">
        <v>1345.99</v>
      </c>
      <c r="AJ7" s="22"/>
    </row>
    <row r="8" spans="1:36">
      <c r="A8" s="13" t="s">
        <v>2037</v>
      </c>
      <c r="B8" s="17" t="s">
        <v>2038</v>
      </c>
      <c r="C8" s="13"/>
      <c r="D8" s="15">
        <v>13808.28</v>
      </c>
      <c r="E8" s="15">
        <v>9166.25</v>
      </c>
      <c r="F8" s="15">
        <v>1432.08</v>
      </c>
      <c r="G8" s="15">
        <v>1144.99</v>
      </c>
      <c r="H8" s="16"/>
      <c r="I8" s="15">
        <v>273.88</v>
      </c>
      <c r="J8" s="15">
        <v>217.02</v>
      </c>
      <c r="K8" s="15">
        <v>35.01</v>
      </c>
      <c r="L8" s="15">
        <v>37.6</v>
      </c>
      <c r="M8" s="15">
        <v>7.39</v>
      </c>
      <c r="N8" s="15">
        <v>0.67</v>
      </c>
      <c r="O8" s="15">
        <v>0.67</v>
      </c>
      <c r="P8" s="15">
        <v>1501.26</v>
      </c>
      <c r="Q8" s="15">
        <v>350.57</v>
      </c>
      <c r="R8" s="15">
        <v>17.3</v>
      </c>
      <c r="S8" s="15">
        <v>1.87</v>
      </c>
      <c r="T8" s="15">
        <v>793.16</v>
      </c>
      <c r="U8" s="15">
        <v>2.67</v>
      </c>
      <c r="V8" s="15">
        <v>194.69</v>
      </c>
      <c r="W8" s="15">
        <v>3.53</v>
      </c>
      <c r="X8" s="16"/>
      <c r="Y8" s="16"/>
      <c r="Z8" s="15">
        <v>0.5</v>
      </c>
      <c r="AA8" s="15">
        <v>1.53</v>
      </c>
      <c r="AB8" s="15">
        <v>89.01</v>
      </c>
      <c r="AC8" s="15">
        <v>23.37</v>
      </c>
      <c r="AD8" s="15">
        <v>23.05</v>
      </c>
      <c r="AE8" s="15">
        <v>2218.5300000000002</v>
      </c>
      <c r="AF8" s="15">
        <v>116.73</v>
      </c>
      <c r="AG8" s="15">
        <v>248.48</v>
      </c>
      <c r="AH8" s="15">
        <v>3314.85</v>
      </c>
      <c r="AI8" s="15">
        <v>35.94</v>
      </c>
      <c r="AJ8" s="22"/>
    </row>
    <row r="9" spans="1:36">
      <c r="A9" s="18" t="s">
        <v>2039</v>
      </c>
      <c r="B9" s="19" t="s">
        <v>2040</v>
      </c>
      <c r="C9" s="18"/>
      <c r="D9" s="15">
        <v>4566.33</v>
      </c>
      <c r="E9" s="15">
        <v>2930.12</v>
      </c>
      <c r="F9" s="15">
        <v>940.1</v>
      </c>
      <c r="G9" s="15">
        <v>799.8</v>
      </c>
      <c r="H9" s="16"/>
      <c r="I9" s="15">
        <v>136.85</v>
      </c>
      <c r="J9" s="15">
        <v>8.07</v>
      </c>
      <c r="K9" s="15">
        <v>0.19</v>
      </c>
      <c r="L9" s="15">
        <v>1.87</v>
      </c>
      <c r="M9" s="16"/>
      <c r="N9" s="15">
        <v>0.33</v>
      </c>
      <c r="O9" s="15">
        <v>0.28999999999999998</v>
      </c>
      <c r="P9" s="15">
        <v>558.26</v>
      </c>
      <c r="Q9" s="15">
        <v>0.09</v>
      </c>
      <c r="R9" s="15">
        <v>3.88</v>
      </c>
      <c r="S9" s="15">
        <v>0.56000000000000005</v>
      </c>
      <c r="T9" s="15">
        <v>267.3</v>
      </c>
      <c r="U9" s="15">
        <v>0.4</v>
      </c>
      <c r="V9" s="15">
        <v>194.69</v>
      </c>
      <c r="W9" s="15">
        <v>2.46</v>
      </c>
      <c r="X9" s="16"/>
      <c r="Y9" s="16"/>
      <c r="Z9" s="16"/>
      <c r="AA9" s="15">
        <v>0.35</v>
      </c>
      <c r="AB9" s="15">
        <v>87.81</v>
      </c>
      <c r="AC9" s="16"/>
      <c r="AD9" s="15">
        <v>0.72</v>
      </c>
      <c r="AE9" s="15">
        <v>154.72</v>
      </c>
      <c r="AF9" s="15">
        <v>44.46</v>
      </c>
      <c r="AG9" s="15">
        <v>33.46</v>
      </c>
      <c r="AH9" s="15">
        <v>1168.4100000000001</v>
      </c>
      <c r="AI9" s="15">
        <v>19.96</v>
      </c>
      <c r="AJ9" s="22"/>
    </row>
    <row r="10" spans="1:36">
      <c r="A10" s="18" t="s">
        <v>2041</v>
      </c>
      <c r="B10" s="19" t="s">
        <v>2042</v>
      </c>
      <c r="C10" s="18"/>
      <c r="D10" s="15">
        <v>4268.12</v>
      </c>
      <c r="E10" s="15">
        <v>3309.25</v>
      </c>
      <c r="F10" s="15">
        <v>42.35</v>
      </c>
      <c r="G10" s="15">
        <v>42.35</v>
      </c>
      <c r="H10" s="16"/>
      <c r="I10" s="16"/>
      <c r="J10" s="16"/>
      <c r="K10" s="16"/>
      <c r="L10" s="16"/>
      <c r="M10" s="16"/>
      <c r="N10" s="16"/>
      <c r="O10" s="16"/>
      <c r="P10" s="15">
        <v>466.03</v>
      </c>
      <c r="Q10" s="15">
        <v>350.46</v>
      </c>
      <c r="R10" s="15">
        <v>7.07</v>
      </c>
      <c r="S10" s="15">
        <v>0.87</v>
      </c>
      <c r="T10" s="15">
        <v>61.26</v>
      </c>
      <c r="U10" s="16"/>
      <c r="V10" s="16"/>
      <c r="W10" s="16"/>
      <c r="X10" s="16"/>
      <c r="Y10" s="16"/>
      <c r="Z10" s="16"/>
      <c r="AA10" s="16"/>
      <c r="AB10" s="15">
        <v>1.1200000000000001</v>
      </c>
      <c r="AC10" s="15">
        <v>23.37</v>
      </c>
      <c r="AD10" s="15">
        <v>21.88</v>
      </c>
      <c r="AE10" s="15">
        <v>2005.4</v>
      </c>
      <c r="AF10" s="15">
        <v>39.19</v>
      </c>
      <c r="AG10" s="15">
        <v>71.56</v>
      </c>
      <c r="AH10" s="15">
        <v>684.72</v>
      </c>
      <c r="AI10" s="16"/>
      <c r="AJ10" s="22"/>
    </row>
    <row r="11" spans="1:36">
      <c r="A11" s="18" t="s">
        <v>2043</v>
      </c>
      <c r="B11" s="19" t="s">
        <v>2044</v>
      </c>
      <c r="C11" s="18"/>
      <c r="D11" s="15">
        <v>1769.69</v>
      </c>
      <c r="E11" s="15">
        <v>1024.7</v>
      </c>
      <c r="F11" s="15">
        <v>151.19999999999999</v>
      </c>
      <c r="G11" s="15">
        <v>142.13999999999999</v>
      </c>
      <c r="H11" s="16"/>
      <c r="I11" s="15">
        <v>3.22</v>
      </c>
      <c r="J11" s="15">
        <v>194.5</v>
      </c>
      <c r="K11" s="15">
        <v>20.190000000000001</v>
      </c>
      <c r="L11" s="15">
        <v>35.729999999999997</v>
      </c>
      <c r="M11" s="15">
        <v>4.01</v>
      </c>
      <c r="N11" s="16"/>
      <c r="O11" s="16"/>
      <c r="P11" s="15">
        <v>80.3</v>
      </c>
      <c r="Q11" s="16"/>
      <c r="R11" s="15">
        <v>0.8</v>
      </c>
      <c r="S11" s="16"/>
      <c r="T11" s="15">
        <v>79.09</v>
      </c>
      <c r="U11" s="15">
        <v>0.04</v>
      </c>
      <c r="V11" s="16"/>
      <c r="W11" s="15">
        <v>0.36</v>
      </c>
      <c r="X11" s="16"/>
      <c r="Y11" s="16"/>
      <c r="Z11" s="16"/>
      <c r="AA11" s="16"/>
      <c r="AB11" s="16"/>
      <c r="AC11" s="16"/>
      <c r="AD11" s="15">
        <v>0.01</v>
      </c>
      <c r="AE11" s="15">
        <v>0.96</v>
      </c>
      <c r="AF11" s="16"/>
      <c r="AG11" s="15">
        <v>5.04</v>
      </c>
      <c r="AH11" s="15">
        <v>532</v>
      </c>
      <c r="AI11" s="15">
        <v>0.77</v>
      </c>
      <c r="AJ11" s="22"/>
    </row>
    <row r="12" spans="1:36">
      <c r="A12" s="18" t="s">
        <v>2045</v>
      </c>
      <c r="B12" s="19" t="s">
        <v>2046</v>
      </c>
      <c r="C12" s="18"/>
      <c r="D12" s="15">
        <v>1113.94</v>
      </c>
      <c r="E12" s="15">
        <v>529.55999999999995</v>
      </c>
      <c r="F12" s="15">
        <v>49.79</v>
      </c>
      <c r="G12" s="15">
        <v>49.46</v>
      </c>
      <c r="H12" s="16"/>
      <c r="I12" s="15">
        <v>0.33</v>
      </c>
      <c r="J12" s="15">
        <v>3.7</v>
      </c>
      <c r="K12" s="16"/>
      <c r="L12" s="16"/>
      <c r="M12" s="16"/>
      <c r="N12" s="15">
        <v>0.34</v>
      </c>
      <c r="O12" s="15">
        <v>0.24</v>
      </c>
      <c r="P12" s="15">
        <v>34.61</v>
      </c>
      <c r="Q12" s="16"/>
      <c r="R12" s="15">
        <v>0.91</v>
      </c>
      <c r="S12" s="15">
        <v>0.4</v>
      </c>
      <c r="T12" s="15">
        <v>31.91</v>
      </c>
      <c r="U12" s="15">
        <v>1.17</v>
      </c>
      <c r="V12" s="16"/>
      <c r="W12" s="15">
        <v>7.0000000000000007E-2</v>
      </c>
      <c r="X12" s="16"/>
      <c r="Y12" s="16"/>
      <c r="Z12" s="16"/>
      <c r="AA12" s="15">
        <v>0.13</v>
      </c>
      <c r="AB12" s="16"/>
      <c r="AC12" s="16"/>
      <c r="AD12" s="15">
        <v>0.01</v>
      </c>
      <c r="AE12" s="15">
        <v>8.2799999999999994</v>
      </c>
      <c r="AF12" s="16"/>
      <c r="AG12" s="15">
        <v>0.4</v>
      </c>
      <c r="AH12" s="15">
        <v>417.31</v>
      </c>
      <c r="AI12" s="15">
        <v>14.88</v>
      </c>
      <c r="AJ12" s="22"/>
    </row>
    <row r="13" spans="1:36">
      <c r="A13" s="18" t="s">
        <v>2047</v>
      </c>
      <c r="B13" s="19" t="s">
        <v>2048</v>
      </c>
      <c r="C13" s="18"/>
      <c r="D13" s="15">
        <v>1201.28</v>
      </c>
      <c r="E13" s="15">
        <v>824.49</v>
      </c>
      <c r="F13" s="15">
        <v>236.62</v>
      </c>
      <c r="G13" s="15">
        <v>99.22</v>
      </c>
      <c r="H13" s="16"/>
      <c r="I13" s="15">
        <v>133.49</v>
      </c>
      <c r="J13" s="15">
        <v>10.75</v>
      </c>
      <c r="K13" s="15">
        <v>14.64</v>
      </c>
      <c r="L13" s="16"/>
      <c r="M13" s="15">
        <v>3.38</v>
      </c>
      <c r="N13" s="16"/>
      <c r="O13" s="15">
        <v>0.14000000000000001</v>
      </c>
      <c r="P13" s="15">
        <v>121.88</v>
      </c>
      <c r="Q13" s="16"/>
      <c r="R13" s="15">
        <v>1.24</v>
      </c>
      <c r="S13" s="15">
        <v>0.05</v>
      </c>
      <c r="T13" s="15">
        <v>118.23</v>
      </c>
      <c r="U13" s="15">
        <v>0.56000000000000005</v>
      </c>
      <c r="V13" s="16"/>
      <c r="W13" s="15">
        <v>0.19</v>
      </c>
      <c r="X13" s="16"/>
      <c r="Y13" s="16"/>
      <c r="Z13" s="15">
        <v>0.5</v>
      </c>
      <c r="AA13" s="15">
        <v>1.05</v>
      </c>
      <c r="AB13" s="15">
        <v>0.06</v>
      </c>
      <c r="AC13" s="16"/>
      <c r="AD13" s="15">
        <v>0.02</v>
      </c>
      <c r="AE13" s="15">
        <v>10.47</v>
      </c>
      <c r="AF13" s="15">
        <v>32.979999999999997</v>
      </c>
      <c r="AG13" s="15">
        <v>124.24</v>
      </c>
      <c r="AH13" s="15">
        <v>269.06</v>
      </c>
      <c r="AI13" s="15">
        <v>0.32</v>
      </c>
      <c r="AJ13" s="22"/>
    </row>
    <row r="14" spans="1:36">
      <c r="A14" s="18" t="s">
        <v>2049</v>
      </c>
      <c r="B14" s="19" t="s">
        <v>2050</v>
      </c>
      <c r="C14" s="18"/>
      <c r="D14" s="15">
        <v>389.44</v>
      </c>
      <c r="E14" s="15">
        <v>333.11</v>
      </c>
      <c r="F14" s="15">
        <v>0.75</v>
      </c>
      <c r="G14" s="15">
        <v>0.75</v>
      </c>
      <c r="H14" s="16"/>
      <c r="I14" s="16"/>
      <c r="J14" s="16"/>
      <c r="K14" s="16"/>
      <c r="L14" s="16"/>
      <c r="M14" s="16"/>
      <c r="N14" s="16"/>
      <c r="O14" s="16"/>
      <c r="P14" s="15">
        <v>239.57</v>
      </c>
      <c r="Q14" s="15">
        <v>0.02</v>
      </c>
      <c r="R14" s="15">
        <v>3.41</v>
      </c>
      <c r="S14" s="16"/>
      <c r="T14" s="15">
        <v>234.77</v>
      </c>
      <c r="U14" s="15">
        <v>0.5</v>
      </c>
      <c r="V14" s="16"/>
      <c r="W14" s="15">
        <v>0.44</v>
      </c>
      <c r="X14" s="16"/>
      <c r="Y14" s="16"/>
      <c r="Z14" s="16"/>
      <c r="AA14" s="16"/>
      <c r="AB14" s="15">
        <v>0.03</v>
      </c>
      <c r="AC14" s="16"/>
      <c r="AD14" s="15">
        <v>0.41</v>
      </c>
      <c r="AE14" s="15">
        <v>38.700000000000003</v>
      </c>
      <c r="AF14" s="15">
        <v>0.1</v>
      </c>
      <c r="AG14" s="15">
        <v>13.77</v>
      </c>
      <c r="AH14" s="15">
        <v>40.22</v>
      </c>
      <c r="AI14" s="16"/>
      <c r="AJ14" s="22"/>
    </row>
    <row r="15" spans="1:36">
      <c r="A15" s="18" t="s">
        <v>2051</v>
      </c>
      <c r="B15" s="19" t="s">
        <v>2052</v>
      </c>
      <c r="C15" s="18"/>
      <c r="D15" s="15">
        <v>499.49</v>
      </c>
      <c r="E15" s="15">
        <v>215.02</v>
      </c>
      <c r="F15" s="15">
        <v>11.28</v>
      </c>
      <c r="G15" s="15">
        <v>11.28</v>
      </c>
      <c r="H15" s="16"/>
      <c r="I15" s="16"/>
      <c r="J15" s="16"/>
      <c r="K15" s="16"/>
      <c r="L15" s="16"/>
      <c r="M15" s="16"/>
      <c r="N15" s="16"/>
      <c r="O15" s="16"/>
      <c r="P15" s="15">
        <v>0.6</v>
      </c>
      <c r="Q15" s="16"/>
      <c r="R15" s="16"/>
      <c r="S15" s="16"/>
      <c r="T15" s="15">
        <v>0.6</v>
      </c>
      <c r="U15" s="16"/>
      <c r="V15" s="16"/>
      <c r="W15" s="16"/>
      <c r="X15" s="16"/>
      <c r="Y15" s="16"/>
      <c r="Z15" s="16"/>
      <c r="AA15" s="16"/>
      <c r="AB15" s="16"/>
      <c r="AC15" s="16"/>
      <c r="AD15" s="16"/>
      <c r="AE15" s="16"/>
      <c r="AF15" s="16"/>
      <c r="AG15" s="16"/>
      <c r="AH15" s="15">
        <v>203.14</v>
      </c>
      <c r="AI15" s="16"/>
      <c r="AJ15" s="22"/>
    </row>
    <row r="16" spans="1:36" ht="30">
      <c r="A16" s="13" t="s">
        <v>2053</v>
      </c>
      <c r="B16" s="17" t="s">
        <v>2054</v>
      </c>
      <c r="C16" s="41" t="s">
        <v>2055</v>
      </c>
      <c r="D16" s="15">
        <v>316827.3</v>
      </c>
      <c r="E16" s="15">
        <v>240721.94</v>
      </c>
      <c r="F16" s="15">
        <v>40492.68</v>
      </c>
      <c r="G16" s="15">
        <v>32826.86</v>
      </c>
      <c r="H16" s="16"/>
      <c r="I16" s="15">
        <v>7059.79</v>
      </c>
      <c r="J16" s="15">
        <v>44453.04</v>
      </c>
      <c r="K16" s="15">
        <v>5094.74</v>
      </c>
      <c r="L16" s="15">
        <v>10844.22</v>
      </c>
      <c r="M16" s="15">
        <v>1865.72</v>
      </c>
      <c r="N16" s="15">
        <v>478.95</v>
      </c>
      <c r="O16" s="15">
        <v>126837</v>
      </c>
      <c r="P16" s="15">
        <v>39648.74</v>
      </c>
      <c r="Q16" s="15">
        <v>88.75</v>
      </c>
      <c r="R16" s="15">
        <v>179.13</v>
      </c>
      <c r="S16" s="15">
        <v>9.83</v>
      </c>
      <c r="T16" s="15">
        <v>1169.06</v>
      </c>
      <c r="U16" s="15">
        <v>689.84</v>
      </c>
      <c r="V16" s="15">
        <v>10988.31</v>
      </c>
      <c r="W16" s="15">
        <v>308.89999999999998</v>
      </c>
      <c r="X16" s="15">
        <v>330.26</v>
      </c>
      <c r="Y16" s="15">
        <v>114.91</v>
      </c>
      <c r="Z16" s="15">
        <v>653.11</v>
      </c>
      <c r="AA16" s="15">
        <v>4002.82</v>
      </c>
      <c r="AB16" s="15">
        <v>6238.88</v>
      </c>
      <c r="AC16" s="15">
        <v>3154.1</v>
      </c>
      <c r="AD16" s="15">
        <v>11720.84</v>
      </c>
      <c r="AE16" s="15">
        <v>8412.7999999999993</v>
      </c>
      <c r="AF16" s="15">
        <v>12198.49</v>
      </c>
      <c r="AG16" s="15">
        <v>20322.509999999998</v>
      </c>
      <c r="AH16" s="15">
        <v>54346.49</v>
      </c>
      <c r="AI16" s="15">
        <v>1295.2</v>
      </c>
      <c r="AJ16" s="22"/>
    </row>
    <row r="17" spans="1:36">
      <c r="A17" s="18" t="s">
        <v>2056</v>
      </c>
      <c r="B17" s="19" t="s">
        <v>2057</v>
      </c>
      <c r="C17" s="44" t="s">
        <v>63</v>
      </c>
      <c r="D17" s="15">
        <v>4282.22</v>
      </c>
      <c r="E17" s="15">
        <v>2652.35</v>
      </c>
      <c r="F17" s="15">
        <v>299.27999999999997</v>
      </c>
      <c r="G17" s="563">
        <v>269.61</v>
      </c>
      <c r="H17" s="564"/>
      <c r="I17" s="565">
        <v>9.91</v>
      </c>
      <c r="J17" s="565">
        <v>11.58</v>
      </c>
      <c r="K17" s="565">
        <v>0.11</v>
      </c>
      <c r="L17" s="564"/>
      <c r="M17" s="564"/>
      <c r="N17" s="565">
        <v>0.34</v>
      </c>
      <c r="O17" s="566"/>
      <c r="P17" s="15">
        <v>36.65</v>
      </c>
      <c r="Q17" s="571"/>
      <c r="R17" s="565">
        <v>5.23</v>
      </c>
      <c r="S17" s="565">
        <v>0.03</v>
      </c>
      <c r="T17" s="565">
        <v>24.48</v>
      </c>
      <c r="U17" s="565">
        <v>2.73</v>
      </c>
      <c r="V17" s="564"/>
      <c r="W17" s="565">
        <v>0.02</v>
      </c>
      <c r="X17" s="565">
        <v>0.01</v>
      </c>
      <c r="Y17" s="565">
        <v>1.9</v>
      </c>
      <c r="Z17" s="564"/>
      <c r="AA17" s="564"/>
      <c r="AB17" s="565">
        <v>1.74</v>
      </c>
      <c r="AC17" s="564"/>
      <c r="AD17" s="565">
        <v>0.49</v>
      </c>
      <c r="AE17" s="565">
        <v>75.38</v>
      </c>
      <c r="AF17" s="565">
        <v>400.41</v>
      </c>
      <c r="AG17" s="565">
        <v>461.18</v>
      </c>
      <c r="AH17" s="572">
        <v>1163.8800000000001</v>
      </c>
      <c r="AI17" s="15">
        <v>203.53</v>
      </c>
      <c r="AJ17" s="22"/>
    </row>
    <row r="18" spans="1:36">
      <c r="A18" s="18" t="s">
        <v>2058</v>
      </c>
      <c r="B18" s="19" t="s">
        <v>2059</v>
      </c>
      <c r="C18" s="44" t="s">
        <v>63</v>
      </c>
      <c r="D18" s="15">
        <v>2570.29</v>
      </c>
      <c r="E18" s="15">
        <v>1915.72</v>
      </c>
      <c r="F18" s="15">
        <v>297.3</v>
      </c>
      <c r="G18" s="567">
        <v>292.23</v>
      </c>
      <c r="H18" s="16"/>
      <c r="I18" s="15">
        <v>0.19</v>
      </c>
      <c r="J18" s="15">
        <v>1.45</v>
      </c>
      <c r="K18" s="15">
        <v>0.05</v>
      </c>
      <c r="L18" s="16"/>
      <c r="M18" s="16"/>
      <c r="N18" s="16"/>
      <c r="O18" s="568"/>
      <c r="P18" s="15">
        <v>23.01</v>
      </c>
      <c r="Q18" s="573"/>
      <c r="R18" s="15">
        <v>5.7</v>
      </c>
      <c r="S18" s="16"/>
      <c r="T18" s="15">
        <v>12.4</v>
      </c>
      <c r="U18" s="15">
        <v>1.46</v>
      </c>
      <c r="V18" s="16"/>
      <c r="W18" s="15">
        <v>0.03</v>
      </c>
      <c r="X18" s="16"/>
      <c r="Y18" s="15">
        <v>7.0000000000000007E-2</v>
      </c>
      <c r="Z18" s="16"/>
      <c r="AA18" s="16"/>
      <c r="AB18" s="15">
        <v>2.2599999999999998</v>
      </c>
      <c r="AC18" s="15">
        <v>0.01</v>
      </c>
      <c r="AD18" s="15">
        <v>1.08</v>
      </c>
      <c r="AE18" s="15">
        <v>237.63</v>
      </c>
      <c r="AF18" s="15">
        <v>217.75</v>
      </c>
      <c r="AG18" s="15">
        <v>630.42999999999995</v>
      </c>
      <c r="AH18" s="569">
        <v>467.43</v>
      </c>
      <c r="AI18" s="15">
        <v>40.68</v>
      </c>
      <c r="AJ18" s="22"/>
    </row>
    <row r="19" spans="1:36">
      <c r="A19" s="18" t="s">
        <v>2060</v>
      </c>
      <c r="B19" s="19" t="s">
        <v>2061</v>
      </c>
      <c r="C19" s="44" t="s">
        <v>63</v>
      </c>
      <c r="D19" s="15">
        <v>1312.5</v>
      </c>
      <c r="E19" s="15">
        <v>964.38</v>
      </c>
      <c r="F19" s="15">
        <v>185.58</v>
      </c>
      <c r="G19" s="567">
        <v>181.98</v>
      </c>
      <c r="H19" s="16"/>
      <c r="I19" s="15">
        <v>2.12</v>
      </c>
      <c r="J19" s="15">
        <v>0.03</v>
      </c>
      <c r="K19" s="15">
        <v>0.08</v>
      </c>
      <c r="L19" s="16"/>
      <c r="M19" s="16"/>
      <c r="N19" s="16"/>
      <c r="O19" s="569">
        <v>0.01</v>
      </c>
      <c r="P19" s="15">
        <v>11.67</v>
      </c>
      <c r="Q19" s="573"/>
      <c r="R19" s="15">
        <v>1.84</v>
      </c>
      <c r="S19" s="16"/>
      <c r="T19" s="15">
        <v>5.9</v>
      </c>
      <c r="U19" s="15">
        <v>3.09</v>
      </c>
      <c r="V19" s="16"/>
      <c r="W19" s="15">
        <v>0.02</v>
      </c>
      <c r="X19" s="16"/>
      <c r="Y19" s="16"/>
      <c r="Z19" s="16"/>
      <c r="AA19" s="16"/>
      <c r="AB19" s="15">
        <v>0.8</v>
      </c>
      <c r="AC19" s="16"/>
      <c r="AD19" s="15">
        <v>0.02</v>
      </c>
      <c r="AE19" s="15">
        <v>170.95</v>
      </c>
      <c r="AF19" s="15">
        <v>80.3</v>
      </c>
      <c r="AG19" s="15">
        <v>250.12</v>
      </c>
      <c r="AH19" s="569">
        <v>248.59</v>
      </c>
      <c r="AI19" s="15">
        <v>17.059999999999999</v>
      </c>
      <c r="AJ19" s="22"/>
    </row>
    <row r="20" spans="1:36">
      <c r="A20" s="18" t="s">
        <v>2062</v>
      </c>
      <c r="B20" s="19" t="s">
        <v>2063</v>
      </c>
      <c r="C20" s="44" t="s">
        <v>63</v>
      </c>
      <c r="D20" s="15">
        <v>191.1</v>
      </c>
      <c r="E20" s="15">
        <v>98.47</v>
      </c>
      <c r="F20" s="15">
        <v>2.4300000000000002</v>
      </c>
      <c r="G20" s="567">
        <v>2.4300000000000002</v>
      </c>
      <c r="H20" s="16"/>
      <c r="I20" s="16"/>
      <c r="J20" s="16"/>
      <c r="K20" s="16"/>
      <c r="L20" s="16"/>
      <c r="M20" s="16"/>
      <c r="N20" s="16"/>
      <c r="O20" s="568"/>
      <c r="P20" s="15">
        <v>1.62</v>
      </c>
      <c r="Q20" s="573"/>
      <c r="R20" s="15">
        <v>0.18</v>
      </c>
      <c r="S20" s="16"/>
      <c r="T20" s="15">
        <v>1.37</v>
      </c>
      <c r="U20" s="16"/>
      <c r="V20" s="16"/>
      <c r="W20" s="16"/>
      <c r="X20" s="16"/>
      <c r="Y20" s="16"/>
      <c r="Z20" s="16"/>
      <c r="AA20" s="16"/>
      <c r="AB20" s="15">
        <v>7.0000000000000007E-2</v>
      </c>
      <c r="AC20" s="16"/>
      <c r="AD20" s="16"/>
      <c r="AE20" s="15">
        <v>16.77</v>
      </c>
      <c r="AF20" s="16"/>
      <c r="AG20" s="15">
        <v>11.01</v>
      </c>
      <c r="AH20" s="569">
        <v>66.150000000000006</v>
      </c>
      <c r="AI20" s="15">
        <v>0.49</v>
      </c>
      <c r="AJ20" s="22"/>
    </row>
    <row r="21" spans="1:36">
      <c r="A21" s="18" t="s">
        <v>2064</v>
      </c>
      <c r="B21" s="19" t="s">
        <v>2065</v>
      </c>
      <c r="C21" s="44" t="s">
        <v>64</v>
      </c>
      <c r="D21" s="15">
        <v>7221.94</v>
      </c>
      <c r="E21" s="15">
        <v>4163.42</v>
      </c>
      <c r="F21" s="15">
        <v>123.67</v>
      </c>
      <c r="G21" s="567">
        <v>106.43</v>
      </c>
      <c r="H21" s="16"/>
      <c r="I21" s="15">
        <v>0.15</v>
      </c>
      <c r="J21" s="15">
        <v>4.87</v>
      </c>
      <c r="K21" s="15">
        <v>0.01</v>
      </c>
      <c r="L21" s="16"/>
      <c r="M21" s="16"/>
      <c r="N21" s="16"/>
      <c r="O21" s="568"/>
      <c r="P21" s="15">
        <v>25.4</v>
      </c>
      <c r="Q21" s="573"/>
      <c r="R21" s="15">
        <v>3.56</v>
      </c>
      <c r="S21" s="15">
        <v>7.0000000000000007E-2</v>
      </c>
      <c r="T21" s="15">
        <v>10.86</v>
      </c>
      <c r="U21" s="15">
        <v>7.11</v>
      </c>
      <c r="V21" s="16"/>
      <c r="W21" s="15">
        <v>0.27</v>
      </c>
      <c r="X21" s="15">
        <v>0.02</v>
      </c>
      <c r="Y21" s="15">
        <v>0.01</v>
      </c>
      <c r="Z21" s="15">
        <v>0.83</v>
      </c>
      <c r="AA21" s="16"/>
      <c r="AB21" s="15">
        <v>2.11</v>
      </c>
      <c r="AC21" s="16"/>
      <c r="AD21" s="15">
        <v>0.56999999999999995</v>
      </c>
      <c r="AE21" s="15">
        <v>274.05</v>
      </c>
      <c r="AF21" s="15">
        <v>323.05</v>
      </c>
      <c r="AG21" s="15">
        <v>1185.96</v>
      </c>
      <c r="AH21" s="569">
        <v>2184.0700000000002</v>
      </c>
      <c r="AI21" s="15">
        <v>42.33</v>
      </c>
      <c r="AJ21" s="22"/>
    </row>
    <row r="22" spans="1:36">
      <c r="A22" s="18" t="s">
        <v>2066</v>
      </c>
      <c r="B22" s="19" t="s">
        <v>2067</v>
      </c>
      <c r="C22" s="44" t="s">
        <v>64</v>
      </c>
      <c r="D22" s="15">
        <v>912.4</v>
      </c>
      <c r="E22" s="15">
        <v>484.51</v>
      </c>
      <c r="F22" s="15">
        <v>7.46</v>
      </c>
      <c r="G22" s="567">
        <v>7.42</v>
      </c>
      <c r="H22" s="16"/>
      <c r="I22" s="16"/>
      <c r="J22" s="15">
        <v>0.02</v>
      </c>
      <c r="K22" s="16"/>
      <c r="L22" s="16"/>
      <c r="M22" s="16"/>
      <c r="N22" s="16"/>
      <c r="O22" s="568"/>
      <c r="P22" s="15">
        <v>12.67</v>
      </c>
      <c r="Q22" s="573"/>
      <c r="R22" s="15">
        <v>2.6</v>
      </c>
      <c r="S22" s="16"/>
      <c r="T22" s="15">
        <v>8.51</v>
      </c>
      <c r="U22" s="15">
        <v>1.26</v>
      </c>
      <c r="V22" s="16"/>
      <c r="W22" s="15">
        <v>0.03</v>
      </c>
      <c r="X22" s="16"/>
      <c r="Y22" s="16"/>
      <c r="Z22" s="16"/>
      <c r="AA22" s="16"/>
      <c r="AB22" s="15">
        <v>0.25</v>
      </c>
      <c r="AC22" s="16"/>
      <c r="AD22" s="15">
        <v>0.02</v>
      </c>
      <c r="AE22" s="15">
        <v>16.54</v>
      </c>
      <c r="AF22" s="15">
        <v>124.24</v>
      </c>
      <c r="AG22" s="15">
        <v>13.36</v>
      </c>
      <c r="AH22" s="569">
        <v>305.55</v>
      </c>
      <c r="AI22" s="15">
        <v>4.67</v>
      </c>
      <c r="AJ22" s="22"/>
    </row>
    <row r="23" spans="1:36">
      <c r="A23" s="18" t="s">
        <v>2068</v>
      </c>
      <c r="B23" s="19" t="s">
        <v>2069</v>
      </c>
      <c r="C23" s="44" t="s">
        <v>64</v>
      </c>
      <c r="D23" s="15">
        <v>531</v>
      </c>
      <c r="E23" s="15">
        <v>263.55</v>
      </c>
      <c r="F23" s="15">
        <v>9.7899999999999991</v>
      </c>
      <c r="G23" s="567">
        <v>8.9499999999999993</v>
      </c>
      <c r="H23" s="16"/>
      <c r="I23" s="16"/>
      <c r="J23" s="16"/>
      <c r="K23" s="16"/>
      <c r="L23" s="16"/>
      <c r="M23" s="16"/>
      <c r="N23" s="16"/>
      <c r="O23" s="568"/>
      <c r="P23" s="15">
        <v>8.85</v>
      </c>
      <c r="Q23" s="573"/>
      <c r="R23" s="15">
        <v>1.43</v>
      </c>
      <c r="S23" s="15">
        <v>0.01</v>
      </c>
      <c r="T23" s="15">
        <v>5.84</v>
      </c>
      <c r="U23" s="15">
        <v>1.17</v>
      </c>
      <c r="V23" s="16"/>
      <c r="W23" s="15">
        <v>0.02</v>
      </c>
      <c r="X23" s="16"/>
      <c r="Y23" s="15">
        <v>0.12</v>
      </c>
      <c r="Z23" s="16"/>
      <c r="AA23" s="16"/>
      <c r="AB23" s="15">
        <v>0.2</v>
      </c>
      <c r="AC23" s="16"/>
      <c r="AD23" s="15">
        <v>0.04</v>
      </c>
      <c r="AE23" s="15">
        <v>1.76</v>
      </c>
      <c r="AF23" s="15">
        <v>37.5</v>
      </c>
      <c r="AG23" s="15">
        <v>7.63</v>
      </c>
      <c r="AH23" s="569">
        <v>190.99</v>
      </c>
      <c r="AI23" s="15">
        <v>7.04</v>
      </c>
      <c r="AJ23" s="22"/>
    </row>
    <row r="24" spans="1:36" ht="24">
      <c r="A24" s="18" t="s">
        <v>2070</v>
      </c>
      <c r="B24" s="19" t="s">
        <v>2071</v>
      </c>
      <c r="C24" s="44" t="s">
        <v>65</v>
      </c>
      <c r="D24" s="15">
        <v>1108.28</v>
      </c>
      <c r="E24" s="15">
        <v>574.04</v>
      </c>
      <c r="F24" s="15">
        <v>6.59</v>
      </c>
      <c r="G24" s="567">
        <v>6.56</v>
      </c>
      <c r="H24" s="16"/>
      <c r="I24" s="15">
        <v>0.04</v>
      </c>
      <c r="J24" s="15">
        <v>0.01</v>
      </c>
      <c r="K24" s="16"/>
      <c r="L24" s="16"/>
      <c r="M24" s="16"/>
      <c r="N24" s="16"/>
      <c r="O24" s="568"/>
      <c r="P24" s="15">
        <v>14.14</v>
      </c>
      <c r="Q24" s="573"/>
      <c r="R24" s="15">
        <v>1.76</v>
      </c>
      <c r="S24" s="16"/>
      <c r="T24" s="15">
        <v>10.59</v>
      </c>
      <c r="U24" s="15">
        <v>0.16</v>
      </c>
      <c r="V24" s="16"/>
      <c r="W24" s="15">
        <v>0.03</v>
      </c>
      <c r="X24" s="15">
        <v>1.17</v>
      </c>
      <c r="Y24" s="16"/>
      <c r="Z24" s="16"/>
      <c r="AA24" s="16"/>
      <c r="AB24" s="15">
        <v>0.43</v>
      </c>
      <c r="AC24" s="16"/>
      <c r="AD24" s="16"/>
      <c r="AE24" s="15">
        <v>41.37</v>
      </c>
      <c r="AF24" s="15">
        <v>5.29</v>
      </c>
      <c r="AG24" s="15">
        <v>29.06</v>
      </c>
      <c r="AH24" s="569">
        <v>381.5</v>
      </c>
      <c r="AI24" s="15">
        <v>96.07</v>
      </c>
      <c r="AJ24" s="22"/>
    </row>
    <row r="25" spans="1:36">
      <c r="A25" s="18" t="s">
        <v>2072</v>
      </c>
      <c r="B25" s="19" t="s">
        <v>2073</v>
      </c>
      <c r="C25" s="44" t="s">
        <v>65</v>
      </c>
      <c r="D25" s="15">
        <v>438.71</v>
      </c>
      <c r="E25" s="15">
        <v>209.53</v>
      </c>
      <c r="F25" s="15">
        <v>1.1499999999999999</v>
      </c>
      <c r="G25" s="567">
        <v>1.04</v>
      </c>
      <c r="H25" s="16"/>
      <c r="I25" s="15">
        <v>0.1</v>
      </c>
      <c r="J25" s="16"/>
      <c r="K25" s="16"/>
      <c r="L25" s="16"/>
      <c r="M25" s="16"/>
      <c r="N25" s="16"/>
      <c r="O25" s="568"/>
      <c r="P25" s="15">
        <v>8.84</v>
      </c>
      <c r="Q25" s="573"/>
      <c r="R25" s="15">
        <v>2.06</v>
      </c>
      <c r="S25" s="16"/>
      <c r="T25" s="15">
        <v>6.06</v>
      </c>
      <c r="U25" s="15">
        <v>0.28999999999999998</v>
      </c>
      <c r="V25" s="16"/>
      <c r="W25" s="15">
        <v>0.06</v>
      </c>
      <c r="X25" s="16"/>
      <c r="Y25" s="16"/>
      <c r="Z25" s="16"/>
      <c r="AA25" s="16"/>
      <c r="AB25" s="15">
        <v>0.37</v>
      </c>
      <c r="AC25" s="16"/>
      <c r="AD25" s="16"/>
      <c r="AE25" s="15">
        <v>24.06</v>
      </c>
      <c r="AF25" s="15">
        <v>7.41</v>
      </c>
      <c r="AG25" s="15">
        <v>1.43</v>
      </c>
      <c r="AH25" s="569">
        <v>163.66</v>
      </c>
      <c r="AI25" s="15">
        <v>2.99</v>
      </c>
      <c r="AJ25" s="22"/>
    </row>
    <row r="26" spans="1:36">
      <c r="A26" s="18" t="s">
        <v>2074</v>
      </c>
      <c r="B26" s="19" t="s">
        <v>2075</v>
      </c>
      <c r="C26" s="44" t="s">
        <v>66</v>
      </c>
      <c r="D26" s="15">
        <v>4477.18</v>
      </c>
      <c r="E26" s="15">
        <v>2927.12</v>
      </c>
      <c r="F26" s="15">
        <v>300.97000000000003</v>
      </c>
      <c r="G26" s="567">
        <v>260.85000000000002</v>
      </c>
      <c r="H26" s="16"/>
      <c r="I26" s="15">
        <v>25.19</v>
      </c>
      <c r="J26" s="15">
        <v>1.47</v>
      </c>
      <c r="K26" s="16"/>
      <c r="L26" s="16"/>
      <c r="M26" s="16"/>
      <c r="N26" s="16"/>
      <c r="O26" s="568"/>
      <c r="P26" s="15">
        <v>37.72</v>
      </c>
      <c r="Q26" s="567">
        <v>0.04</v>
      </c>
      <c r="R26" s="15">
        <v>1.79</v>
      </c>
      <c r="S26" s="16"/>
      <c r="T26" s="15">
        <v>23.15</v>
      </c>
      <c r="U26" s="15">
        <v>6.3</v>
      </c>
      <c r="V26" s="15">
        <v>0.03</v>
      </c>
      <c r="W26" s="15">
        <v>1.01</v>
      </c>
      <c r="X26" s="15">
        <v>0.13</v>
      </c>
      <c r="Y26" s="15">
        <v>0.23</v>
      </c>
      <c r="Z26" s="16"/>
      <c r="AA26" s="16"/>
      <c r="AB26" s="15">
        <v>3.96</v>
      </c>
      <c r="AC26" s="16"/>
      <c r="AD26" s="15">
        <v>1.0900000000000001</v>
      </c>
      <c r="AE26" s="15">
        <v>84.19</v>
      </c>
      <c r="AF26" s="15">
        <v>146.13999999999999</v>
      </c>
      <c r="AG26" s="15">
        <v>1196.99</v>
      </c>
      <c r="AH26" s="569">
        <v>1106.8900000000001</v>
      </c>
      <c r="AI26" s="15">
        <v>52.75</v>
      </c>
      <c r="AJ26" s="22"/>
    </row>
    <row r="27" spans="1:36">
      <c r="A27" s="18" t="s">
        <v>2076</v>
      </c>
      <c r="B27" s="19" t="s">
        <v>2077</v>
      </c>
      <c r="C27" s="44" t="s">
        <v>66</v>
      </c>
      <c r="D27" s="15">
        <v>549.4</v>
      </c>
      <c r="E27" s="15">
        <v>303.63</v>
      </c>
      <c r="F27" s="15">
        <v>3.61</v>
      </c>
      <c r="G27" s="567">
        <v>2.75</v>
      </c>
      <c r="H27" s="16"/>
      <c r="I27" s="15">
        <v>0.61</v>
      </c>
      <c r="J27" s="16"/>
      <c r="K27" s="16"/>
      <c r="L27" s="16"/>
      <c r="M27" s="16"/>
      <c r="N27" s="16"/>
      <c r="O27" s="568"/>
      <c r="P27" s="15">
        <v>19.07</v>
      </c>
      <c r="Q27" s="573"/>
      <c r="R27" s="15">
        <v>2.6</v>
      </c>
      <c r="S27" s="16"/>
      <c r="T27" s="15">
        <v>15.04</v>
      </c>
      <c r="U27" s="15">
        <v>0.67</v>
      </c>
      <c r="V27" s="16"/>
      <c r="W27" s="15">
        <v>0.02</v>
      </c>
      <c r="X27" s="16"/>
      <c r="Y27" s="15">
        <v>0.02</v>
      </c>
      <c r="Z27" s="16"/>
      <c r="AA27" s="16"/>
      <c r="AB27" s="15">
        <v>0.48</v>
      </c>
      <c r="AC27" s="16"/>
      <c r="AD27" s="15">
        <v>0.24</v>
      </c>
      <c r="AE27" s="15">
        <v>56.35</v>
      </c>
      <c r="AF27" s="15">
        <v>14.08</v>
      </c>
      <c r="AG27" s="15">
        <v>26.98</v>
      </c>
      <c r="AH27" s="569">
        <v>175.5</v>
      </c>
      <c r="AI27" s="15">
        <v>8.0399999999999991</v>
      </c>
      <c r="AJ27" s="22"/>
    </row>
    <row r="28" spans="1:36" ht="24">
      <c r="A28" s="18" t="s">
        <v>2078</v>
      </c>
      <c r="B28" s="19" t="s">
        <v>2079</v>
      </c>
      <c r="C28" s="44" t="s">
        <v>77</v>
      </c>
      <c r="D28" s="15">
        <v>460.14</v>
      </c>
      <c r="E28" s="15">
        <v>298.45</v>
      </c>
      <c r="F28" s="15">
        <v>3.94</v>
      </c>
      <c r="G28" s="567">
        <v>3.92</v>
      </c>
      <c r="H28" s="16"/>
      <c r="I28" s="16"/>
      <c r="J28" s="15">
        <v>0.04</v>
      </c>
      <c r="K28" s="16"/>
      <c r="L28" s="16"/>
      <c r="M28" s="16"/>
      <c r="N28" s="16"/>
      <c r="O28" s="568"/>
      <c r="P28" s="15">
        <v>19.3</v>
      </c>
      <c r="Q28" s="573"/>
      <c r="R28" s="15">
        <v>2.0499999999999998</v>
      </c>
      <c r="S28" s="16"/>
      <c r="T28" s="15">
        <v>7.56</v>
      </c>
      <c r="U28" s="15">
        <v>0.56000000000000005</v>
      </c>
      <c r="V28" s="16"/>
      <c r="W28" s="15">
        <v>0.04</v>
      </c>
      <c r="X28" s="15">
        <v>1.1299999999999999</v>
      </c>
      <c r="Y28" s="15">
        <v>0.1</v>
      </c>
      <c r="Z28" s="16"/>
      <c r="AA28" s="15">
        <v>6.83</v>
      </c>
      <c r="AB28" s="15">
        <v>0.9</v>
      </c>
      <c r="AC28" s="16"/>
      <c r="AD28" s="15">
        <v>0.13</v>
      </c>
      <c r="AE28" s="15">
        <v>59.1</v>
      </c>
      <c r="AF28" s="15">
        <v>90.1</v>
      </c>
      <c r="AG28" s="15">
        <v>6.13</v>
      </c>
      <c r="AH28" s="569">
        <v>115.46</v>
      </c>
      <c r="AI28" s="15">
        <v>4.38</v>
      </c>
      <c r="AJ28" s="22"/>
    </row>
    <row r="29" spans="1:36">
      <c r="A29" s="18" t="s">
        <v>2080</v>
      </c>
      <c r="B29" s="19" t="s">
        <v>2081</v>
      </c>
      <c r="C29" s="44" t="s">
        <v>67</v>
      </c>
      <c r="D29" s="15">
        <v>33823.89</v>
      </c>
      <c r="E29" s="15">
        <v>31073.31</v>
      </c>
      <c r="F29" s="15">
        <v>2462.27</v>
      </c>
      <c r="G29" s="567">
        <v>1804.94</v>
      </c>
      <c r="H29" s="16"/>
      <c r="I29" s="15">
        <v>602.66999999999996</v>
      </c>
      <c r="J29" s="15">
        <v>86.82</v>
      </c>
      <c r="K29" s="15">
        <v>1610.71</v>
      </c>
      <c r="L29" s="15">
        <v>180.65</v>
      </c>
      <c r="M29" s="15">
        <v>13.46</v>
      </c>
      <c r="N29" s="15">
        <v>18.559999999999999</v>
      </c>
      <c r="O29" s="569">
        <v>154.12</v>
      </c>
      <c r="P29" s="15">
        <v>19768.52</v>
      </c>
      <c r="Q29" s="567">
        <v>83.2</v>
      </c>
      <c r="R29" s="15">
        <v>38.369999999999997</v>
      </c>
      <c r="S29" s="15">
        <v>0.04</v>
      </c>
      <c r="T29" s="15">
        <v>36.409999999999997</v>
      </c>
      <c r="U29" s="15">
        <v>99.82</v>
      </c>
      <c r="V29" s="15">
        <v>2722.75</v>
      </c>
      <c r="W29" s="15">
        <v>273.92</v>
      </c>
      <c r="X29" s="15">
        <v>0.28000000000000003</v>
      </c>
      <c r="Y29" s="15">
        <v>22.28</v>
      </c>
      <c r="Z29" s="15">
        <v>13.94</v>
      </c>
      <c r="AA29" s="15">
        <v>161.16999999999999</v>
      </c>
      <c r="AB29" s="15">
        <v>2742.09</v>
      </c>
      <c r="AC29" s="15">
        <v>2808.45</v>
      </c>
      <c r="AD29" s="15">
        <v>10765.81</v>
      </c>
      <c r="AE29" s="15">
        <v>408.84</v>
      </c>
      <c r="AF29" s="15">
        <v>1141.3399999999999</v>
      </c>
      <c r="AG29" s="15">
        <v>3170.87</v>
      </c>
      <c r="AH29" s="569">
        <v>1964.18</v>
      </c>
      <c r="AI29" s="15">
        <v>92.97</v>
      </c>
      <c r="AJ29" s="22"/>
    </row>
    <row r="30" spans="1:36">
      <c r="A30" s="18" t="s">
        <v>2082</v>
      </c>
      <c r="B30" s="19" t="s">
        <v>2083</v>
      </c>
      <c r="C30" s="44" t="s">
        <v>68</v>
      </c>
      <c r="D30" s="15">
        <v>64883.48</v>
      </c>
      <c r="E30" s="15">
        <v>53504.37</v>
      </c>
      <c r="F30" s="15">
        <v>9558.2099999999991</v>
      </c>
      <c r="G30" s="567">
        <v>9322.43</v>
      </c>
      <c r="H30" s="16"/>
      <c r="I30" s="15">
        <v>144.55000000000001</v>
      </c>
      <c r="J30" s="15">
        <v>4059.52</v>
      </c>
      <c r="K30" s="15">
        <v>570.71</v>
      </c>
      <c r="L30" s="15">
        <v>19.07</v>
      </c>
      <c r="M30" s="15">
        <v>28.19</v>
      </c>
      <c r="N30" s="15">
        <v>42.81</v>
      </c>
      <c r="O30" s="569">
        <v>689.2</v>
      </c>
      <c r="P30" s="15">
        <v>13933.42</v>
      </c>
      <c r="Q30" s="567">
        <v>0.73</v>
      </c>
      <c r="R30" s="15">
        <v>7.99</v>
      </c>
      <c r="S30" s="15">
        <v>1.77</v>
      </c>
      <c r="T30" s="15">
        <v>73.19</v>
      </c>
      <c r="U30" s="15">
        <v>327.51</v>
      </c>
      <c r="V30" s="15">
        <v>8265.52</v>
      </c>
      <c r="W30" s="15">
        <v>1.59</v>
      </c>
      <c r="X30" s="15">
        <v>324.14999999999998</v>
      </c>
      <c r="Y30" s="15">
        <v>84.34</v>
      </c>
      <c r="Z30" s="15">
        <v>49.11</v>
      </c>
      <c r="AA30" s="15">
        <v>192.54</v>
      </c>
      <c r="AB30" s="15">
        <v>3367.33</v>
      </c>
      <c r="AC30" s="15">
        <v>344.67</v>
      </c>
      <c r="AD30" s="15">
        <v>892.99</v>
      </c>
      <c r="AE30" s="15">
        <v>3307.46</v>
      </c>
      <c r="AF30" s="15">
        <v>2921.07</v>
      </c>
      <c r="AG30" s="15">
        <v>9780.64</v>
      </c>
      <c r="AH30" s="569">
        <v>8125.77</v>
      </c>
      <c r="AI30" s="15">
        <v>468.3</v>
      </c>
      <c r="AJ30" s="22"/>
    </row>
    <row r="31" spans="1:36">
      <c r="A31" s="18" t="s">
        <v>2084</v>
      </c>
      <c r="B31" s="19" t="s">
        <v>2085</v>
      </c>
      <c r="C31" s="44" t="s">
        <v>68</v>
      </c>
      <c r="D31" s="15">
        <v>2597.41</v>
      </c>
      <c r="E31" s="15">
        <v>1696.63</v>
      </c>
      <c r="F31" s="15">
        <v>238.74</v>
      </c>
      <c r="G31" s="567">
        <v>227.15</v>
      </c>
      <c r="H31" s="16"/>
      <c r="I31" s="15">
        <v>2.12</v>
      </c>
      <c r="J31" s="15">
        <v>0.68</v>
      </c>
      <c r="K31" s="15">
        <v>1.31</v>
      </c>
      <c r="L31" s="16"/>
      <c r="M31" s="16"/>
      <c r="N31" s="15">
        <v>0.02</v>
      </c>
      <c r="O31" s="569">
        <v>0.11</v>
      </c>
      <c r="P31" s="15">
        <v>20.67</v>
      </c>
      <c r="Q31" s="573"/>
      <c r="R31" s="15">
        <v>3.53</v>
      </c>
      <c r="S31" s="16"/>
      <c r="T31" s="15">
        <v>9.3800000000000008</v>
      </c>
      <c r="U31" s="15">
        <v>3.57</v>
      </c>
      <c r="V31" s="15">
        <v>0.01</v>
      </c>
      <c r="W31" s="15">
        <v>0.03</v>
      </c>
      <c r="X31" s="15">
        <v>0.23</v>
      </c>
      <c r="Y31" s="15">
        <v>0.72</v>
      </c>
      <c r="Z31" s="16"/>
      <c r="AA31" s="16"/>
      <c r="AB31" s="15">
        <v>2.62</v>
      </c>
      <c r="AC31" s="16"/>
      <c r="AD31" s="15">
        <v>0.55000000000000004</v>
      </c>
      <c r="AE31" s="15">
        <v>151.72999999999999</v>
      </c>
      <c r="AF31" s="15">
        <v>116.66</v>
      </c>
      <c r="AG31" s="15">
        <v>501.37</v>
      </c>
      <c r="AH31" s="569">
        <v>643.24</v>
      </c>
      <c r="AI31" s="15">
        <v>22.09</v>
      </c>
      <c r="AJ31" s="22"/>
    </row>
    <row r="32" spans="1:36">
      <c r="A32" s="18" t="s">
        <v>2086</v>
      </c>
      <c r="B32" s="19" t="s">
        <v>2087</v>
      </c>
      <c r="C32" s="44" t="s">
        <v>68</v>
      </c>
      <c r="D32" s="15">
        <v>2636.99</v>
      </c>
      <c r="E32" s="15">
        <v>1772.44</v>
      </c>
      <c r="F32" s="15">
        <v>277.83</v>
      </c>
      <c r="G32" s="567">
        <v>203.59</v>
      </c>
      <c r="H32" s="16"/>
      <c r="I32" s="15">
        <v>2.4</v>
      </c>
      <c r="J32" s="15">
        <v>0.56999999999999995</v>
      </c>
      <c r="K32" s="16"/>
      <c r="L32" s="16"/>
      <c r="M32" s="16"/>
      <c r="N32" s="16"/>
      <c r="O32" s="568"/>
      <c r="P32" s="15">
        <v>9.1</v>
      </c>
      <c r="Q32" s="573"/>
      <c r="R32" s="15">
        <v>0.48</v>
      </c>
      <c r="S32" s="15">
        <v>0.02</v>
      </c>
      <c r="T32" s="15">
        <v>3.13</v>
      </c>
      <c r="U32" s="15">
        <v>3.54</v>
      </c>
      <c r="V32" s="16"/>
      <c r="W32" s="15">
        <v>0.28999999999999998</v>
      </c>
      <c r="X32" s="16"/>
      <c r="Y32" s="15">
        <v>0.14000000000000001</v>
      </c>
      <c r="Z32" s="16"/>
      <c r="AA32" s="16"/>
      <c r="AB32" s="15">
        <v>0.21</v>
      </c>
      <c r="AC32" s="16"/>
      <c r="AD32" s="15">
        <v>1.28</v>
      </c>
      <c r="AE32" s="15">
        <v>37.6</v>
      </c>
      <c r="AF32" s="15">
        <v>207.27</v>
      </c>
      <c r="AG32" s="15">
        <v>607.94000000000005</v>
      </c>
      <c r="AH32" s="569">
        <v>617.37</v>
      </c>
      <c r="AI32" s="15">
        <v>14.77</v>
      </c>
      <c r="AJ32" s="22"/>
    </row>
    <row r="33" spans="1:36">
      <c r="A33" s="18" t="s">
        <v>2088</v>
      </c>
      <c r="B33" s="19" t="s">
        <v>2089</v>
      </c>
      <c r="C33" s="44" t="s">
        <v>69</v>
      </c>
      <c r="D33" s="15">
        <v>5379.16</v>
      </c>
      <c r="E33" s="15">
        <v>2610.75</v>
      </c>
      <c r="F33" s="15">
        <v>132.57</v>
      </c>
      <c r="G33" s="567">
        <v>121.41</v>
      </c>
      <c r="H33" s="16"/>
      <c r="I33" s="15">
        <v>2.66</v>
      </c>
      <c r="J33" s="15">
        <v>5.47</v>
      </c>
      <c r="K33" s="15">
        <v>6.35</v>
      </c>
      <c r="L33" s="16"/>
      <c r="M33" s="16"/>
      <c r="N33" s="15">
        <v>0.02</v>
      </c>
      <c r="O33" s="569">
        <v>3.83</v>
      </c>
      <c r="P33" s="15">
        <v>72.31</v>
      </c>
      <c r="Q33" s="567">
        <v>0.02</v>
      </c>
      <c r="R33" s="15">
        <v>7.27</v>
      </c>
      <c r="S33" s="15">
        <v>7.0000000000000007E-2</v>
      </c>
      <c r="T33" s="15">
        <v>24.57</v>
      </c>
      <c r="U33" s="15">
        <v>6.74</v>
      </c>
      <c r="V33" s="16"/>
      <c r="W33" s="15">
        <v>1.97</v>
      </c>
      <c r="X33" s="15">
        <v>1.1399999999999999</v>
      </c>
      <c r="Y33" s="15">
        <v>0.47</v>
      </c>
      <c r="Z33" s="15">
        <v>14.57</v>
      </c>
      <c r="AA33" s="15">
        <v>7.0000000000000007E-2</v>
      </c>
      <c r="AB33" s="15">
        <v>5.87</v>
      </c>
      <c r="AC33" s="16"/>
      <c r="AD33" s="15">
        <v>9.56</v>
      </c>
      <c r="AE33" s="15">
        <v>160.9</v>
      </c>
      <c r="AF33" s="15">
        <v>86.55</v>
      </c>
      <c r="AG33" s="15">
        <v>150.38</v>
      </c>
      <c r="AH33" s="569">
        <v>1976.91</v>
      </c>
      <c r="AI33" s="15">
        <v>15.47</v>
      </c>
      <c r="AJ33" s="22"/>
    </row>
    <row r="34" spans="1:36">
      <c r="A34" s="18" t="s">
        <v>2090</v>
      </c>
      <c r="B34" s="19" t="s">
        <v>2091</v>
      </c>
      <c r="C34" s="44" t="s">
        <v>70</v>
      </c>
      <c r="D34" s="15">
        <v>38088.26</v>
      </c>
      <c r="E34" s="15">
        <v>31171.88</v>
      </c>
      <c r="F34" s="15">
        <v>16184.71</v>
      </c>
      <c r="G34" s="567">
        <v>10750.75</v>
      </c>
      <c r="H34" s="16"/>
      <c r="I34" s="15">
        <v>5277.07</v>
      </c>
      <c r="J34" s="15">
        <v>996.41</v>
      </c>
      <c r="K34" s="15">
        <v>266.7</v>
      </c>
      <c r="L34" s="15">
        <v>61.46</v>
      </c>
      <c r="M34" s="15">
        <v>72.040000000000006</v>
      </c>
      <c r="N34" s="15">
        <v>81.63</v>
      </c>
      <c r="O34" s="569">
        <v>233.52</v>
      </c>
      <c r="P34" s="15">
        <v>4748.88</v>
      </c>
      <c r="Q34" s="567">
        <v>4.3099999999999996</v>
      </c>
      <c r="R34" s="15">
        <v>12.64</v>
      </c>
      <c r="S34" s="15">
        <v>0.67</v>
      </c>
      <c r="T34" s="15">
        <v>532.55999999999995</v>
      </c>
      <c r="U34" s="15">
        <v>188.16</v>
      </c>
      <c r="V34" s="16"/>
      <c r="W34" s="15">
        <v>0.82</v>
      </c>
      <c r="X34" s="15">
        <v>1.32</v>
      </c>
      <c r="Y34" s="15">
        <v>3.95</v>
      </c>
      <c r="Z34" s="15">
        <v>569.52</v>
      </c>
      <c r="AA34" s="15">
        <v>3332.37</v>
      </c>
      <c r="AB34" s="15">
        <v>63.81</v>
      </c>
      <c r="AC34" s="16"/>
      <c r="AD34" s="15">
        <v>38.76</v>
      </c>
      <c r="AE34" s="15">
        <v>806.1</v>
      </c>
      <c r="AF34" s="15">
        <v>2442.8000000000002</v>
      </c>
      <c r="AG34" s="15">
        <v>219.25</v>
      </c>
      <c r="AH34" s="569">
        <v>4938.95</v>
      </c>
      <c r="AI34" s="15">
        <v>119.44</v>
      </c>
      <c r="AJ34" s="22"/>
    </row>
    <row r="35" spans="1:36">
      <c r="A35" s="18" t="s">
        <v>2092</v>
      </c>
      <c r="B35" s="19" t="s">
        <v>2093</v>
      </c>
      <c r="C35" s="44" t="s">
        <v>71</v>
      </c>
      <c r="D35" s="15">
        <v>84696.27</v>
      </c>
      <c r="E35" s="15">
        <v>72888.570000000007</v>
      </c>
      <c r="F35" s="15">
        <v>8869.15</v>
      </c>
      <c r="G35" s="567">
        <v>8059.74</v>
      </c>
      <c r="H35" s="16"/>
      <c r="I35" s="15">
        <v>705.55</v>
      </c>
      <c r="J35" s="15">
        <v>38231.449999999997</v>
      </c>
      <c r="K35" s="15">
        <v>2382.63</v>
      </c>
      <c r="L35" s="15">
        <v>10449.959999999999</v>
      </c>
      <c r="M35" s="15">
        <v>1732.35</v>
      </c>
      <c r="N35" s="15">
        <v>3.73</v>
      </c>
      <c r="O35" s="569">
        <v>169.94</v>
      </c>
      <c r="P35" s="15">
        <v>129.72999999999999</v>
      </c>
      <c r="Q35" s="573"/>
      <c r="R35" s="15">
        <v>1.72</v>
      </c>
      <c r="S35" s="15">
        <v>0.04</v>
      </c>
      <c r="T35" s="15">
        <v>80.88</v>
      </c>
      <c r="U35" s="15">
        <v>6.56</v>
      </c>
      <c r="V35" s="16"/>
      <c r="W35" s="15">
        <v>2.2200000000000002</v>
      </c>
      <c r="X35" s="15">
        <v>0.12</v>
      </c>
      <c r="Y35" s="16"/>
      <c r="Z35" s="16"/>
      <c r="AA35" s="15">
        <v>24.49</v>
      </c>
      <c r="AB35" s="15">
        <v>12.36</v>
      </c>
      <c r="AC35" s="15">
        <v>0.97</v>
      </c>
      <c r="AD35" s="15">
        <v>0.37</v>
      </c>
      <c r="AE35" s="15">
        <v>844.02</v>
      </c>
      <c r="AF35" s="15">
        <v>985.11</v>
      </c>
      <c r="AG35" s="15">
        <v>626.79999999999995</v>
      </c>
      <c r="AH35" s="569">
        <v>8431.82</v>
      </c>
      <c r="AI35" s="15">
        <v>31.88</v>
      </c>
      <c r="AJ35" s="22"/>
    </row>
    <row r="36" spans="1:36">
      <c r="A36" s="18" t="s">
        <v>2094</v>
      </c>
      <c r="B36" s="19" t="s">
        <v>2095</v>
      </c>
      <c r="C36" s="44" t="s">
        <v>72</v>
      </c>
      <c r="D36" s="15">
        <v>27443.4</v>
      </c>
      <c r="E36" s="15">
        <v>14049.75</v>
      </c>
      <c r="F36" s="15">
        <v>1182.31</v>
      </c>
      <c r="G36" s="567">
        <v>938.71</v>
      </c>
      <c r="H36" s="16"/>
      <c r="I36" s="15">
        <v>205.79</v>
      </c>
      <c r="J36" s="15">
        <v>356.05</v>
      </c>
      <c r="K36" s="15">
        <v>217.53</v>
      </c>
      <c r="L36" s="15">
        <v>1.24</v>
      </c>
      <c r="M36" s="15">
        <v>6.42</v>
      </c>
      <c r="N36" s="15">
        <v>326.07</v>
      </c>
      <c r="O36" s="569">
        <v>13.45</v>
      </c>
      <c r="P36" s="15">
        <v>361.18</v>
      </c>
      <c r="Q36" s="567">
        <v>0.44</v>
      </c>
      <c r="R36" s="15">
        <v>2.65</v>
      </c>
      <c r="S36" s="15">
        <v>1.35</v>
      </c>
      <c r="T36" s="15">
        <v>61.75</v>
      </c>
      <c r="U36" s="15">
        <v>10.34</v>
      </c>
      <c r="V36" s="16"/>
      <c r="W36" s="15">
        <v>2.7</v>
      </c>
      <c r="X36" s="15">
        <v>0.01</v>
      </c>
      <c r="Y36" s="15">
        <v>0.2</v>
      </c>
      <c r="Z36" s="15">
        <v>3.18</v>
      </c>
      <c r="AA36" s="15">
        <v>274.06</v>
      </c>
      <c r="AB36" s="15">
        <v>3.8</v>
      </c>
      <c r="AC36" s="16"/>
      <c r="AD36" s="15">
        <v>0.69</v>
      </c>
      <c r="AE36" s="15">
        <v>409.93</v>
      </c>
      <c r="AF36" s="15">
        <v>542.70000000000005</v>
      </c>
      <c r="AG36" s="15">
        <v>1054.9000000000001</v>
      </c>
      <c r="AH36" s="569">
        <v>9564.34</v>
      </c>
      <c r="AI36" s="15">
        <v>13.65</v>
      </c>
      <c r="AJ36" s="22"/>
    </row>
    <row r="37" spans="1:36">
      <c r="A37" s="18" t="s">
        <v>2096</v>
      </c>
      <c r="B37" s="19" t="s">
        <v>2097</v>
      </c>
      <c r="C37" s="44" t="s">
        <v>76</v>
      </c>
      <c r="D37" s="15">
        <v>6595.33</v>
      </c>
      <c r="E37" s="15">
        <v>3756.82</v>
      </c>
      <c r="F37" s="15">
        <v>167.97</v>
      </c>
      <c r="G37" s="567">
        <v>143.79</v>
      </c>
      <c r="H37" s="16"/>
      <c r="I37" s="15">
        <v>23.84</v>
      </c>
      <c r="J37" s="15">
        <v>442.35</v>
      </c>
      <c r="K37" s="15">
        <v>16.61</v>
      </c>
      <c r="L37" s="15">
        <v>99.62</v>
      </c>
      <c r="M37" s="15">
        <v>4.08</v>
      </c>
      <c r="N37" s="15">
        <v>0.35</v>
      </c>
      <c r="O37" s="569">
        <v>3.54</v>
      </c>
      <c r="P37" s="15">
        <v>60.52</v>
      </c>
      <c r="Q37" s="573"/>
      <c r="R37" s="15">
        <v>10.1</v>
      </c>
      <c r="S37" s="15">
        <v>0.62</v>
      </c>
      <c r="T37" s="15">
        <v>36</v>
      </c>
      <c r="U37" s="15">
        <v>3.2</v>
      </c>
      <c r="V37" s="16"/>
      <c r="W37" s="15">
        <v>0.94</v>
      </c>
      <c r="X37" s="15">
        <v>0.05</v>
      </c>
      <c r="Y37" s="15">
        <v>0.02</v>
      </c>
      <c r="Z37" s="16"/>
      <c r="AA37" s="16"/>
      <c r="AB37" s="15">
        <v>8.84</v>
      </c>
      <c r="AC37" s="16"/>
      <c r="AD37" s="15">
        <v>0.74</v>
      </c>
      <c r="AE37" s="15">
        <v>239.25</v>
      </c>
      <c r="AF37" s="15">
        <v>665.07</v>
      </c>
      <c r="AG37" s="15">
        <v>26.92</v>
      </c>
      <c r="AH37" s="569">
        <v>2026.97</v>
      </c>
      <c r="AI37" s="15">
        <v>3.56</v>
      </c>
      <c r="AJ37" s="22"/>
    </row>
    <row r="38" spans="1:36">
      <c r="A38" s="18" t="s">
        <v>2098</v>
      </c>
      <c r="B38" s="19" t="s">
        <v>2099</v>
      </c>
      <c r="C38" s="44" t="s">
        <v>73</v>
      </c>
      <c r="D38" s="15">
        <v>4200.46</v>
      </c>
      <c r="E38" s="15">
        <v>2113.59</v>
      </c>
      <c r="F38" s="15">
        <v>4.57</v>
      </c>
      <c r="G38" s="567">
        <v>4.3499999999999996</v>
      </c>
      <c r="H38" s="16"/>
      <c r="I38" s="15">
        <v>0.12</v>
      </c>
      <c r="J38" s="15">
        <v>184.48</v>
      </c>
      <c r="K38" s="15">
        <v>4.08</v>
      </c>
      <c r="L38" s="15">
        <v>0.69</v>
      </c>
      <c r="M38" s="15">
        <v>0.3</v>
      </c>
      <c r="N38" s="15">
        <v>0.08</v>
      </c>
      <c r="O38" s="568"/>
      <c r="P38" s="15">
        <v>58.01</v>
      </c>
      <c r="Q38" s="573"/>
      <c r="R38" s="15">
        <v>12.63</v>
      </c>
      <c r="S38" s="15">
        <v>1.44</v>
      </c>
      <c r="T38" s="15">
        <v>30.48</v>
      </c>
      <c r="U38" s="15">
        <v>0.56000000000000005</v>
      </c>
      <c r="V38" s="16"/>
      <c r="W38" s="15">
        <v>6.4</v>
      </c>
      <c r="X38" s="15">
        <v>0.12</v>
      </c>
      <c r="Y38" s="15">
        <v>0.05</v>
      </c>
      <c r="Z38" s="16"/>
      <c r="AA38" s="15">
        <v>0.01</v>
      </c>
      <c r="AB38" s="15">
        <v>4.41</v>
      </c>
      <c r="AC38" s="16"/>
      <c r="AD38" s="15">
        <v>1.9</v>
      </c>
      <c r="AE38" s="15">
        <v>170.73</v>
      </c>
      <c r="AF38" s="15">
        <v>177.37</v>
      </c>
      <c r="AG38" s="15">
        <v>17.100000000000001</v>
      </c>
      <c r="AH38" s="569">
        <v>1490.22</v>
      </c>
      <c r="AI38" s="15">
        <v>5.97</v>
      </c>
      <c r="AJ38" s="22"/>
    </row>
    <row r="39" spans="1:36">
      <c r="A39" s="18" t="s">
        <v>2100</v>
      </c>
      <c r="B39" s="19" t="s">
        <v>2101</v>
      </c>
      <c r="C39" s="44" t="s">
        <v>73</v>
      </c>
      <c r="D39" s="15">
        <v>1902.18</v>
      </c>
      <c r="E39" s="15">
        <v>960.7</v>
      </c>
      <c r="F39" s="15">
        <v>7.55</v>
      </c>
      <c r="G39" s="567">
        <v>2.98</v>
      </c>
      <c r="H39" s="16"/>
      <c r="I39" s="16"/>
      <c r="J39" s="16"/>
      <c r="K39" s="15">
        <v>0.73</v>
      </c>
      <c r="L39" s="15">
        <v>1.79</v>
      </c>
      <c r="M39" s="15">
        <v>0.05</v>
      </c>
      <c r="N39" s="15">
        <v>2.71</v>
      </c>
      <c r="O39" s="568"/>
      <c r="P39" s="15">
        <v>38</v>
      </c>
      <c r="Q39" s="573"/>
      <c r="R39" s="15">
        <v>10.18</v>
      </c>
      <c r="S39" s="15">
        <v>1.1599999999999999</v>
      </c>
      <c r="T39" s="15">
        <v>19.350000000000001</v>
      </c>
      <c r="U39" s="15">
        <v>0.84</v>
      </c>
      <c r="V39" s="16"/>
      <c r="W39" s="15">
        <v>1.75</v>
      </c>
      <c r="X39" s="15">
        <v>0.01</v>
      </c>
      <c r="Y39" s="15">
        <v>0.06</v>
      </c>
      <c r="Z39" s="15">
        <v>0.02</v>
      </c>
      <c r="AA39" s="16"/>
      <c r="AB39" s="15">
        <v>2.56</v>
      </c>
      <c r="AC39" s="16"/>
      <c r="AD39" s="15">
        <v>2.06</v>
      </c>
      <c r="AE39" s="15">
        <v>80.8</v>
      </c>
      <c r="AF39" s="15">
        <v>121.7</v>
      </c>
      <c r="AG39" s="15">
        <v>30.66</v>
      </c>
      <c r="AH39" s="569">
        <v>672.3</v>
      </c>
      <c r="AI39" s="15">
        <v>4.41</v>
      </c>
      <c r="AJ39" s="22"/>
    </row>
    <row r="40" spans="1:36">
      <c r="A40" s="18" t="s">
        <v>2102</v>
      </c>
      <c r="B40" s="19" t="s">
        <v>2103</v>
      </c>
      <c r="C40" s="44" t="s">
        <v>74</v>
      </c>
      <c r="D40" s="15">
        <v>4774.2700000000004</v>
      </c>
      <c r="E40" s="15">
        <v>2331.13</v>
      </c>
      <c r="F40" s="15">
        <v>5.03</v>
      </c>
      <c r="G40" s="567">
        <v>3.68</v>
      </c>
      <c r="H40" s="16"/>
      <c r="I40" s="15">
        <v>0.13</v>
      </c>
      <c r="J40" s="15">
        <v>14</v>
      </c>
      <c r="K40" s="15">
        <v>0.28000000000000003</v>
      </c>
      <c r="L40" s="15">
        <v>0.01</v>
      </c>
      <c r="M40" s="16"/>
      <c r="N40" s="15">
        <v>0.02</v>
      </c>
      <c r="O40" s="568"/>
      <c r="P40" s="15">
        <v>49.67</v>
      </c>
      <c r="Q40" s="573"/>
      <c r="R40" s="15">
        <v>14.29</v>
      </c>
      <c r="S40" s="15">
        <v>0.21</v>
      </c>
      <c r="T40" s="15">
        <v>21.93</v>
      </c>
      <c r="U40" s="15">
        <v>0.11</v>
      </c>
      <c r="V40" s="16"/>
      <c r="W40" s="15">
        <v>9.5299999999999994</v>
      </c>
      <c r="X40" s="15">
        <v>0.01</v>
      </c>
      <c r="Y40" s="15">
        <v>0.17</v>
      </c>
      <c r="Z40" s="15">
        <v>0.08</v>
      </c>
      <c r="AA40" s="16"/>
      <c r="AB40" s="15">
        <v>2.25</v>
      </c>
      <c r="AC40" s="16"/>
      <c r="AD40" s="15">
        <v>1.0900000000000001</v>
      </c>
      <c r="AE40" s="15">
        <v>110</v>
      </c>
      <c r="AF40" s="15">
        <v>322.89999999999998</v>
      </c>
      <c r="AG40" s="15">
        <v>82.93</v>
      </c>
      <c r="AH40" s="569">
        <v>1744.63</v>
      </c>
      <c r="AI40" s="15">
        <v>1.64</v>
      </c>
      <c r="AJ40" s="22"/>
    </row>
    <row r="41" spans="1:36" ht="24">
      <c r="A41" s="18" t="s">
        <v>2104</v>
      </c>
      <c r="B41" s="19" t="s">
        <v>2105</v>
      </c>
      <c r="C41" s="44" t="s">
        <v>74</v>
      </c>
      <c r="D41" s="15">
        <v>968.45</v>
      </c>
      <c r="E41" s="15">
        <v>687.02</v>
      </c>
      <c r="F41" s="15">
        <v>31.1</v>
      </c>
      <c r="G41" s="567">
        <v>2.1</v>
      </c>
      <c r="H41" s="16"/>
      <c r="I41" s="15">
        <v>29.01</v>
      </c>
      <c r="J41" s="15">
        <v>0.14000000000000001</v>
      </c>
      <c r="K41" s="15">
        <v>2.2000000000000002</v>
      </c>
      <c r="L41" s="15">
        <v>0.26</v>
      </c>
      <c r="M41" s="15">
        <v>0.97</v>
      </c>
      <c r="N41" s="15">
        <v>0.01</v>
      </c>
      <c r="O41" s="568"/>
      <c r="P41" s="15">
        <v>41.42</v>
      </c>
      <c r="Q41" s="573"/>
      <c r="R41" s="15">
        <v>3.47</v>
      </c>
      <c r="S41" s="15">
        <v>0.84</v>
      </c>
      <c r="T41" s="15">
        <v>27.67</v>
      </c>
      <c r="U41" s="15">
        <v>6.11</v>
      </c>
      <c r="V41" s="16"/>
      <c r="W41" s="15">
        <v>0.66</v>
      </c>
      <c r="X41" s="15">
        <v>0.03</v>
      </c>
      <c r="Y41" s="15">
        <v>0.01</v>
      </c>
      <c r="Z41" s="16"/>
      <c r="AA41" s="16"/>
      <c r="AB41" s="15">
        <v>2.37</v>
      </c>
      <c r="AC41" s="16"/>
      <c r="AD41" s="15">
        <v>0.27</v>
      </c>
      <c r="AE41" s="15">
        <v>82.47</v>
      </c>
      <c r="AF41" s="15">
        <v>310.36</v>
      </c>
      <c r="AG41" s="15">
        <v>16.920000000000002</v>
      </c>
      <c r="AH41" s="569">
        <v>200.97</v>
      </c>
      <c r="AI41" s="15">
        <v>0.19</v>
      </c>
      <c r="AJ41" s="22"/>
    </row>
    <row r="42" spans="1:36">
      <c r="A42" s="18" t="s">
        <v>2106</v>
      </c>
      <c r="B42" s="19" t="s">
        <v>2107</v>
      </c>
      <c r="C42" s="44" t="s">
        <v>73</v>
      </c>
      <c r="D42" s="15">
        <v>4630.72</v>
      </c>
      <c r="E42" s="15">
        <v>2203.84</v>
      </c>
      <c r="F42" s="15">
        <v>13.43</v>
      </c>
      <c r="G42" s="567">
        <v>13.43</v>
      </c>
      <c r="H42" s="16"/>
      <c r="I42" s="16"/>
      <c r="J42" s="15">
        <v>0.08</v>
      </c>
      <c r="K42" s="15">
        <v>1.31</v>
      </c>
      <c r="L42" s="16"/>
      <c r="M42" s="16"/>
      <c r="N42" s="15">
        <v>0.18</v>
      </c>
      <c r="O42" s="568"/>
      <c r="P42" s="15">
        <v>53.42</v>
      </c>
      <c r="Q42" s="573"/>
      <c r="R42" s="15">
        <v>10.8</v>
      </c>
      <c r="S42" s="15">
        <v>0.15</v>
      </c>
      <c r="T42" s="15">
        <v>29.3</v>
      </c>
      <c r="U42" s="15">
        <v>4.24</v>
      </c>
      <c r="V42" s="16"/>
      <c r="W42" s="15">
        <v>3.81</v>
      </c>
      <c r="X42" s="15">
        <v>0.21</v>
      </c>
      <c r="Y42" s="15">
        <v>0.02</v>
      </c>
      <c r="Z42" s="15">
        <v>1.02</v>
      </c>
      <c r="AA42" s="15">
        <v>0.17</v>
      </c>
      <c r="AB42" s="15">
        <v>3.11</v>
      </c>
      <c r="AC42" s="16"/>
      <c r="AD42" s="15">
        <v>0.56999999999999995</v>
      </c>
      <c r="AE42" s="15">
        <v>89.6</v>
      </c>
      <c r="AF42" s="15">
        <v>224.94</v>
      </c>
      <c r="AG42" s="15">
        <v>84.54</v>
      </c>
      <c r="AH42" s="569">
        <v>1733.03</v>
      </c>
      <c r="AI42" s="15">
        <v>3.31</v>
      </c>
      <c r="AJ42" s="22"/>
    </row>
    <row r="43" spans="1:36">
      <c r="A43" s="18" t="s">
        <v>2108</v>
      </c>
      <c r="B43" s="19" t="s">
        <v>2109</v>
      </c>
      <c r="C43" s="44" t="s">
        <v>75</v>
      </c>
      <c r="D43" s="15">
        <v>6699.96</v>
      </c>
      <c r="E43" s="15">
        <v>3277</v>
      </c>
      <c r="F43" s="15">
        <v>17.16</v>
      </c>
      <c r="G43" s="567">
        <v>15.15</v>
      </c>
      <c r="H43" s="16"/>
      <c r="I43" s="16"/>
      <c r="J43" s="15">
        <v>0.06</v>
      </c>
      <c r="K43" s="15">
        <v>4.2300000000000004</v>
      </c>
      <c r="L43" s="15">
        <v>0.06</v>
      </c>
      <c r="M43" s="15">
        <v>0.02</v>
      </c>
      <c r="N43" s="15">
        <v>2.36</v>
      </c>
      <c r="O43" s="569">
        <v>0.21</v>
      </c>
      <c r="P43" s="15">
        <v>42.24</v>
      </c>
      <c r="Q43" s="573"/>
      <c r="R43" s="15">
        <v>7.06</v>
      </c>
      <c r="S43" s="15">
        <v>0.22</v>
      </c>
      <c r="T43" s="15">
        <v>22.41</v>
      </c>
      <c r="U43" s="15">
        <v>0.36</v>
      </c>
      <c r="V43" s="16"/>
      <c r="W43" s="15">
        <v>0.44</v>
      </c>
      <c r="X43" s="15">
        <v>0.01</v>
      </c>
      <c r="Y43" s="15">
        <v>0.02</v>
      </c>
      <c r="Z43" s="16"/>
      <c r="AA43" s="15">
        <v>11.11</v>
      </c>
      <c r="AB43" s="15">
        <v>0.57999999999999996</v>
      </c>
      <c r="AC43" s="16"/>
      <c r="AD43" s="15">
        <v>0.04</v>
      </c>
      <c r="AE43" s="15">
        <v>369.87</v>
      </c>
      <c r="AF43" s="15">
        <v>274.83999999999997</v>
      </c>
      <c r="AG43" s="15">
        <v>115.67</v>
      </c>
      <c r="AH43" s="569">
        <v>2444.3200000000002</v>
      </c>
      <c r="AI43" s="15">
        <v>5.96</v>
      </c>
      <c r="AJ43" s="22"/>
    </row>
    <row r="44" spans="1:36">
      <c r="A44" s="18" t="s">
        <v>2110</v>
      </c>
      <c r="B44" s="19" t="s">
        <v>2111</v>
      </c>
      <c r="C44" s="44" t="s">
        <v>75</v>
      </c>
      <c r="D44" s="15">
        <v>298.36</v>
      </c>
      <c r="E44" s="15">
        <v>139.44999999999999</v>
      </c>
      <c r="F44" s="15">
        <v>1.21</v>
      </c>
      <c r="G44" s="567">
        <v>1.21</v>
      </c>
      <c r="H44" s="16"/>
      <c r="I44" s="16"/>
      <c r="J44" s="16"/>
      <c r="K44" s="16"/>
      <c r="L44" s="16"/>
      <c r="M44" s="16"/>
      <c r="N44" s="16"/>
      <c r="O44" s="568"/>
      <c r="P44" s="15">
        <v>7.55</v>
      </c>
      <c r="Q44" s="573"/>
      <c r="R44" s="15">
        <v>3.46</v>
      </c>
      <c r="S44" s="15">
        <v>0.04</v>
      </c>
      <c r="T44" s="15">
        <v>3.16</v>
      </c>
      <c r="U44" s="15">
        <v>0.2</v>
      </c>
      <c r="V44" s="16"/>
      <c r="W44" s="15">
        <v>0.12</v>
      </c>
      <c r="X44" s="15">
        <v>0.08</v>
      </c>
      <c r="Y44" s="16"/>
      <c r="Z44" s="16"/>
      <c r="AA44" s="16"/>
      <c r="AB44" s="15">
        <v>0.18</v>
      </c>
      <c r="AC44" s="16"/>
      <c r="AD44" s="15">
        <v>0.28999999999999998</v>
      </c>
      <c r="AE44" s="15">
        <v>8.99</v>
      </c>
      <c r="AF44" s="15">
        <v>4.8899999999999997</v>
      </c>
      <c r="AG44" s="15">
        <v>2.11</v>
      </c>
      <c r="AH44" s="569">
        <v>113.48</v>
      </c>
      <c r="AI44" s="15">
        <v>1.22</v>
      </c>
      <c r="AJ44" s="22"/>
    </row>
    <row r="45" spans="1:36">
      <c r="A45" s="18" t="s">
        <v>2112</v>
      </c>
      <c r="B45" s="19" t="s">
        <v>2113</v>
      </c>
      <c r="C45" s="44" t="s">
        <v>77</v>
      </c>
      <c r="D45" s="15">
        <v>2333.56</v>
      </c>
      <c r="E45" s="15">
        <v>994.24</v>
      </c>
      <c r="F45" s="15">
        <v>0.73</v>
      </c>
      <c r="G45" s="560">
        <v>0.73</v>
      </c>
      <c r="H45" s="559"/>
      <c r="I45" s="559"/>
      <c r="J45" s="559"/>
      <c r="K45" s="559"/>
      <c r="L45" s="561">
        <v>0.77</v>
      </c>
      <c r="M45" s="559"/>
      <c r="N45" s="559"/>
      <c r="O45" s="570"/>
      <c r="P45" s="15">
        <v>9.3800000000000008</v>
      </c>
      <c r="Q45" s="562"/>
      <c r="R45" s="561">
        <v>0.57999999999999996</v>
      </c>
      <c r="S45" s="561">
        <v>0.03</v>
      </c>
      <c r="T45" s="561">
        <v>4.9000000000000004</v>
      </c>
      <c r="U45" s="561">
        <v>0.83</v>
      </c>
      <c r="V45" s="559"/>
      <c r="W45" s="561">
        <v>0.01</v>
      </c>
      <c r="X45" s="561">
        <v>0.04</v>
      </c>
      <c r="Y45" s="559"/>
      <c r="Z45" s="561">
        <v>0.28999999999999998</v>
      </c>
      <c r="AA45" s="559"/>
      <c r="AB45" s="561">
        <v>2.7</v>
      </c>
      <c r="AC45" s="559"/>
      <c r="AD45" s="559"/>
      <c r="AE45" s="561">
        <v>0.51</v>
      </c>
      <c r="AF45" s="561">
        <v>19.59</v>
      </c>
      <c r="AG45" s="561">
        <v>3.92</v>
      </c>
      <c r="AH45" s="574">
        <v>956.4</v>
      </c>
      <c r="AI45" s="15">
        <v>2.94</v>
      </c>
      <c r="AJ45" s="22"/>
    </row>
    <row r="46" spans="1:36">
      <c r="A46" s="18" t="s">
        <v>2114</v>
      </c>
      <c r="B46" s="19" t="s">
        <v>2115</v>
      </c>
      <c r="C46" s="18"/>
      <c r="D46" s="15">
        <v>750.79</v>
      </c>
      <c r="E46" s="15">
        <v>591.66</v>
      </c>
      <c r="F46" s="15">
        <v>95.62</v>
      </c>
      <c r="G46" s="15">
        <v>65.81</v>
      </c>
      <c r="H46" s="16"/>
      <c r="I46" s="15">
        <v>25.58</v>
      </c>
      <c r="J46" s="15">
        <v>55.47</v>
      </c>
      <c r="K46" s="15">
        <v>8.98</v>
      </c>
      <c r="L46" s="15">
        <v>28.6</v>
      </c>
      <c r="M46" s="15">
        <v>7.85</v>
      </c>
      <c r="N46" s="15">
        <v>0.04</v>
      </c>
      <c r="O46" s="15">
        <v>0.44</v>
      </c>
      <c r="P46" s="15">
        <v>16.18</v>
      </c>
      <c r="Q46" s="16"/>
      <c r="R46" s="15">
        <v>0.52</v>
      </c>
      <c r="S46" s="15">
        <v>0.01</v>
      </c>
      <c r="T46" s="15">
        <v>12.91</v>
      </c>
      <c r="U46" s="15">
        <v>1.81</v>
      </c>
      <c r="V46" s="16"/>
      <c r="W46" s="15">
        <v>0.03</v>
      </c>
      <c r="X46" s="16"/>
      <c r="Y46" s="16"/>
      <c r="Z46" s="15">
        <v>0.53</v>
      </c>
      <c r="AA46" s="16"/>
      <c r="AB46" s="15">
        <v>0.19</v>
      </c>
      <c r="AC46" s="16"/>
      <c r="AD46" s="15">
        <v>0.18</v>
      </c>
      <c r="AE46" s="15">
        <v>72.37</v>
      </c>
      <c r="AF46" s="15">
        <v>177.02</v>
      </c>
      <c r="AG46" s="15">
        <v>8.0299999999999994</v>
      </c>
      <c r="AH46" s="15">
        <v>113.63</v>
      </c>
      <c r="AI46" s="15">
        <v>7.41</v>
      </c>
      <c r="AJ46" s="22"/>
    </row>
    <row r="47" spans="1:36">
      <c r="A47" s="18" t="s">
        <v>2116</v>
      </c>
      <c r="B47" s="19" t="s">
        <v>2117</v>
      </c>
      <c r="C47" s="18"/>
      <c r="D47" s="15">
        <v>69.2</v>
      </c>
      <c r="E47" s="15">
        <v>43.6</v>
      </c>
      <c r="F47" s="15">
        <v>0.74</v>
      </c>
      <c r="G47" s="15">
        <v>0.73</v>
      </c>
      <c r="H47" s="16"/>
      <c r="I47" s="16"/>
      <c r="J47" s="16"/>
      <c r="K47" s="15">
        <v>0.13</v>
      </c>
      <c r="L47" s="15">
        <v>0.03</v>
      </c>
      <c r="M47" s="16"/>
      <c r="N47" s="16"/>
      <c r="O47" s="16"/>
      <c r="P47" s="15">
        <v>9.6</v>
      </c>
      <c r="Q47" s="16"/>
      <c r="R47" s="15">
        <v>0.6</v>
      </c>
      <c r="S47" s="15">
        <v>1.02</v>
      </c>
      <c r="T47" s="15">
        <v>7.3</v>
      </c>
      <c r="U47" s="15">
        <v>0.54</v>
      </c>
      <c r="V47" s="16"/>
      <c r="W47" s="15">
        <v>0.1</v>
      </c>
      <c r="X47" s="16"/>
      <c r="Y47" s="15">
        <v>0.01</v>
      </c>
      <c r="Z47" s="16"/>
      <c r="AA47" s="16"/>
      <c r="AB47" s="15">
        <v>0.02</v>
      </c>
      <c r="AC47" s="16"/>
      <c r="AD47" s="15">
        <v>0.01</v>
      </c>
      <c r="AE47" s="15">
        <v>3.46</v>
      </c>
      <c r="AF47" s="15">
        <v>10.039999999999999</v>
      </c>
      <c r="AG47" s="15">
        <v>1.31</v>
      </c>
      <c r="AH47" s="15">
        <v>18.28</v>
      </c>
      <c r="AI47" s="16"/>
      <c r="AJ47" s="22"/>
    </row>
    <row r="48" spans="1:36">
      <c r="A48" s="13" t="s">
        <v>2118</v>
      </c>
      <c r="B48" s="17" t="s">
        <v>2119</v>
      </c>
      <c r="C48" s="13"/>
      <c r="D48" s="15">
        <v>23314.83</v>
      </c>
      <c r="E48" s="15">
        <v>10523.38</v>
      </c>
      <c r="F48" s="15">
        <v>319.32</v>
      </c>
      <c r="G48" s="15">
        <v>298.82</v>
      </c>
      <c r="H48" s="16"/>
      <c r="I48" s="15">
        <v>14.62</v>
      </c>
      <c r="J48" s="15">
        <v>78.87</v>
      </c>
      <c r="K48" s="15">
        <v>21.24</v>
      </c>
      <c r="L48" s="16"/>
      <c r="M48" s="15">
        <v>0.09</v>
      </c>
      <c r="N48" s="15">
        <v>0.32</v>
      </c>
      <c r="O48" s="15">
        <v>0.21</v>
      </c>
      <c r="P48" s="15">
        <v>123.11</v>
      </c>
      <c r="Q48" s="15">
        <v>0.3</v>
      </c>
      <c r="R48" s="15">
        <v>29.11</v>
      </c>
      <c r="S48" s="16"/>
      <c r="T48" s="15">
        <v>79.209999999999994</v>
      </c>
      <c r="U48" s="15">
        <v>5.91</v>
      </c>
      <c r="V48" s="16"/>
      <c r="W48" s="15">
        <v>0.49</v>
      </c>
      <c r="X48" s="16"/>
      <c r="Y48" s="16"/>
      <c r="Z48" s="16"/>
      <c r="AA48" s="15">
        <v>0.04</v>
      </c>
      <c r="AB48" s="15">
        <v>3.38</v>
      </c>
      <c r="AC48" s="15">
        <v>4.5999999999999996</v>
      </c>
      <c r="AD48" s="15">
        <v>0.06</v>
      </c>
      <c r="AE48" s="15">
        <v>133.05000000000001</v>
      </c>
      <c r="AF48" s="15">
        <v>163.51</v>
      </c>
      <c r="AG48" s="15">
        <v>534.49</v>
      </c>
      <c r="AH48" s="15">
        <v>9134.32</v>
      </c>
      <c r="AI48" s="15">
        <v>14.86</v>
      </c>
      <c r="AJ48" s="22"/>
    </row>
    <row r="49" spans="1:36">
      <c r="A49" s="18" t="s">
        <v>2120</v>
      </c>
      <c r="B49" s="19" t="s">
        <v>2121</v>
      </c>
      <c r="C49" s="18"/>
      <c r="D49" s="15">
        <v>20028.740000000002</v>
      </c>
      <c r="E49" s="15">
        <v>8878.5400000000009</v>
      </c>
      <c r="F49" s="15">
        <v>315.22000000000003</v>
      </c>
      <c r="G49" s="15">
        <v>294.75</v>
      </c>
      <c r="H49" s="16"/>
      <c r="I49" s="15">
        <v>14.62</v>
      </c>
      <c r="J49" s="15">
        <v>78.87</v>
      </c>
      <c r="K49" s="15">
        <v>17.11</v>
      </c>
      <c r="L49" s="16"/>
      <c r="M49" s="16"/>
      <c r="N49" s="16"/>
      <c r="O49" s="15">
        <v>0.21</v>
      </c>
      <c r="P49" s="15">
        <v>106.63</v>
      </c>
      <c r="Q49" s="15">
        <v>0.3</v>
      </c>
      <c r="R49" s="15">
        <v>23.46</v>
      </c>
      <c r="S49" s="16"/>
      <c r="T49" s="15">
        <v>72.260000000000005</v>
      </c>
      <c r="U49" s="15">
        <v>5.49</v>
      </c>
      <c r="V49" s="16"/>
      <c r="W49" s="15">
        <v>0.45</v>
      </c>
      <c r="X49" s="16"/>
      <c r="Y49" s="16"/>
      <c r="Z49" s="16"/>
      <c r="AA49" s="15">
        <v>0.04</v>
      </c>
      <c r="AB49" s="15">
        <v>0.01</v>
      </c>
      <c r="AC49" s="15">
        <v>4.5999999999999996</v>
      </c>
      <c r="AD49" s="15">
        <v>0.02</v>
      </c>
      <c r="AE49" s="15">
        <v>34.700000000000003</v>
      </c>
      <c r="AF49" s="16"/>
      <c r="AG49" s="15">
        <v>348.66</v>
      </c>
      <c r="AH49" s="15">
        <v>7962.3</v>
      </c>
      <c r="AI49" s="15">
        <v>14.85</v>
      </c>
      <c r="AJ49" s="22"/>
    </row>
    <row r="50" spans="1:36">
      <c r="A50" s="18" t="s">
        <v>2122</v>
      </c>
      <c r="B50" s="19" t="s">
        <v>2123</v>
      </c>
      <c r="C50" s="42"/>
      <c r="D50" s="15">
        <v>999.21</v>
      </c>
      <c r="E50" s="15">
        <v>667.08</v>
      </c>
      <c r="F50" s="15">
        <v>0.94</v>
      </c>
      <c r="G50" s="15">
        <v>0.94</v>
      </c>
      <c r="H50" s="16"/>
      <c r="I50" s="16"/>
      <c r="J50" s="16"/>
      <c r="K50" s="15">
        <v>4.13</v>
      </c>
      <c r="L50" s="16"/>
      <c r="M50" s="15">
        <v>0.09</v>
      </c>
      <c r="N50" s="15">
        <v>0.32</v>
      </c>
      <c r="O50" s="16"/>
      <c r="P50" s="15">
        <v>6.84</v>
      </c>
      <c r="Q50" s="16"/>
      <c r="R50" s="15">
        <v>3.2</v>
      </c>
      <c r="S50" s="16"/>
      <c r="T50" s="15">
        <v>2.16</v>
      </c>
      <c r="U50" s="16"/>
      <c r="V50" s="16"/>
      <c r="W50" s="15">
        <v>0.04</v>
      </c>
      <c r="X50" s="16"/>
      <c r="Y50" s="16"/>
      <c r="Z50" s="16"/>
      <c r="AA50" s="16"/>
      <c r="AB50" s="15">
        <v>1.44</v>
      </c>
      <c r="AC50" s="16"/>
      <c r="AD50" s="15">
        <v>0.02</v>
      </c>
      <c r="AE50" s="15">
        <v>86.98</v>
      </c>
      <c r="AF50" s="15">
        <v>163.28</v>
      </c>
      <c r="AG50" s="15">
        <v>167.32</v>
      </c>
      <c r="AH50" s="15">
        <v>237.17</v>
      </c>
      <c r="AI50" s="16"/>
      <c r="AJ50" s="22"/>
    </row>
    <row r="51" spans="1:36">
      <c r="A51" s="20" t="s">
        <v>2124</v>
      </c>
      <c r="B51" s="21" t="s">
        <v>2125</v>
      </c>
      <c r="C51" s="43"/>
      <c r="D51" s="560">
        <v>2286.89</v>
      </c>
      <c r="E51" s="561">
        <v>977.76</v>
      </c>
      <c r="F51" s="561">
        <v>3.16</v>
      </c>
      <c r="G51" s="561">
        <v>3.13</v>
      </c>
      <c r="H51" s="559"/>
      <c r="I51" s="559"/>
      <c r="J51" s="559"/>
      <c r="K51" s="559"/>
      <c r="L51" s="559"/>
      <c r="M51" s="559"/>
      <c r="N51" s="559"/>
      <c r="O51" s="562"/>
      <c r="P51" s="561">
        <v>9.64</v>
      </c>
      <c r="Q51" s="559"/>
      <c r="R51" s="561">
        <v>2.4500000000000002</v>
      </c>
      <c r="S51" s="559"/>
      <c r="T51" s="561">
        <v>4.79</v>
      </c>
      <c r="U51" s="561">
        <v>0.43</v>
      </c>
      <c r="V51" s="559"/>
      <c r="W51" s="561">
        <v>0.01</v>
      </c>
      <c r="X51" s="559"/>
      <c r="Y51" s="559"/>
      <c r="Z51" s="562"/>
      <c r="AA51" s="559"/>
      <c r="AB51" s="561">
        <v>1.93</v>
      </c>
      <c r="AC51" s="559"/>
      <c r="AD51" s="561">
        <v>0.02</v>
      </c>
      <c r="AE51" s="561">
        <v>11.37</v>
      </c>
      <c r="AF51" s="561">
        <v>0.23</v>
      </c>
      <c r="AG51" s="561">
        <v>18.510000000000002</v>
      </c>
      <c r="AH51" s="561">
        <v>934.84</v>
      </c>
      <c r="AI51" s="559"/>
      <c r="AJ51" s="22"/>
    </row>
  </sheetData>
  <mergeCells count="13">
    <mergeCell ref="H5:H6"/>
    <mergeCell ref="A5:A6"/>
    <mergeCell ref="B5:B6"/>
    <mergeCell ref="D5:E5"/>
    <mergeCell ref="F5:F6"/>
    <mergeCell ref="G5:G6"/>
    <mergeCell ref="O5:O6"/>
    <mergeCell ref="I5:I6"/>
    <mergeCell ref="J5:J6"/>
    <mergeCell ref="K5:K6"/>
    <mergeCell ref="L5:L6"/>
    <mergeCell ref="M5:M6"/>
    <mergeCell ref="N5:N6"/>
  </mergeCells>
  <pageMargins left="0.7" right="0.7" top="0.75" bottom="0.75" header="0.3" footer="0.3"/>
  <headerFooter>
    <oddFooter>&amp;R_x000D_&amp;1#&amp;"Aptos"&amp;10&amp;K000000 Official Use Only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B71D-DD62-43E0-8382-BA8CFFBB5554}">
  <dimension ref="A2:N58"/>
  <sheetViews>
    <sheetView topLeftCell="A4" workbookViewId="0">
      <selection activeCell="N18" sqref="N16:N18"/>
    </sheetView>
  </sheetViews>
  <sheetFormatPr defaultRowHeight="15"/>
  <cols>
    <col min="1" max="1" width="35.7109375" style="3" customWidth="1"/>
    <col min="2" max="2" width="69.42578125" style="3" customWidth="1"/>
    <col min="3" max="14" width="10" style="3" customWidth="1"/>
    <col min="15" max="256" width="9.140625" style="3"/>
    <col min="257" max="257" width="35.7109375" style="3" customWidth="1"/>
    <col min="258" max="258" width="69.42578125" style="3" customWidth="1"/>
    <col min="259" max="270" width="10" style="3" customWidth="1"/>
    <col min="271" max="512" width="9.140625" style="3"/>
    <col min="513" max="513" width="35.7109375" style="3" customWidth="1"/>
    <col min="514" max="514" width="69.42578125" style="3" customWidth="1"/>
    <col min="515" max="526" width="10" style="3" customWidth="1"/>
    <col min="527" max="768" width="9.140625" style="3"/>
    <col min="769" max="769" width="35.7109375" style="3" customWidth="1"/>
    <col min="770" max="770" width="69.42578125" style="3" customWidth="1"/>
    <col min="771" max="782" width="10" style="3" customWidth="1"/>
    <col min="783" max="1024" width="9.140625" style="3"/>
    <col min="1025" max="1025" width="35.7109375" style="3" customWidth="1"/>
    <col min="1026" max="1026" width="69.42578125" style="3" customWidth="1"/>
    <col min="1027" max="1038" width="10" style="3" customWidth="1"/>
    <col min="1039" max="1280" width="9.140625" style="3"/>
    <col min="1281" max="1281" width="35.7109375" style="3" customWidth="1"/>
    <col min="1282" max="1282" width="69.42578125" style="3" customWidth="1"/>
    <col min="1283" max="1294" width="10" style="3" customWidth="1"/>
    <col min="1295" max="1536" width="9.140625" style="3"/>
    <col min="1537" max="1537" width="35.7109375" style="3" customWidth="1"/>
    <col min="1538" max="1538" width="69.42578125" style="3" customWidth="1"/>
    <col min="1539" max="1550" width="10" style="3" customWidth="1"/>
    <col min="1551" max="1792" width="9.140625" style="3"/>
    <col min="1793" max="1793" width="35.7109375" style="3" customWidth="1"/>
    <col min="1794" max="1794" width="69.42578125" style="3" customWidth="1"/>
    <col min="1795" max="1806" width="10" style="3" customWidth="1"/>
    <col min="1807" max="2048" width="9.140625" style="3"/>
    <col min="2049" max="2049" width="35.7109375" style="3" customWidth="1"/>
    <col min="2050" max="2050" width="69.42578125" style="3" customWidth="1"/>
    <col min="2051" max="2062" width="10" style="3" customWidth="1"/>
    <col min="2063" max="2304" width="9.140625" style="3"/>
    <col min="2305" max="2305" width="35.7109375" style="3" customWidth="1"/>
    <col min="2306" max="2306" width="69.42578125" style="3" customWidth="1"/>
    <col min="2307" max="2318" width="10" style="3" customWidth="1"/>
    <col min="2319" max="2560" width="9.140625" style="3"/>
    <col min="2561" max="2561" width="35.7109375" style="3" customWidth="1"/>
    <col min="2562" max="2562" width="69.42578125" style="3" customWidth="1"/>
    <col min="2563" max="2574" width="10" style="3" customWidth="1"/>
    <col min="2575" max="2816" width="9.140625" style="3"/>
    <col min="2817" max="2817" width="35.7109375" style="3" customWidth="1"/>
    <col min="2818" max="2818" width="69.42578125" style="3" customWidth="1"/>
    <col min="2819" max="2830" width="10" style="3" customWidth="1"/>
    <col min="2831" max="3072" width="9.140625" style="3"/>
    <col min="3073" max="3073" width="35.7109375" style="3" customWidth="1"/>
    <col min="3074" max="3074" width="69.42578125" style="3" customWidth="1"/>
    <col min="3075" max="3086" width="10" style="3" customWidth="1"/>
    <col min="3087" max="3328" width="9.140625" style="3"/>
    <col min="3329" max="3329" width="35.7109375" style="3" customWidth="1"/>
    <col min="3330" max="3330" width="69.42578125" style="3" customWidth="1"/>
    <col min="3331" max="3342" width="10" style="3" customWidth="1"/>
    <col min="3343" max="3584" width="9.140625" style="3"/>
    <col min="3585" max="3585" width="35.7109375" style="3" customWidth="1"/>
    <col min="3586" max="3586" width="69.42578125" style="3" customWidth="1"/>
    <col min="3587" max="3598" width="10" style="3" customWidth="1"/>
    <col min="3599" max="3840" width="9.140625" style="3"/>
    <col min="3841" max="3841" width="35.7109375" style="3" customWidth="1"/>
    <col min="3842" max="3842" width="69.42578125" style="3" customWidth="1"/>
    <col min="3843" max="3854" width="10" style="3" customWidth="1"/>
    <col min="3855" max="4096" width="9.140625" style="3"/>
    <col min="4097" max="4097" width="35.7109375" style="3" customWidth="1"/>
    <col min="4098" max="4098" width="69.42578125" style="3" customWidth="1"/>
    <col min="4099" max="4110" width="10" style="3" customWidth="1"/>
    <col min="4111" max="4352" width="9.140625" style="3"/>
    <col min="4353" max="4353" width="35.7109375" style="3" customWidth="1"/>
    <col min="4354" max="4354" width="69.42578125" style="3" customWidth="1"/>
    <col min="4355" max="4366" width="10" style="3" customWidth="1"/>
    <col min="4367" max="4608" width="9.140625" style="3"/>
    <col min="4609" max="4609" width="35.7109375" style="3" customWidth="1"/>
    <col min="4610" max="4610" width="69.42578125" style="3" customWidth="1"/>
    <col min="4611" max="4622" width="10" style="3" customWidth="1"/>
    <col min="4623" max="4864" width="9.140625" style="3"/>
    <col min="4865" max="4865" width="35.7109375" style="3" customWidth="1"/>
    <col min="4866" max="4866" width="69.42578125" style="3" customWidth="1"/>
    <col min="4867" max="4878" width="10" style="3" customWidth="1"/>
    <col min="4879" max="5120" width="9.140625" style="3"/>
    <col min="5121" max="5121" width="35.7109375" style="3" customWidth="1"/>
    <col min="5122" max="5122" width="69.42578125" style="3" customWidth="1"/>
    <col min="5123" max="5134" width="10" style="3" customWidth="1"/>
    <col min="5135" max="5376" width="9.140625" style="3"/>
    <col min="5377" max="5377" width="35.7109375" style="3" customWidth="1"/>
    <col min="5378" max="5378" width="69.42578125" style="3" customWidth="1"/>
    <col min="5379" max="5390" width="10" style="3" customWidth="1"/>
    <col min="5391" max="5632" width="9.140625" style="3"/>
    <col min="5633" max="5633" width="35.7109375" style="3" customWidth="1"/>
    <col min="5634" max="5634" width="69.42578125" style="3" customWidth="1"/>
    <col min="5635" max="5646" width="10" style="3" customWidth="1"/>
    <col min="5647" max="5888" width="9.140625" style="3"/>
    <col min="5889" max="5889" width="35.7109375" style="3" customWidth="1"/>
    <col min="5890" max="5890" width="69.42578125" style="3" customWidth="1"/>
    <col min="5891" max="5902" width="10" style="3" customWidth="1"/>
    <col min="5903" max="6144" width="9.140625" style="3"/>
    <col min="6145" max="6145" width="35.7109375" style="3" customWidth="1"/>
    <col min="6146" max="6146" width="69.42578125" style="3" customWidth="1"/>
    <col min="6147" max="6158" width="10" style="3" customWidth="1"/>
    <col min="6159" max="6400" width="9.140625" style="3"/>
    <col min="6401" max="6401" width="35.7109375" style="3" customWidth="1"/>
    <col min="6402" max="6402" width="69.42578125" style="3" customWidth="1"/>
    <col min="6403" max="6414" width="10" style="3" customWidth="1"/>
    <col min="6415" max="6656" width="9.140625" style="3"/>
    <col min="6657" max="6657" width="35.7109375" style="3" customWidth="1"/>
    <col min="6658" max="6658" width="69.42578125" style="3" customWidth="1"/>
    <col min="6659" max="6670" width="10" style="3" customWidth="1"/>
    <col min="6671" max="6912" width="9.140625" style="3"/>
    <col min="6913" max="6913" width="35.7109375" style="3" customWidth="1"/>
    <col min="6914" max="6914" width="69.42578125" style="3" customWidth="1"/>
    <col min="6915" max="6926" width="10" style="3" customWidth="1"/>
    <col min="6927" max="7168" width="9.140625" style="3"/>
    <col min="7169" max="7169" width="35.7109375" style="3" customWidth="1"/>
    <col min="7170" max="7170" width="69.42578125" style="3" customWidth="1"/>
    <col min="7171" max="7182" width="10" style="3" customWidth="1"/>
    <col min="7183" max="7424" width="9.140625" style="3"/>
    <col min="7425" max="7425" width="35.7109375" style="3" customWidth="1"/>
    <col min="7426" max="7426" width="69.42578125" style="3" customWidth="1"/>
    <col min="7427" max="7438" width="10" style="3" customWidth="1"/>
    <col min="7439" max="7680" width="9.140625" style="3"/>
    <col min="7681" max="7681" width="35.7109375" style="3" customWidth="1"/>
    <col min="7682" max="7682" width="69.42578125" style="3" customWidth="1"/>
    <col min="7683" max="7694" width="10" style="3" customWidth="1"/>
    <col min="7695" max="7936" width="9.140625" style="3"/>
    <col min="7937" max="7937" width="35.7109375" style="3" customWidth="1"/>
    <col min="7938" max="7938" width="69.42578125" style="3" customWidth="1"/>
    <col min="7939" max="7950" width="10" style="3" customWidth="1"/>
    <col min="7951" max="8192" width="9.140625" style="3"/>
    <col min="8193" max="8193" width="35.7109375" style="3" customWidth="1"/>
    <col min="8194" max="8194" width="69.42578125" style="3" customWidth="1"/>
    <col min="8195" max="8206" width="10" style="3" customWidth="1"/>
    <col min="8207" max="8448" width="9.140625" style="3"/>
    <col min="8449" max="8449" width="35.7109375" style="3" customWidth="1"/>
    <col min="8450" max="8450" width="69.42578125" style="3" customWidth="1"/>
    <col min="8451" max="8462" width="10" style="3" customWidth="1"/>
    <col min="8463" max="8704" width="9.140625" style="3"/>
    <col min="8705" max="8705" width="35.7109375" style="3" customWidth="1"/>
    <col min="8706" max="8706" width="69.42578125" style="3" customWidth="1"/>
    <col min="8707" max="8718" width="10" style="3" customWidth="1"/>
    <col min="8719" max="8960" width="9.140625" style="3"/>
    <col min="8961" max="8961" width="35.7109375" style="3" customWidth="1"/>
    <col min="8962" max="8962" width="69.42578125" style="3" customWidth="1"/>
    <col min="8963" max="8974" width="10" style="3" customWidth="1"/>
    <col min="8975" max="9216" width="9.140625" style="3"/>
    <col min="9217" max="9217" width="35.7109375" style="3" customWidth="1"/>
    <col min="9218" max="9218" width="69.42578125" style="3" customWidth="1"/>
    <col min="9219" max="9230" width="10" style="3" customWidth="1"/>
    <col min="9231" max="9472" width="9.140625" style="3"/>
    <col min="9473" max="9473" width="35.7109375" style="3" customWidth="1"/>
    <col min="9474" max="9474" width="69.42578125" style="3" customWidth="1"/>
    <col min="9475" max="9486" width="10" style="3" customWidth="1"/>
    <col min="9487" max="9728" width="9.140625" style="3"/>
    <col min="9729" max="9729" width="35.7109375" style="3" customWidth="1"/>
    <col min="9730" max="9730" width="69.42578125" style="3" customWidth="1"/>
    <col min="9731" max="9742" width="10" style="3" customWidth="1"/>
    <col min="9743" max="9984" width="9.140625" style="3"/>
    <col min="9985" max="9985" width="35.7109375" style="3" customWidth="1"/>
    <col min="9986" max="9986" width="69.42578125" style="3" customWidth="1"/>
    <col min="9987" max="9998" width="10" style="3" customWidth="1"/>
    <col min="9999" max="10240" width="9.140625" style="3"/>
    <col min="10241" max="10241" width="35.7109375" style="3" customWidth="1"/>
    <col min="10242" max="10242" width="69.42578125" style="3" customWidth="1"/>
    <col min="10243" max="10254" width="10" style="3" customWidth="1"/>
    <col min="10255" max="10496" width="9.140625" style="3"/>
    <col min="10497" max="10497" width="35.7109375" style="3" customWidth="1"/>
    <col min="10498" max="10498" width="69.42578125" style="3" customWidth="1"/>
    <col min="10499" max="10510" width="10" style="3" customWidth="1"/>
    <col min="10511" max="10752" width="9.140625" style="3"/>
    <col min="10753" max="10753" width="35.7109375" style="3" customWidth="1"/>
    <col min="10754" max="10754" width="69.42578125" style="3" customWidth="1"/>
    <col min="10755" max="10766" width="10" style="3" customWidth="1"/>
    <col min="10767" max="11008" width="9.140625" style="3"/>
    <col min="11009" max="11009" width="35.7109375" style="3" customWidth="1"/>
    <col min="11010" max="11010" width="69.42578125" style="3" customWidth="1"/>
    <col min="11011" max="11022" width="10" style="3" customWidth="1"/>
    <col min="11023" max="11264" width="9.140625" style="3"/>
    <col min="11265" max="11265" width="35.7109375" style="3" customWidth="1"/>
    <col min="11266" max="11266" width="69.42578125" style="3" customWidth="1"/>
    <col min="11267" max="11278" width="10" style="3" customWidth="1"/>
    <col min="11279" max="11520" width="9.140625" style="3"/>
    <col min="11521" max="11521" width="35.7109375" style="3" customWidth="1"/>
    <col min="11522" max="11522" width="69.42578125" style="3" customWidth="1"/>
    <col min="11523" max="11534" width="10" style="3" customWidth="1"/>
    <col min="11535" max="11776" width="9.140625" style="3"/>
    <col min="11777" max="11777" width="35.7109375" style="3" customWidth="1"/>
    <col min="11778" max="11778" width="69.42578125" style="3" customWidth="1"/>
    <col min="11779" max="11790" width="10" style="3" customWidth="1"/>
    <col min="11791" max="12032" width="9.140625" style="3"/>
    <col min="12033" max="12033" width="35.7109375" style="3" customWidth="1"/>
    <col min="12034" max="12034" width="69.42578125" style="3" customWidth="1"/>
    <col min="12035" max="12046" width="10" style="3" customWidth="1"/>
    <col min="12047" max="12288" width="9.140625" style="3"/>
    <col min="12289" max="12289" width="35.7109375" style="3" customWidth="1"/>
    <col min="12290" max="12290" width="69.42578125" style="3" customWidth="1"/>
    <col min="12291" max="12302" width="10" style="3" customWidth="1"/>
    <col min="12303" max="12544" width="9.140625" style="3"/>
    <col min="12545" max="12545" width="35.7109375" style="3" customWidth="1"/>
    <col min="12546" max="12546" width="69.42578125" style="3" customWidth="1"/>
    <col min="12547" max="12558" width="10" style="3" customWidth="1"/>
    <col min="12559" max="12800" width="9.140625" style="3"/>
    <col min="12801" max="12801" width="35.7109375" style="3" customWidth="1"/>
    <col min="12802" max="12802" width="69.42578125" style="3" customWidth="1"/>
    <col min="12803" max="12814" width="10" style="3" customWidth="1"/>
    <col min="12815" max="13056" width="9.140625" style="3"/>
    <col min="13057" max="13057" width="35.7109375" style="3" customWidth="1"/>
    <col min="13058" max="13058" width="69.42578125" style="3" customWidth="1"/>
    <col min="13059" max="13070" width="10" style="3" customWidth="1"/>
    <col min="13071" max="13312" width="9.140625" style="3"/>
    <col min="13313" max="13313" width="35.7109375" style="3" customWidth="1"/>
    <col min="13314" max="13314" width="69.42578125" style="3" customWidth="1"/>
    <col min="13315" max="13326" width="10" style="3" customWidth="1"/>
    <col min="13327" max="13568" width="9.140625" style="3"/>
    <col min="13569" max="13569" width="35.7109375" style="3" customWidth="1"/>
    <col min="13570" max="13570" width="69.42578125" style="3" customWidth="1"/>
    <col min="13571" max="13582" width="10" style="3" customWidth="1"/>
    <col min="13583" max="13824" width="9.140625" style="3"/>
    <col min="13825" max="13825" width="35.7109375" style="3" customWidth="1"/>
    <col min="13826" max="13826" width="69.42578125" style="3" customWidth="1"/>
    <col min="13827" max="13838" width="10" style="3" customWidth="1"/>
    <col min="13839" max="14080" width="9.140625" style="3"/>
    <col min="14081" max="14081" width="35.7109375" style="3" customWidth="1"/>
    <col min="14082" max="14082" width="69.42578125" style="3" customWidth="1"/>
    <col min="14083" max="14094" width="10" style="3" customWidth="1"/>
    <col min="14095" max="14336" width="9.140625" style="3"/>
    <col min="14337" max="14337" width="35.7109375" style="3" customWidth="1"/>
    <col min="14338" max="14338" width="69.42578125" style="3" customWidth="1"/>
    <col min="14339" max="14350" width="10" style="3" customWidth="1"/>
    <col min="14351" max="14592" width="9.140625" style="3"/>
    <col min="14593" max="14593" width="35.7109375" style="3" customWidth="1"/>
    <col min="14594" max="14594" width="69.42578125" style="3" customWidth="1"/>
    <col min="14595" max="14606" width="10" style="3" customWidth="1"/>
    <col min="14607" max="14848" width="9.140625" style="3"/>
    <col min="14849" max="14849" width="35.7109375" style="3" customWidth="1"/>
    <col min="14850" max="14850" width="69.42578125" style="3" customWidth="1"/>
    <col min="14851" max="14862" width="10" style="3" customWidth="1"/>
    <col min="14863" max="15104" width="9.140625" style="3"/>
    <col min="15105" max="15105" width="35.7109375" style="3" customWidth="1"/>
    <col min="15106" max="15106" width="69.42578125" style="3" customWidth="1"/>
    <col min="15107" max="15118" width="10" style="3" customWidth="1"/>
    <col min="15119" max="15360" width="9.140625" style="3"/>
    <col min="15361" max="15361" width="35.7109375" style="3" customWidth="1"/>
    <col min="15362" max="15362" width="69.42578125" style="3" customWidth="1"/>
    <col min="15363" max="15374" width="10" style="3" customWidth="1"/>
    <col min="15375" max="15616" width="9.140625" style="3"/>
    <col min="15617" max="15617" width="35.7109375" style="3" customWidth="1"/>
    <col min="15618" max="15618" width="69.42578125" style="3" customWidth="1"/>
    <col min="15619" max="15630" width="10" style="3" customWidth="1"/>
    <col min="15631" max="15872" width="9.140625" style="3"/>
    <col min="15873" max="15873" width="35.7109375" style="3" customWidth="1"/>
    <col min="15874" max="15874" width="69.42578125" style="3" customWidth="1"/>
    <col min="15875" max="15886" width="10" style="3" customWidth="1"/>
    <col min="15887" max="16128" width="9.140625" style="3"/>
    <col min="16129" max="16129" width="35.7109375" style="3" customWidth="1"/>
    <col min="16130" max="16130" width="69.42578125" style="3" customWidth="1"/>
    <col min="16131" max="16142" width="10" style="3" customWidth="1"/>
    <col min="16143" max="16384" width="9.140625" style="3"/>
  </cols>
  <sheetData>
    <row r="2" spans="1:14">
      <c r="A2" s="1" t="s">
        <v>2126</v>
      </c>
      <c r="B2" s="2"/>
      <c r="C2" s="2"/>
      <c r="D2" s="2"/>
      <c r="E2" s="2"/>
      <c r="F2" s="2"/>
      <c r="G2" s="2"/>
      <c r="H2" s="2"/>
      <c r="I2" s="2"/>
      <c r="J2" s="2"/>
      <c r="K2" s="2"/>
      <c r="L2" s="2"/>
      <c r="M2" s="2"/>
      <c r="N2" s="2"/>
    </row>
    <row r="3" spans="1:14">
      <c r="A3" s="1" t="s">
        <v>2127</v>
      </c>
      <c r="B3" s="2"/>
      <c r="C3" s="2"/>
      <c r="D3" s="2"/>
      <c r="E3" s="2"/>
      <c r="F3" s="2"/>
      <c r="G3" s="2"/>
      <c r="H3" s="2"/>
      <c r="I3" s="2"/>
      <c r="J3" s="2"/>
      <c r="K3" s="2"/>
      <c r="L3" s="2"/>
      <c r="M3" s="2"/>
      <c r="N3" s="2"/>
    </row>
    <row r="4" spans="1:14">
      <c r="A4" s="1" t="s">
        <v>2128</v>
      </c>
      <c r="B4" s="2"/>
      <c r="C4" s="2"/>
      <c r="D4" s="2"/>
      <c r="E4" s="2"/>
      <c r="F4" s="2"/>
      <c r="G4" s="2"/>
      <c r="H4" s="2"/>
      <c r="I4" s="2"/>
      <c r="J4" s="2"/>
      <c r="K4" s="2"/>
      <c r="L4" s="2"/>
      <c r="M4" s="2"/>
      <c r="N4" s="2"/>
    </row>
    <row r="5" spans="1:14">
      <c r="A5" s="4" t="s">
        <v>2129</v>
      </c>
      <c r="B5" s="5"/>
      <c r="C5" s="5"/>
      <c r="D5" s="5"/>
      <c r="E5" s="5"/>
      <c r="F5" s="5"/>
      <c r="G5" s="5"/>
      <c r="H5" s="5"/>
      <c r="I5" s="5"/>
      <c r="J5" s="5"/>
      <c r="K5" s="5"/>
      <c r="L5" s="5"/>
      <c r="M5" s="5"/>
      <c r="N5" s="5"/>
    </row>
    <row r="6" spans="1:14">
      <c r="A6" s="1072" t="s">
        <v>2130</v>
      </c>
      <c r="B6" s="1073" t="s">
        <v>1207</v>
      </c>
      <c r="C6" s="8" t="s">
        <v>2131</v>
      </c>
      <c r="D6" s="8" t="s">
        <v>2132</v>
      </c>
      <c r="E6" s="8" t="s">
        <v>2133</v>
      </c>
      <c r="F6" s="8" t="s">
        <v>2134</v>
      </c>
      <c r="G6" s="8" t="s">
        <v>2135</v>
      </c>
      <c r="H6" s="8" t="s">
        <v>2136</v>
      </c>
      <c r="I6" s="8" t="s">
        <v>2137</v>
      </c>
      <c r="J6" s="8" t="s">
        <v>2138</v>
      </c>
      <c r="K6" s="8" t="s">
        <v>2139</v>
      </c>
      <c r="L6" s="8" t="s">
        <v>2140</v>
      </c>
      <c r="M6" s="8" t="s">
        <v>2141</v>
      </c>
      <c r="N6" s="1071" t="s">
        <v>2142</v>
      </c>
    </row>
    <row r="7" spans="1:14">
      <c r="A7" s="13" t="s">
        <v>2143</v>
      </c>
      <c r="B7" s="14" t="s">
        <v>2144</v>
      </c>
      <c r="C7" s="1074" t="s">
        <v>2145</v>
      </c>
      <c r="D7" s="1074" t="s">
        <v>2146</v>
      </c>
      <c r="E7" s="1074" t="s">
        <v>2147</v>
      </c>
      <c r="F7" s="1074" t="s">
        <v>2148</v>
      </c>
      <c r="G7" s="1074" t="s">
        <v>2149</v>
      </c>
      <c r="H7" s="1074" t="s">
        <v>2150</v>
      </c>
      <c r="I7" s="1074" t="s">
        <v>2151</v>
      </c>
      <c r="J7" s="1074" t="s">
        <v>2152</v>
      </c>
      <c r="K7" s="1074" t="s">
        <v>2153</v>
      </c>
      <c r="L7" s="1074" t="s">
        <v>2154</v>
      </c>
      <c r="M7" s="1074" t="s">
        <v>2155</v>
      </c>
      <c r="N7" s="1074" t="s">
        <v>2156</v>
      </c>
    </row>
    <row r="8" spans="1:14">
      <c r="A8" s="13" t="s">
        <v>2157</v>
      </c>
      <c r="B8" s="17" t="s">
        <v>2158</v>
      </c>
      <c r="C8" s="1074" t="s">
        <v>2159</v>
      </c>
      <c r="D8" s="1074" t="s">
        <v>2160</v>
      </c>
      <c r="E8" s="1074" t="s">
        <v>2161</v>
      </c>
      <c r="F8" s="1074" t="s">
        <v>2162</v>
      </c>
      <c r="G8" s="1074" t="s">
        <v>2163</v>
      </c>
      <c r="H8" s="1074" t="s">
        <v>2164</v>
      </c>
      <c r="I8" s="1074" t="s">
        <v>2165</v>
      </c>
      <c r="J8" s="1074" t="s">
        <v>2166</v>
      </c>
      <c r="K8" s="1074" t="s">
        <v>2167</v>
      </c>
      <c r="L8" s="1074" t="s">
        <v>2168</v>
      </c>
      <c r="M8" s="1074" t="s">
        <v>2169</v>
      </c>
      <c r="N8" s="1074" t="s">
        <v>2170</v>
      </c>
    </row>
    <row r="9" spans="1:14">
      <c r="A9" s="13" t="s">
        <v>2036</v>
      </c>
      <c r="B9" s="17" t="s">
        <v>114</v>
      </c>
      <c r="C9" s="1074" t="s">
        <v>2171</v>
      </c>
      <c r="D9" s="1074" t="s">
        <v>2172</v>
      </c>
      <c r="E9" s="1074" t="s">
        <v>2173</v>
      </c>
      <c r="F9" s="1074" t="s">
        <v>2174</v>
      </c>
      <c r="G9" s="1074" t="s">
        <v>2175</v>
      </c>
      <c r="H9" s="1074" t="s">
        <v>2176</v>
      </c>
      <c r="I9" s="1074" t="s">
        <v>2177</v>
      </c>
      <c r="J9" s="1074" t="s">
        <v>2178</v>
      </c>
      <c r="K9" s="1074" t="s">
        <v>2179</v>
      </c>
      <c r="L9" s="1074" t="s">
        <v>2180</v>
      </c>
      <c r="M9" s="1074" t="s">
        <v>2181</v>
      </c>
      <c r="N9" s="1074" t="s">
        <v>2182</v>
      </c>
    </row>
    <row r="10" spans="1:14">
      <c r="A10" s="13" t="s">
        <v>2183</v>
      </c>
      <c r="B10" s="17" t="s">
        <v>2184</v>
      </c>
      <c r="C10" s="1074" t="s">
        <v>2185</v>
      </c>
      <c r="D10" s="1074" t="s">
        <v>2186</v>
      </c>
      <c r="E10" s="1074" t="s">
        <v>2187</v>
      </c>
      <c r="F10" s="1074" t="s">
        <v>2188</v>
      </c>
      <c r="G10" s="1074" t="s">
        <v>2189</v>
      </c>
      <c r="H10" s="1074" t="s">
        <v>2190</v>
      </c>
      <c r="I10" s="1074" t="s">
        <v>2191</v>
      </c>
      <c r="J10" s="1074" t="s">
        <v>2192</v>
      </c>
      <c r="K10" s="1074" t="s">
        <v>2193</v>
      </c>
      <c r="L10" s="1074" t="s">
        <v>2194</v>
      </c>
      <c r="M10" s="1074" t="s">
        <v>2195</v>
      </c>
      <c r="N10" s="1074" t="s">
        <v>2196</v>
      </c>
    </row>
    <row r="11" spans="1:14">
      <c r="A11" s="18" t="s">
        <v>2039</v>
      </c>
      <c r="B11" s="19" t="s">
        <v>2040</v>
      </c>
      <c r="C11" s="1074" t="s">
        <v>2197</v>
      </c>
      <c r="D11" s="1074" t="s">
        <v>2198</v>
      </c>
      <c r="E11" s="1074" t="s">
        <v>2199</v>
      </c>
      <c r="F11" s="1074" t="s">
        <v>2200</v>
      </c>
      <c r="G11" s="1074" t="s">
        <v>2201</v>
      </c>
      <c r="H11" s="1074" t="s">
        <v>2202</v>
      </c>
      <c r="I11" s="1074" t="s">
        <v>2203</v>
      </c>
      <c r="J11" s="1074" t="s">
        <v>2204</v>
      </c>
      <c r="K11" s="1074" t="s">
        <v>2205</v>
      </c>
      <c r="L11" s="1074" t="s">
        <v>2206</v>
      </c>
      <c r="M11" s="1074" t="s">
        <v>2207</v>
      </c>
      <c r="N11" s="1074" t="s">
        <v>2208</v>
      </c>
    </row>
    <row r="12" spans="1:14">
      <c r="A12" s="18" t="s">
        <v>2041</v>
      </c>
      <c r="B12" s="19" t="s">
        <v>2042</v>
      </c>
      <c r="C12" s="1074" t="s">
        <v>2209</v>
      </c>
      <c r="D12" s="1074" t="s">
        <v>2210</v>
      </c>
      <c r="E12" s="1074" t="s">
        <v>2211</v>
      </c>
      <c r="F12" s="1074" t="s">
        <v>2212</v>
      </c>
      <c r="G12" s="1074" t="s">
        <v>2213</v>
      </c>
      <c r="H12" s="1074" t="s">
        <v>2214</v>
      </c>
      <c r="I12" s="1074" t="s">
        <v>2215</v>
      </c>
      <c r="J12" s="1074" t="s">
        <v>2216</v>
      </c>
      <c r="K12" s="1074" t="s">
        <v>2217</v>
      </c>
      <c r="L12" s="1074" t="s">
        <v>2218</v>
      </c>
      <c r="M12" s="1074" t="s">
        <v>2219</v>
      </c>
      <c r="N12" s="1074" t="s">
        <v>2220</v>
      </c>
    </row>
    <row r="13" spans="1:14">
      <c r="A13" s="18" t="s">
        <v>2043</v>
      </c>
      <c r="B13" s="19" t="s">
        <v>2044</v>
      </c>
      <c r="C13" s="1074" t="s">
        <v>2221</v>
      </c>
      <c r="D13" s="1074" t="s">
        <v>2222</v>
      </c>
      <c r="E13" s="1074" t="s">
        <v>2223</v>
      </c>
      <c r="F13" s="1074" t="s">
        <v>2224</v>
      </c>
      <c r="G13" s="1074" t="s">
        <v>2225</v>
      </c>
      <c r="H13" s="1074" t="s">
        <v>2226</v>
      </c>
      <c r="I13" s="1074" t="s">
        <v>2227</v>
      </c>
      <c r="J13" s="1074" t="s">
        <v>2228</v>
      </c>
      <c r="K13" s="1074" t="s">
        <v>2229</v>
      </c>
      <c r="L13" s="1074" t="s">
        <v>2230</v>
      </c>
      <c r="M13" s="1074" t="s">
        <v>2231</v>
      </c>
      <c r="N13" s="1074" t="s">
        <v>2232</v>
      </c>
    </row>
    <row r="14" spans="1:14">
      <c r="A14" s="18" t="s">
        <v>2045</v>
      </c>
      <c r="B14" s="19" t="s">
        <v>2046</v>
      </c>
      <c r="C14" s="1074" t="s">
        <v>2233</v>
      </c>
      <c r="D14" s="1074" t="s">
        <v>2234</v>
      </c>
      <c r="E14" s="1074" t="s">
        <v>2235</v>
      </c>
      <c r="F14" s="1074" t="s">
        <v>2236</v>
      </c>
      <c r="G14" s="1074" t="s">
        <v>2237</v>
      </c>
      <c r="H14" s="1074" t="s">
        <v>2238</v>
      </c>
      <c r="I14" s="1074" t="s">
        <v>2239</v>
      </c>
      <c r="J14" s="1074" t="s">
        <v>2240</v>
      </c>
      <c r="K14" s="1074" t="s">
        <v>2241</v>
      </c>
      <c r="L14" s="1074" t="s">
        <v>2242</v>
      </c>
      <c r="M14" s="1074" t="s">
        <v>2243</v>
      </c>
      <c r="N14" s="1074" t="s">
        <v>2244</v>
      </c>
    </row>
    <row r="15" spans="1:14">
      <c r="A15" s="18" t="s">
        <v>2047</v>
      </c>
      <c r="B15" s="19" t="s">
        <v>2245</v>
      </c>
      <c r="C15" s="1074" t="s">
        <v>2246</v>
      </c>
      <c r="D15" s="1074" t="s">
        <v>2247</v>
      </c>
      <c r="E15" s="1074" t="s">
        <v>2248</v>
      </c>
      <c r="F15" s="1074" t="s">
        <v>2249</v>
      </c>
      <c r="G15" s="1074" t="s">
        <v>2250</v>
      </c>
      <c r="H15" s="1074" t="s">
        <v>2251</v>
      </c>
      <c r="I15" s="1074" t="s">
        <v>2252</v>
      </c>
      <c r="J15" s="1074" t="s">
        <v>2253</v>
      </c>
      <c r="K15" s="1074" t="s">
        <v>2254</v>
      </c>
      <c r="L15" s="1074" t="s">
        <v>2255</v>
      </c>
      <c r="M15" s="1074" t="s">
        <v>2256</v>
      </c>
      <c r="N15" s="1074" t="s">
        <v>2257</v>
      </c>
    </row>
    <row r="16" spans="1:14">
      <c r="A16" s="18" t="s">
        <v>2049</v>
      </c>
      <c r="B16" s="19" t="s">
        <v>2050</v>
      </c>
      <c r="C16" s="16"/>
      <c r="D16" s="16"/>
      <c r="E16" s="16"/>
      <c r="F16" s="16"/>
      <c r="G16" s="1074" t="s">
        <v>2258</v>
      </c>
      <c r="H16" s="1074" t="s">
        <v>2259</v>
      </c>
      <c r="I16" s="1074" t="s">
        <v>2260</v>
      </c>
      <c r="J16" s="1074" t="s">
        <v>2261</v>
      </c>
      <c r="K16" s="1074" t="s">
        <v>2262</v>
      </c>
      <c r="L16" s="1074" t="s">
        <v>2263</v>
      </c>
      <c r="M16" s="1074" t="s">
        <v>2264</v>
      </c>
      <c r="N16" s="1074" t="s">
        <v>2264</v>
      </c>
    </row>
    <row r="17" spans="1:14">
      <c r="A17" s="18" t="s">
        <v>2051</v>
      </c>
      <c r="B17" s="19" t="s">
        <v>2052</v>
      </c>
      <c r="C17" s="1074" t="s">
        <v>2265</v>
      </c>
      <c r="D17" s="1074" t="s">
        <v>2266</v>
      </c>
      <c r="E17" s="1074" t="s">
        <v>2267</v>
      </c>
      <c r="F17" s="1074" t="s">
        <v>2268</v>
      </c>
      <c r="G17" s="1074" t="s">
        <v>2269</v>
      </c>
      <c r="H17" s="1074" t="s">
        <v>2270</v>
      </c>
      <c r="I17" s="1074" t="s">
        <v>2271</v>
      </c>
      <c r="J17" s="1074" t="s">
        <v>2272</v>
      </c>
      <c r="K17" s="1074" t="s">
        <v>2273</v>
      </c>
      <c r="L17" s="1074" t="s">
        <v>2274</v>
      </c>
      <c r="M17" s="1074" t="s">
        <v>2275</v>
      </c>
      <c r="N17" s="1074" t="s">
        <v>2276</v>
      </c>
    </row>
    <row r="18" spans="1:14">
      <c r="A18" s="13" t="s">
        <v>2277</v>
      </c>
      <c r="B18" s="17" t="s">
        <v>2278</v>
      </c>
      <c r="C18" s="1074" t="s">
        <v>2279</v>
      </c>
      <c r="D18" s="1074" t="s">
        <v>2280</v>
      </c>
      <c r="E18" s="1074" t="s">
        <v>2281</v>
      </c>
      <c r="F18" s="1074" t="s">
        <v>2282</v>
      </c>
      <c r="G18" s="1074" t="s">
        <v>2283</v>
      </c>
      <c r="H18" s="1074" t="s">
        <v>2284</v>
      </c>
      <c r="I18" s="1074" t="s">
        <v>2285</v>
      </c>
      <c r="J18" s="1074" t="s">
        <v>2286</v>
      </c>
      <c r="K18" s="1074" t="s">
        <v>2287</v>
      </c>
      <c r="L18" s="1074" t="s">
        <v>2288</v>
      </c>
      <c r="M18" s="1074" t="s">
        <v>2289</v>
      </c>
      <c r="N18" s="1079" t="s">
        <v>2290</v>
      </c>
    </row>
    <row r="19" spans="1:14">
      <c r="A19" s="18" t="s">
        <v>2056</v>
      </c>
      <c r="B19" s="19" t="s">
        <v>2057</v>
      </c>
      <c r="C19" s="1074" t="s">
        <v>2291</v>
      </c>
      <c r="D19" s="1074" t="s">
        <v>2292</v>
      </c>
      <c r="E19" s="1074" t="s">
        <v>2293</v>
      </c>
      <c r="F19" s="1074" t="s">
        <v>2294</v>
      </c>
      <c r="G19" s="1074" t="s">
        <v>2295</v>
      </c>
      <c r="H19" s="1074" t="s">
        <v>2296</v>
      </c>
      <c r="I19" s="1074" t="s">
        <v>2297</v>
      </c>
      <c r="J19" s="1074" t="s">
        <v>2298</v>
      </c>
      <c r="K19" s="1074" t="s">
        <v>2299</v>
      </c>
      <c r="L19" s="1074" t="s">
        <v>2300</v>
      </c>
      <c r="M19" s="1074" t="s">
        <v>2301</v>
      </c>
      <c r="N19" s="1074" t="s">
        <v>2302</v>
      </c>
    </row>
    <row r="20" spans="1:14">
      <c r="A20" s="18" t="s">
        <v>2058</v>
      </c>
      <c r="B20" s="19" t="s">
        <v>2059</v>
      </c>
      <c r="C20" s="1074" t="s">
        <v>2303</v>
      </c>
      <c r="D20" s="1074" t="s">
        <v>2304</v>
      </c>
      <c r="E20" s="1074" t="s">
        <v>2305</v>
      </c>
      <c r="F20" s="1074" t="s">
        <v>2306</v>
      </c>
      <c r="G20" s="1074" t="s">
        <v>2307</v>
      </c>
      <c r="H20" s="1074" t="s">
        <v>2308</v>
      </c>
      <c r="I20" s="1074" t="s">
        <v>2309</v>
      </c>
      <c r="J20" s="1074" t="s">
        <v>2310</v>
      </c>
      <c r="K20" s="1074" t="s">
        <v>2311</v>
      </c>
      <c r="L20" s="1074" t="s">
        <v>2312</v>
      </c>
      <c r="M20" s="1074" t="s">
        <v>2313</v>
      </c>
      <c r="N20" s="1074" t="s">
        <v>2314</v>
      </c>
    </row>
    <row r="21" spans="1:14">
      <c r="A21" s="18" t="s">
        <v>2060</v>
      </c>
      <c r="B21" s="19" t="s">
        <v>2061</v>
      </c>
      <c r="C21" s="1074" t="s">
        <v>2315</v>
      </c>
      <c r="D21" s="1074" t="s">
        <v>2316</v>
      </c>
      <c r="E21" s="1074" t="s">
        <v>2317</v>
      </c>
      <c r="F21" s="1074" t="s">
        <v>2318</v>
      </c>
      <c r="G21" s="1074" t="s">
        <v>2319</v>
      </c>
      <c r="H21" s="1074" t="s">
        <v>2320</v>
      </c>
      <c r="I21" s="1074" t="s">
        <v>2321</v>
      </c>
      <c r="J21" s="1074" t="s">
        <v>2322</v>
      </c>
      <c r="K21" s="1074" t="s">
        <v>2323</v>
      </c>
      <c r="L21" s="1074" t="s">
        <v>2324</v>
      </c>
      <c r="M21" s="1074" t="s">
        <v>2325</v>
      </c>
      <c r="N21" s="1074" t="s">
        <v>2326</v>
      </c>
    </row>
    <row r="22" spans="1:14">
      <c r="A22" s="18" t="s">
        <v>2062</v>
      </c>
      <c r="B22" s="19" t="s">
        <v>2063</v>
      </c>
      <c r="C22" s="1074" t="s">
        <v>2327</v>
      </c>
      <c r="D22" s="1074" t="s">
        <v>2328</v>
      </c>
      <c r="E22" s="1074" t="s">
        <v>2329</v>
      </c>
      <c r="F22" s="1074" t="s">
        <v>2330</v>
      </c>
      <c r="G22" s="1074" t="s">
        <v>2331</v>
      </c>
      <c r="H22" s="1074" t="s">
        <v>2332</v>
      </c>
      <c r="I22" s="1074" t="s">
        <v>2332</v>
      </c>
      <c r="J22" s="1074" t="s">
        <v>2333</v>
      </c>
      <c r="K22" s="1074" t="s">
        <v>2334</v>
      </c>
      <c r="L22" s="1074" t="s">
        <v>2335</v>
      </c>
      <c r="M22" s="1074" t="s">
        <v>2336</v>
      </c>
      <c r="N22" s="1074" t="s">
        <v>2337</v>
      </c>
    </row>
    <row r="23" spans="1:14">
      <c r="A23" s="18" t="s">
        <v>2064</v>
      </c>
      <c r="B23" s="19" t="s">
        <v>2065</v>
      </c>
      <c r="C23" s="1074" t="s">
        <v>2338</v>
      </c>
      <c r="D23" s="1074" t="s">
        <v>2339</v>
      </c>
      <c r="E23" s="1074" t="s">
        <v>2340</v>
      </c>
      <c r="F23" s="1074" t="s">
        <v>2341</v>
      </c>
      <c r="G23" s="1074" t="s">
        <v>2342</v>
      </c>
      <c r="H23" s="1074" t="s">
        <v>2343</v>
      </c>
      <c r="I23" s="1074" t="s">
        <v>2344</v>
      </c>
      <c r="J23" s="1074" t="s">
        <v>2345</v>
      </c>
      <c r="K23" s="1074" t="s">
        <v>2346</v>
      </c>
      <c r="L23" s="1074" t="s">
        <v>2347</v>
      </c>
      <c r="M23" s="1074" t="s">
        <v>2348</v>
      </c>
      <c r="N23" s="1074" t="s">
        <v>2349</v>
      </c>
    </row>
    <row r="24" spans="1:14">
      <c r="A24" s="18" t="s">
        <v>2066</v>
      </c>
      <c r="B24" s="19" t="s">
        <v>2067</v>
      </c>
      <c r="C24" s="1074" t="s">
        <v>2350</v>
      </c>
      <c r="D24" s="1074" t="s">
        <v>2351</v>
      </c>
      <c r="E24" s="1074" t="s">
        <v>2352</v>
      </c>
      <c r="F24" s="1074" t="s">
        <v>2353</v>
      </c>
      <c r="G24" s="1074" t="s">
        <v>2354</v>
      </c>
      <c r="H24" s="1074" t="s">
        <v>2355</v>
      </c>
      <c r="I24" s="1074" t="s">
        <v>2356</v>
      </c>
      <c r="J24" s="1074" t="s">
        <v>2357</v>
      </c>
      <c r="K24" s="1074" t="s">
        <v>2358</v>
      </c>
      <c r="L24" s="1074" t="s">
        <v>2359</v>
      </c>
      <c r="M24" s="1074" t="s">
        <v>2360</v>
      </c>
      <c r="N24" s="1074" t="s">
        <v>2361</v>
      </c>
    </row>
    <row r="25" spans="1:14" ht="24">
      <c r="A25" s="18" t="s">
        <v>2068</v>
      </c>
      <c r="B25" s="19" t="s">
        <v>2069</v>
      </c>
      <c r="C25" s="1074" t="s">
        <v>2362</v>
      </c>
      <c r="D25" s="1074" t="s">
        <v>2363</v>
      </c>
      <c r="E25" s="1074" t="s">
        <v>2364</v>
      </c>
      <c r="F25" s="1074" t="s">
        <v>2365</v>
      </c>
      <c r="G25" s="1074" t="s">
        <v>2366</v>
      </c>
      <c r="H25" s="1074" t="s">
        <v>2367</v>
      </c>
      <c r="I25" s="1074" t="s">
        <v>2368</v>
      </c>
      <c r="J25" s="1074" t="s">
        <v>2235</v>
      </c>
      <c r="K25" s="1074" t="s">
        <v>2369</v>
      </c>
      <c r="L25" s="1074" t="s">
        <v>2370</v>
      </c>
      <c r="M25" s="1074" t="s">
        <v>2371</v>
      </c>
      <c r="N25" s="1074" t="s">
        <v>2372</v>
      </c>
    </row>
    <row r="26" spans="1:14" ht="24">
      <c r="A26" s="18" t="s">
        <v>2070</v>
      </c>
      <c r="B26" s="19" t="s">
        <v>2373</v>
      </c>
      <c r="C26" s="1074" t="s">
        <v>2374</v>
      </c>
      <c r="D26" s="1074" t="s">
        <v>2375</v>
      </c>
      <c r="E26" s="1074" t="s">
        <v>2376</v>
      </c>
      <c r="F26" s="1074" t="s">
        <v>2377</v>
      </c>
      <c r="G26" s="1074" t="s">
        <v>2378</v>
      </c>
      <c r="H26" s="1074" t="s">
        <v>2379</v>
      </c>
      <c r="I26" s="1074" t="s">
        <v>2380</v>
      </c>
      <c r="J26" s="1074" t="s">
        <v>2381</v>
      </c>
      <c r="K26" s="1074" t="s">
        <v>2382</v>
      </c>
      <c r="L26" s="1074" t="s">
        <v>2383</v>
      </c>
      <c r="M26" s="1074" t="s">
        <v>2384</v>
      </c>
      <c r="N26" s="1074" t="s">
        <v>2385</v>
      </c>
    </row>
    <row r="27" spans="1:14">
      <c r="A27" s="18" t="s">
        <v>2072</v>
      </c>
      <c r="B27" s="19" t="s">
        <v>2073</v>
      </c>
      <c r="C27" s="1074" t="s">
        <v>2386</v>
      </c>
      <c r="D27" s="1074" t="s">
        <v>2387</v>
      </c>
      <c r="E27" s="1074" t="s">
        <v>2388</v>
      </c>
      <c r="F27" s="1074" t="s">
        <v>2389</v>
      </c>
      <c r="G27" s="1074" t="s">
        <v>2390</v>
      </c>
      <c r="H27" s="1074" t="s">
        <v>2391</v>
      </c>
      <c r="I27" s="1074" t="s">
        <v>2392</v>
      </c>
      <c r="J27" s="1074" t="s">
        <v>2393</v>
      </c>
      <c r="K27" s="1074" t="s">
        <v>2394</v>
      </c>
      <c r="L27" s="1074" t="s">
        <v>2395</v>
      </c>
      <c r="M27" s="1074" t="s">
        <v>2396</v>
      </c>
      <c r="N27" s="1074" t="s">
        <v>2397</v>
      </c>
    </row>
    <row r="28" spans="1:14">
      <c r="A28" s="18" t="s">
        <v>2074</v>
      </c>
      <c r="B28" s="19" t="s">
        <v>2075</v>
      </c>
      <c r="C28" s="1074" t="s">
        <v>2398</v>
      </c>
      <c r="D28" s="1074" t="s">
        <v>2399</v>
      </c>
      <c r="E28" s="1074" t="s">
        <v>2400</v>
      </c>
      <c r="F28" s="1074" t="s">
        <v>2401</v>
      </c>
      <c r="G28" s="1074" t="s">
        <v>2402</v>
      </c>
      <c r="H28" s="1074" t="s">
        <v>2403</v>
      </c>
      <c r="I28" s="1074" t="s">
        <v>2404</v>
      </c>
      <c r="J28" s="1074" t="s">
        <v>2405</v>
      </c>
      <c r="K28" s="1074" t="s">
        <v>2406</v>
      </c>
      <c r="L28" s="1074" t="s">
        <v>2407</v>
      </c>
      <c r="M28" s="1074" t="s">
        <v>2408</v>
      </c>
      <c r="N28" s="1074" t="s">
        <v>2409</v>
      </c>
    </row>
    <row r="29" spans="1:14">
      <c r="A29" s="18" t="s">
        <v>2076</v>
      </c>
      <c r="B29" s="19" t="s">
        <v>2077</v>
      </c>
      <c r="C29" s="1074" t="s">
        <v>2410</v>
      </c>
      <c r="D29" s="1074" t="s">
        <v>2411</v>
      </c>
      <c r="E29" s="1074" t="s">
        <v>2412</v>
      </c>
      <c r="F29" s="1074" t="s">
        <v>2413</v>
      </c>
      <c r="G29" s="1074" t="s">
        <v>2414</v>
      </c>
      <c r="H29" s="1074" t="s">
        <v>2415</v>
      </c>
      <c r="I29" s="1074" t="s">
        <v>2416</v>
      </c>
      <c r="J29" s="1074" t="s">
        <v>2417</v>
      </c>
      <c r="K29" s="1074" t="s">
        <v>2418</v>
      </c>
      <c r="L29" s="1074" t="s">
        <v>2419</v>
      </c>
      <c r="M29" s="1074" t="s">
        <v>2420</v>
      </c>
      <c r="N29" s="1074" t="s">
        <v>2421</v>
      </c>
    </row>
    <row r="30" spans="1:14" ht="24">
      <c r="A30" s="18" t="s">
        <v>2078</v>
      </c>
      <c r="B30" s="19" t="s">
        <v>2079</v>
      </c>
      <c r="C30" s="1074" t="s">
        <v>2422</v>
      </c>
      <c r="D30" s="1074" t="s">
        <v>2423</v>
      </c>
      <c r="E30" s="1074" t="s">
        <v>2424</v>
      </c>
      <c r="F30" s="1074" t="s">
        <v>2425</v>
      </c>
      <c r="G30" s="1074" t="s">
        <v>2426</v>
      </c>
      <c r="H30" s="1074" t="s">
        <v>2427</v>
      </c>
      <c r="I30" s="1074" t="s">
        <v>2428</v>
      </c>
      <c r="J30" s="1074" t="s">
        <v>2429</v>
      </c>
      <c r="K30" s="1074" t="s">
        <v>2430</v>
      </c>
      <c r="L30" s="1074" t="s">
        <v>2431</v>
      </c>
      <c r="M30" s="1074" t="s">
        <v>2432</v>
      </c>
      <c r="N30" s="1074" t="s">
        <v>2433</v>
      </c>
    </row>
    <row r="31" spans="1:14">
      <c r="A31" s="18" t="s">
        <v>2080</v>
      </c>
      <c r="B31" s="19" t="s">
        <v>2081</v>
      </c>
      <c r="C31" s="1074" t="s">
        <v>2434</v>
      </c>
      <c r="D31" s="1074" t="s">
        <v>2435</v>
      </c>
      <c r="E31" s="1074" t="s">
        <v>2436</v>
      </c>
      <c r="F31" s="1074" t="s">
        <v>2437</v>
      </c>
      <c r="G31" s="1074" t="s">
        <v>2438</v>
      </c>
      <c r="H31" s="1074" t="s">
        <v>2439</v>
      </c>
      <c r="I31" s="1074" t="s">
        <v>2440</v>
      </c>
      <c r="J31" s="1074" t="s">
        <v>2441</v>
      </c>
      <c r="K31" s="1074" t="s">
        <v>2442</v>
      </c>
      <c r="L31" s="1074" t="s">
        <v>2443</v>
      </c>
      <c r="M31" s="1074" t="s">
        <v>2444</v>
      </c>
      <c r="N31" s="1074" t="s">
        <v>2445</v>
      </c>
    </row>
    <row r="32" spans="1:14">
      <c r="A32" s="18" t="s">
        <v>2082</v>
      </c>
      <c r="B32" s="19" t="s">
        <v>2083</v>
      </c>
      <c r="C32" s="1074" t="s">
        <v>2446</v>
      </c>
      <c r="D32" s="1074" t="s">
        <v>2447</v>
      </c>
      <c r="E32" s="1074" t="s">
        <v>2448</v>
      </c>
      <c r="F32" s="1074" t="s">
        <v>2449</v>
      </c>
      <c r="G32" s="1074" t="s">
        <v>2450</v>
      </c>
      <c r="H32" s="1074" t="s">
        <v>2451</v>
      </c>
      <c r="I32" s="1074" t="s">
        <v>2452</v>
      </c>
      <c r="J32" s="1074" t="s">
        <v>2453</v>
      </c>
      <c r="K32" s="1074" t="s">
        <v>2454</v>
      </c>
      <c r="L32" s="1074" t="s">
        <v>2455</v>
      </c>
      <c r="M32" s="1074" t="s">
        <v>2456</v>
      </c>
      <c r="N32" s="1074" t="s">
        <v>2457</v>
      </c>
    </row>
    <row r="33" spans="1:14">
      <c r="A33" s="18" t="s">
        <v>2084</v>
      </c>
      <c r="B33" s="19" t="s">
        <v>2085</v>
      </c>
      <c r="C33" s="1074" t="s">
        <v>2458</v>
      </c>
      <c r="D33" s="1074" t="s">
        <v>2459</v>
      </c>
      <c r="E33" s="1074" t="s">
        <v>2460</v>
      </c>
      <c r="F33" s="1074" t="s">
        <v>2461</v>
      </c>
      <c r="G33" s="1074" t="s">
        <v>2462</v>
      </c>
      <c r="H33" s="1074" t="s">
        <v>2463</v>
      </c>
      <c r="I33" s="1074" t="s">
        <v>2464</v>
      </c>
      <c r="J33" s="1074" t="s">
        <v>2465</v>
      </c>
      <c r="K33" s="1074" t="s">
        <v>2466</v>
      </c>
      <c r="L33" s="1074" t="s">
        <v>2467</v>
      </c>
      <c r="M33" s="1074" t="s">
        <v>2468</v>
      </c>
      <c r="N33" s="1074" t="s">
        <v>2469</v>
      </c>
    </row>
    <row r="34" spans="1:14">
      <c r="A34" s="18" t="s">
        <v>2086</v>
      </c>
      <c r="B34" s="19" t="s">
        <v>2087</v>
      </c>
      <c r="C34" s="1074" t="s">
        <v>2390</v>
      </c>
      <c r="D34" s="1074" t="s">
        <v>2470</v>
      </c>
      <c r="E34" s="1074" t="s">
        <v>2471</v>
      </c>
      <c r="F34" s="1074" t="s">
        <v>2472</v>
      </c>
      <c r="G34" s="1074" t="s">
        <v>2473</v>
      </c>
      <c r="H34" s="1074" t="s">
        <v>2474</v>
      </c>
      <c r="I34" s="1074" t="s">
        <v>2475</v>
      </c>
      <c r="J34" s="1074" t="s">
        <v>2476</v>
      </c>
      <c r="K34" s="1074" t="s">
        <v>2477</v>
      </c>
      <c r="L34" s="1074" t="s">
        <v>2478</v>
      </c>
      <c r="M34" s="1074" t="s">
        <v>2479</v>
      </c>
      <c r="N34" s="1074" t="s">
        <v>2480</v>
      </c>
    </row>
    <row r="35" spans="1:14">
      <c r="A35" s="18" t="s">
        <v>2088</v>
      </c>
      <c r="B35" s="19" t="s">
        <v>2089</v>
      </c>
      <c r="C35" s="1074" t="s">
        <v>2481</v>
      </c>
      <c r="D35" s="1074" t="s">
        <v>2482</v>
      </c>
      <c r="E35" s="1074" t="s">
        <v>2483</v>
      </c>
      <c r="F35" s="1074" t="s">
        <v>2484</v>
      </c>
      <c r="G35" s="1074" t="s">
        <v>2485</v>
      </c>
      <c r="H35" s="1074" t="s">
        <v>2486</v>
      </c>
      <c r="I35" s="1074" t="s">
        <v>2487</v>
      </c>
      <c r="J35" s="1074" t="s">
        <v>2488</v>
      </c>
      <c r="K35" s="1074" t="s">
        <v>2489</v>
      </c>
      <c r="L35" s="1074" t="s">
        <v>2490</v>
      </c>
      <c r="M35" s="1074" t="s">
        <v>2491</v>
      </c>
      <c r="N35" s="1074" t="s">
        <v>2492</v>
      </c>
    </row>
    <row r="36" spans="1:14">
      <c r="A36" s="18" t="s">
        <v>2090</v>
      </c>
      <c r="B36" s="19" t="s">
        <v>2493</v>
      </c>
      <c r="C36" s="1074" t="s">
        <v>2494</v>
      </c>
      <c r="D36" s="1074" t="s">
        <v>2495</v>
      </c>
      <c r="E36" s="1074" t="s">
        <v>2496</v>
      </c>
      <c r="F36" s="1074" t="s">
        <v>2497</v>
      </c>
      <c r="G36" s="1074" t="s">
        <v>2498</v>
      </c>
      <c r="H36" s="1074" t="s">
        <v>2499</v>
      </c>
      <c r="I36" s="1074" t="s">
        <v>2500</v>
      </c>
      <c r="J36" s="1074" t="s">
        <v>2501</v>
      </c>
      <c r="K36" s="1074" t="s">
        <v>2502</v>
      </c>
      <c r="L36" s="1074" t="s">
        <v>2503</v>
      </c>
      <c r="M36" s="1074" t="s">
        <v>2504</v>
      </c>
      <c r="N36" s="1074" t="s">
        <v>2505</v>
      </c>
    </row>
    <row r="37" spans="1:14">
      <c r="A37" s="18" t="s">
        <v>2092</v>
      </c>
      <c r="B37" s="19" t="s">
        <v>2093</v>
      </c>
      <c r="C37" s="1074" t="s">
        <v>2506</v>
      </c>
      <c r="D37" s="1074" t="s">
        <v>2507</v>
      </c>
      <c r="E37" s="1074" t="s">
        <v>2508</v>
      </c>
      <c r="F37" s="1074" t="s">
        <v>2509</v>
      </c>
      <c r="G37" s="1074" t="s">
        <v>2510</v>
      </c>
      <c r="H37" s="1074" t="s">
        <v>2511</v>
      </c>
      <c r="I37" s="1074" t="s">
        <v>2512</v>
      </c>
      <c r="J37" s="1074" t="s">
        <v>2513</v>
      </c>
      <c r="K37" s="1074" t="s">
        <v>2514</v>
      </c>
      <c r="L37" s="1074" t="s">
        <v>2515</v>
      </c>
      <c r="M37" s="1074" t="s">
        <v>2516</v>
      </c>
      <c r="N37" s="1074" t="s">
        <v>2517</v>
      </c>
    </row>
    <row r="38" spans="1:14">
      <c r="A38" s="18" t="s">
        <v>2094</v>
      </c>
      <c r="B38" s="19" t="s">
        <v>2095</v>
      </c>
      <c r="C38" s="1074" t="s">
        <v>2518</v>
      </c>
      <c r="D38" s="1074" t="s">
        <v>2519</v>
      </c>
      <c r="E38" s="1074" t="s">
        <v>2520</v>
      </c>
      <c r="F38" s="1074" t="s">
        <v>2521</v>
      </c>
      <c r="G38" s="1074" t="s">
        <v>2522</v>
      </c>
      <c r="H38" s="1074" t="s">
        <v>2523</v>
      </c>
      <c r="I38" s="1074" t="s">
        <v>2524</v>
      </c>
      <c r="J38" s="1074" t="s">
        <v>2525</v>
      </c>
      <c r="K38" s="1074" t="s">
        <v>2526</v>
      </c>
      <c r="L38" s="1074" t="s">
        <v>2527</v>
      </c>
      <c r="M38" s="1074" t="s">
        <v>2528</v>
      </c>
      <c r="N38" s="1074" t="s">
        <v>2529</v>
      </c>
    </row>
    <row r="39" spans="1:14">
      <c r="A39" s="18" t="s">
        <v>2096</v>
      </c>
      <c r="B39" s="19" t="s">
        <v>2097</v>
      </c>
      <c r="C39" s="1074" t="s">
        <v>2530</v>
      </c>
      <c r="D39" s="1074" t="s">
        <v>2531</v>
      </c>
      <c r="E39" s="1074" t="s">
        <v>2532</v>
      </c>
      <c r="F39" s="1074" t="s">
        <v>2533</v>
      </c>
      <c r="G39" s="1074" t="s">
        <v>2534</v>
      </c>
      <c r="H39" s="1074" t="s">
        <v>2535</v>
      </c>
      <c r="I39" s="1074" t="s">
        <v>2536</v>
      </c>
      <c r="J39" s="1074" t="s">
        <v>2537</v>
      </c>
      <c r="K39" s="1074" t="s">
        <v>2538</v>
      </c>
      <c r="L39" s="1074" t="s">
        <v>2539</v>
      </c>
      <c r="M39" s="1074" t="s">
        <v>2540</v>
      </c>
      <c r="N39" s="1074" t="s">
        <v>2541</v>
      </c>
    </row>
    <row r="40" spans="1:14">
      <c r="A40" s="18" t="s">
        <v>2098</v>
      </c>
      <c r="B40" s="19" t="s">
        <v>2099</v>
      </c>
      <c r="C40" s="1074" t="s">
        <v>2542</v>
      </c>
      <c r="D40" s="1074" t="s">
        <v>2543</v>
      </c>
      <c r="E40" s="1074" t="s">
        <v>2544</v>
      </c>
      <c r="F40" s="1074" t="s">
        <v>2545</v>
      </c>
      <c r="G40" s="1074" t="s">
        <v>2546</v>
      </c>
      <c r="H40" s="1074" t="s">
        <v>2547</v>
      </c>
      <c r="I40" s="1074" t="s">
        <v>2548</v>
      </c>
      <c r="J40" s="1074" t="s">
        <v>2549</v>
      </c>
      <c r="K40" s="1074" t="s">
        <v>2550</v>
      </c>
      <c r="L40" s="1074" t="s">
        <v>2551</v>
      </c>
      <c r="M40" s="1074" t="s">
        <v>2552</v>
      </c>
      <c r="N40" s="1074" t="s">
        <v>2553</v>
      </c>
    </row>
    <row r="41" spans="1:14">
      <c r="A41" s="18" t="s">
        <v>2100</v>
      </c>
      <c r="B41" s="19" t="s">
        <v>2101</v>
      </c>
      <c r="C41" s="1074" t="s">
        <v>2554</v>
      </c>
      <c r="D41" s="1074" t="s">
        <v>2555</v>
      </c>
      <c r="E41" s="1074" t="s">
        <v>2556</v>
      </c>
      <c r="F41" s="1074" t="s">
        <v>2557</v>
      </c>
      <c r="G41" s="1074" t="s">
        <v>2558</v>
      </c>
      <c r="H41" s="1074" t="s">
        <v>2559</v>
      </c>
      <c r="I41" s="1074" t="s">
        <v>2560</v>
      </c>
      <c r="J41" s="1074" t="s">
        <v>2561</v>
      </c>
      <c r="K41" s="1074" t="s">
        <v>2562</v>
      </c>
      <c r="L41" s="1074" t="s">
        <v>2563</v>
      </c>
      <c r="M41" s="1074" t="s">
        <v>2564</v>
      </c>
      <c r="N41" s="1074" t="s">
        <v>2565</v>
      </c>
    </row>
    <row r="42" spans="1:14">
      <c r="A42" s="18" t="s">
        <v>2102</v>
      </c>
      <c r="B42" s="19" t="s">
        <v>2103</v>
      </c>
      <c r="C42" s="1074" t="s">
        <v>2566</v>
      </c>
      <c r="D42" s="1074" t="s">
        <v>2567</v>
      </c>
      <c r="E42" s="1074" t="s">
        <v>2568</v>
      </c>
      <c r="F42" s="1074" t="s">
        <v>2569</v>
      </c>
      <c r="G42" s="1074" t="s">
        <v>2570</v>
      </c>
      <c r="H42" s="1074" t="s">
        <v>2571</v>
      </c>
      <c r="I42" s="1074" t="s">
        <v>2572</v>
      </c>
      <c r="J42" s="1074" t="s">
        <v>2573</v>
      </c>
      <c r="K42" s="1074" t="s">
        <v>2574</v>
      </c>
      <c r="L42" s="1074" t="s">
        <v>2575</v>
      </c>
      <c r="M42" s="1074" t="s">
        <v>2576</v>
      </c>
      <c r="N42" s="1074" t="s">
        <v>2577</v>
      </c>
    </row>
    <row r="43" spans="1:14" ht="24">
      <c r="A43" s="18" t="s">
        <v>2578</v>
      </c>
      <c r="B43" s="19" t="s">
        <v>2105</v>
      </c>
      <c r="C43" s="16"/>
      <c r="D43" s="16"/>
      <c r="E43" s="16"/>
      <c r="F43" s="16"/>
      <c r="G43" s="1074" t="s">
        <v>2579</v>
      </c>
      <c r="H43" s="1074" t="s">
        <v>2580</v>
      </c>
      <c r="I43" s="1074" t="s">
        <v>2581</v>
      </c>
      <c r="J43" s="1074" t="s">
        <v>2582</v>
      </c>
      <c r="K43" s="1074" t="s">
        <v>2583</v>
      </c>
      <c r="L43" s="1074" t="s">
        <v>2584</v>
      </c>
      <c r="M43" s="1074" t="s">
        <v>2585</v>
      </c>
      <c r="N43" s="1074" t="s">
        <v>2586</v>
      </c>
    </row>
    <row r="44" spans="1:14">
      <c r="A44" s="18" t="s">
        <v>2106</v>
      </c>
      <c r="B44" s="19" t="s">
        <v>2107</v>
      </c>
      <c r="C44" s="1074" t="s">
        <v>2587</v>
      </c>
      <c r="D44" s="1074" t="s">
        <v>2588</v>
      </c>
      <c r="E44" s="1074" t="s">
        <v>2589</v>
      </c>
      <c r="F44" s="1074" t="s">
        <v>2590</v>
      </c>
      <c r="G44" s="1074" t="s">
        <v>2591</v>
      </c>
      <c r="H44" s="1074" t="s">
        <v>2592</v>
      </c>
      <c r="I44" s="1074" t="s">
        <v>2593</v>
      </c>
      <c r="J44" s="1074" t="s">
        <v>2594</v>
      </c>
      <c r="K44" s="1074" t="s">
        <v>2595</v>
      </c>
      <c r="L44" s="1074" t="s">
        <v>2596</v>
      </c>
      <c r="M44" s="1074" t="s">
        <v>2597</v>
      </c>
      <c r="N44" s="1074" t="s">
        <v>2598</v>
      </c>
    </row>
    <row r="45" spans="1:14" ht="24">
      <c r="A45" s="18" t="s">
        <v>2108</v>
      </c>
      <c r="B45" s="19" t="s">
        <v>2599</v>
      </c>
      <c r="C45" s="1074" t="s">
        <v>2600</v>
      </c>
      <c r="D45" s="1074" t="s">
        <v>2601</v>
      </c>
      <c r="E45" s="1074" t="s">
        <v>2602</v>
      </c>
      <c r="F45" s="1074" t="s">
        <v>2603</v>
      </c>
      <c r="G45" s="1074" t="s">
        <v>2604</v>
      </c>
      <c r="H45" s="1074" t="s">
        <v>2605</v>
      </c>
      <c r="I45" s="1074" t="s">
        <v>2606</v>
      </c>
      <c r="J45" s="1074" t="s">
        <v>2607</v>
      </c>
      <c r="K45" s="1074" t="s">
        <v>2608</v>
      </c>
      <c r="L45" s="1074" t="s">
        <v>2609</v>
      </c>
      <c r="M45" s="1074" t="s">
        <v>2610</v>
      </c>
      <c r="N45" s="1074" t="s">
        <v>2611</v>
      </c>
    </row>
    <row r="46" spans="1:14">
      <c r="A46" s="18" t="s">
        <v>2110</v>
      </c>
      <c r="B46" s="19" t="s">
        <v>2111</v>
      </c>
      <c r="C46" s="1074" t="s">
        <v>2612</v>
      </c>
      <c r="D46" s="1074" t="s">
        <v>2613</v>
      </c>
      <c r="E46" s="1074" t="s">
        <v>2614</v>
      </c>
      <c r="F46" s="1074" t="s">
        <v>2615</v>
      </c>
      <c r="G46" s="1074" t="s">
        <v>2616</v>
      </c>
      <c r="H46" s="1074" t="s">
        <v>2617</v>
      </c>
      <c r="I46" s="1074" t="s">
        <v>2618</v>
      </c>
      <c r="J46" s="1074" t="s">
        <v>2619</v>
      </c>
      <c r="K46" s="1074" t="s">
        <v>2620</v>
      </c>
      <c r="L46" s="1074" t="s">
        <v>2621</v>
      </c>
      <c r="M46" s="1074" t="s">
        <v>2622</v>
      </c>
      <c r="N46" s="1074" t="s">
        <v>2623</v>
      </c>
    </row>
    <row r="47" spans="1:14">
      <c r="A47" s="18" t="s">
        <v>2112</v>
      </c>
      <c r="B47" s="19" t="s">
        <v>2113</v>
      </c>
      <c r="C47" s="1074" t="s">
        <v>2624</v>
      </c>
      <c r="D47" s="1074" t="s">
        <v>2625</v>
      </c>
      <c r="E47" s="1074" t="s">
        <v>2626</v>
      </c>
      <c r="F47" s="1074" t="s">
        <v>2627</v>
      </c>
      <c r="G47" s="1074" t="s">
        <v>2628</v>
      </c>
      <c r="H47" s="1074" t="s">
        <v>2629</v>
      </c>
      <c r="I47" s="1074" t="s">
        <v>2630</v>
      </c>
      <c r="J47" s="1074" t="s">
        <v>2631</v>
      </c>
      <c r="K47" s="1074" t="s">
        <v>2632</v>
      </c>
      <c r="L47" s="1074" t="s">
        <v>2633</v>
      </c>
      <c r="M47" s="1074" t="s">
        <v>2634</v>
      </c>
      <c r="N47" s="1074" t="s">
        <v>2635</v>
      </c>
    </row>
    <row r="48" spans="1:14">
      <c r="A48" s="18" t="s">
        <v>2114</v>
      </c>
      <c r="B48" s="19" t="s">
        <v>2115</v>
      </c>
      <c r="C48" s="16"/>
      <c r="D48" s="16"/>
      <c r="E48" s="1074" t="s">
        <v>2636</v>
      </c>
      <c r="F48" s="1074" t="s">
        <v>2637</v>
      </c>
      <c r="G48" s="1074" t="s">
        <v>2638</v>
      </c>
      <c r="H48" s="1074" t="s">
        <v>2639</v>
      </c>
      <c r="I48" s="1074" t="s">
        <v>2640</v>
      </c>
      <c r="J48" s="1074" t="s">
        <v>2641</v>
      </c>
      <c r="K48" s="1074" t="s">
        <v>2642</v>
      </c>
      <c r="L48" s="1074" t="s">
        <v>2643</v>
      </c>
      <c r="M48" s="1074" t="s">
        <v>2644</v>
      </c>
      <c r="N48" s="1074" t="s">
        <v>2645</v>
      </c>
    </row>
    <row r="49" spans="1:14">
      <c r="A49" s="18" t="s">
        <v>2116</v>
      </c>
      <c r="B49" s="19" t="s">
        <v>2117</v>
      </c>
      <c r="C49" s="16"/>
      <c r="D49" s="16"/>
      <c r="E49" s="16"/>
      <c r="F49" s="16"/>
      <c r="G49" s="1074" t="s">
        <v>2646</v>
      </c>
      <c r="H49" s="1074" t="s">
        <v>2647</v>
      </c>
      <c r="I49" s="1074" t="s">
        <v>2648</v>
      </c>
      <c r="J49" s="1074" t="s">
        <v>2649</v>
      </c>
      <c r="K49" s="1074" t="s">
        <v>2650</v>
      </c>
      <c r="L49" s="1074" t="s">
        <v>2651</v>
      </c>
      <c r="M49" s="1074" t="s">
        <v>2652</v>
      </c>
      <c r="N49" s="1074" t="s">
        <v>2653</v>
      </c>
    </row>
    <row r="50" spans="1:14" ht="24">
      <c r="A50" s="13" t="s">
        <v>2654</v>
      </c>
      <c r="B50" s="17" t="s">
        <v>2655</v>
      </c>
      <c r="C50" s="1074" t="s">
        <v>2656</v>
      </c>
      <c r="D50" s="1074" t="s">
        <v>2657</v>
      </c>
      <c r="E50" s="1074" t="s">
        <v>2658</v>
      </c>
      <c r="F50" s="1074" t="s">
        <v>2659</v>
      </c>
      <c r="G50" s="1074" t="s">
        <v>2660</v>
      </c>
      <c r="H50" s="1074" t="s">
        <v>2661</v>
      </c>
      <c r="I50" s="1074" t="s">
        <v>2662</v>
      </c>
      <c r="J50" s="1074" t="s">
        <v>2663</v>
      </c>
      <c r="K50" s="1074" t="s">
        <v>2664</v>
      </c>
      <c r="L50" s="1074" t="s">
        <v>2665</v>
      </c>
      <c r="M50" s="1074" t="s">
        <v>2666</v>
      </c>
      <c r="N50" s="1074" t="s">
        <v>2667</v>
      </c>
    </row>
    <row r="51" spans="1:14">
      <c r="A51" s="18" t="s">
        <v>2120</v>
      </c>
      <c r="B51" s="19" t="s">
        <v>2121</v>
      </c>
      <c r="C51" s="1074" t="s">
        <v>2668</v>
      </c>
      <c r="D51" s="1074" t="s">
        <v>2669</v>
      </c>
      <c r="E51" s="1074" t="s">
        <v>2670</v>
      </c>
      <c r="F51" s="1074" t="s">
        <v>2671</v>
      </c>
      <c r="G51" s="1074" t="s">
        <v>2672</v>
      </c>
      <c r="H51" s="1074" t="s">
        <v>2673</v>
      </c>
      <c r="I51" s="1074" t="s">
        <v>2674</v>
      </c>
      <c r="J51" s="1074" t="s">
        <v>2675</v>
      </c>
      <c r="K51" s="1074" t="s">
        <v>2676</v>
      </c>
      <c r="L51" s="1074" t="s">
        <v>2677</v>
      </c>
      <c r="M51" s="1074" t="s">
        <v>2678</v>
      </c>
      <c r="N51" s="1074" t="s">
        <v>2679</v>
      </c>
    </row>
    <row r="52" spans="1:14">
      <c r="A52" s="18" t="s">
        <v>2122</v>
      </c>
      <c r="B52" s="19" t="s">
        <v>2123</v>
      </c>
      <c r="C52" s="1074" t="s">
        <v>2680</v>
      </c>
      <c r="D52" s="1074" t="s">
        <v>2681</v>
      </c>
      <c r="E52" s="1074" t="s">
        <v>2682</v>
      </c>
      <c r="F52" s="1074" t="s">
        <v>2683</v>
      </c>
      <c r="G52" s="1074" t="s">
        <v>2684</v>
      </c>
      <c r="H52" s="1074" t="s">
        <v>2685</v>
      </c>
      <c r="I52" s="1074" t="s">
        <v>2686</v>
      </c>
      <c r="J52" s="1074" t="s">
        <v>2687</v>
      </c>
      <c r="K52" s="1074" t="s">
        <v>2688</v>
      </c>
      <c r="L52" s="1074" t="s">
        <v>2689</v>
      </c>
      <c r="M52" s="1074" t="s">
        <v>2690</v>
      </c>
      <c r="N52" s="1074" t="s">
        <v>2691</v>
      </c>
    </row>
    <row r="53" spans="1:14">
      <c r="A53" s="18" t="s">
        <v>2124</v>
      </c>
      <c r="B53" s="19" t="s">
        <v>2125</v>
      </c>
      <c r="C53" s="1074" t="s">
        <v>2692</v>
      </c>
      <c r="D53" s="1074" t="s">
        <v>2693</v>
      </c>
      <c r="E53" s="1074" t="s">
        <v>2694</v>
      </c>
      <c r="F53" s="1074" t="s">
        <v>2695</v>
      </c>
      <c r="G53" s="1074" t="s">
        <v>2696</v>
      </c>
      <c r="H53" s="1074" t="s">
        <v>2697</v>
      </c>
      <c r="I53" s="1074" t="s">
        <v>2698</v>
      </c>
      <c r="J53" s="1074" t="s">
        <v>2699</v>
      </c>
      <c r="K53" s="1074" t="s">
        <v>2700</v>
      </c>
      <c r="L53" s="1074" t="s">
        <v>2701</v>
      </c>
      <c r="M53" s="1074" t="s">
        <v>2702</v>
      </c>
      <c r="N53" s="1074" t="s">
        <v>2703</v>
      </c>
    </row>
    <row r="54" spans="1:14">
      <c r="A54" s="13" t="s">
        <v>2704</v>
      </c>
      <c r="B54" s="17" t="s">
        <v>2705</v>
      </c>
      <c r="C54" s="1074" t="s">
        <v>2706</v>
      </c>
      <c r="D54" s="1074" t="s">
        <v>2707</v>
      </c>
      <c r="E54" s="1074" t="s">
        <v>2708</v>
      </c>
      <c r="F54" s="1074" t="s">
        <v>2709</v>
      </c>
      <c r="G54" s="1074" t="s">
        <v>2710</v>
      </c>
      <c r="H54" s="1074" t="s">
        <v>2711</v>
      </c>
      <c r="I54" s="1074" t="s">
        <v>2712</v>
      </c>
      <c r="J54" s="1074" t="s">
        <v>2713</v>
      </c>
      <c r="K54" s="1074" t="s">
        <v>2714</v>
      </c>
      <c r="L54" s="1074" t="s">
        <v>2715</v>
      </c>
      <c r="M54" s="1074" t="s">
        <v>2716</v>
      </c>
      <c r="N54" s="1074" t="s">
        <v>2717</v>
      </c>
    </row>
    <row r="55" spans="1:14">
      <c r="A55" s="13" t="s">
        <v>2718</v>
      </c>
      <c r="B55" s="17" t="s">
        <v>2719</v>
      </c>
      <c r="C55" s="1074" t="s">
        <v>2720</v>
      </c>
      <c r="D55" s="1074" t="s">
        <v>2721</v>
      </c>
      <c r="E55" s="1074" t="s">
        <v>2722</v>
      </c>
      <c r="F55" s="1074" t="s">
        <v>2723</v>
      </c>
      <c r="G55" s="1074" t="s">
        <v>2724</v>
      </c>
      <c r="H55" s="1074" t="s">
        <v>2725</v>
      </c>
      <c r="I55" s="1074" t="s">
        <v>2726</v>
      </c>
      <c r="J55" s="1074" t="s">
        <v>2727</v>
      </c>
      <c r="K55" s="1074" t="s">
        <v>2728</v>
      </c>
      <c r="L55" s="1074" t="s">
        <v>2729</v>
      </c>
      <c r="M55" s="1074" t="s">
        <v>2730</v>
      </c>
      <c r="N55" s="1074" t="s">
        <v>2731</v>
      </c>
    </row>
    <row r="56" spans="1:14">
      <c r="A56" s="13" t="s">
        <v>2732</v>
      </c>
      <c r="B56" s="17" t="s">
        <v>2733</v>
      </c>
      <c r="C56" s="1074" t="s">
        <v>2734</v>
      </c>
      <c r="D56" s="1074" t="s">
        <v>2735</v>
      </c>
      <c r="E56" s="1074" t="s">
        <v>2736</v>
      </c>
      <c r="F56" s="1074" t="s">
        <v>2737</v>
      </c>
      <c r="G56" s="1074" t="s">
        <v>2738</v>
      </c>
      <c r="H56" s="1074" t="s">
        <v>2739</v>
      </c>
      <c r="I56" s="1074" t="s">
        <v>2740</v>
      </c>
      <c r="J56" s="1074" t="s">
        <v>2741</v>
      </c>
      <c r="K56" s="1074" t="s">
        <v>2742</v>
      </c>
      <c r="L56" s="1074" t="s">
        <v>2743</v>
      </c>
      <c r="M56" s="1074" t="s">
        <v>2744</v>
      </c>
      <c r="N56" s="1074" t="s">
        <v>2745</v>
      </c>
    </row>
    <row r="57" spans="1:14">
      <c r="A57" s="13" t="s">
        <v>2746</v>
      </c>
      <c r="B57" s="17" t="s">
        <v>2747</v>
      </c>
      <c r="C57" s="1074" t="s">
        <v>2748</v>
      </c>
      <c r="D57" s="1074" t="s">
        <v>2749</v>
      </c>
      <c r="E57" s="1074" t="s">
        <v>2750</v>
      </c>
      <c r="F57" s="1074" t="s">
        <v>2751</v>
      </c>
      <c r="G57" s="1074" t="s">
        <v>2752</v>
      </c>
      <c r="H57" s="1074" t="s">
        <v>2753</v>
      </c>
      <c r="I57" s="1074" t="s">
        <v>2754</v>
      </c>
      <c r="J57" s="1074" t="s">
        <v>2755</v>
      </c>
      <c r="K57" s="1074" t="s">
        <v>2756</v>
      </c>
      <c r="L57" s="1074" t="s">
        <v>2757</v>
      </c>
      <c r="M57" s="1074" t="s">
        <v>2758</v>
      </c>
      <c r="N57" s="1074" t="s">
        <v>2759</v>
      </c>
    </row>
    <row r="58" spans="1:14">
      <c r="A58" s="1075" t="s">
        <v>2760</v>
      </c>
      <c r="B58" s="1076" t="s">
        <v>2761</v>
      </c>
      <c r="C58" s="1077" t="s">
        <v>2762</v>
      </c>
      <c r="D58" s="1078" t="s">
        <v>2763</v>
      </c>
      <c r="E58" s="1078" t="s">
        <v>2764</v>
      </c>
      <c r="F58" s="1078" t="s">
        <v>2765</v>
      </c>
      <c r="G58" s="1078" t="s">
        <v>2766</v>
      </c>
      <c r="H58" s="1078" t="s">
        <v>2767</v>
      </c>
      <c r="I58" s="1078" t="s">
        <v>2768</v>
      </c>
      <c r="J58" s="1078" t="s">
        <v>2769</v>
      </c>
      <c r="K58" s="1078" t="s">
        <v>2770</v>
      </c>
      <c r="L58" s="1078" t="s">
        <v>2771</v>
      </c>
      <c r="M58" s="1078" t="s">
        <v>2772</v>
      </c>
      <c r="N58" s="1078" t="s">
        <v>2773</v>
      </c>
    </row>
  </sheetData>
  <pageMargins left="0.7" right="0.7" top="0.75" bottom="0.75" header="0.3" footer="0.3"/>
  <headerFooter>
    <oddFooter>&amp;R_x000D_&amp;1#&amp;"Aptos"&amp;10&amp;K000000 Official Use Only</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2A9B3-E01B-4A26-A8B1-8AE450C87F4A}">
  <sheetPr>
    <pageSetUpPr fitToPage="1"/>
  </sheetPr>
  <dimension ref="A1:L1880"/>
  <sheetViews>
    <sheetView showGridLines="0" zoomScale="160" zoomScaleNormal="160" workbookViewId="0">
      <pane ySplit="12" topLeftCell="A695" activePane="bottomLeft" state="frozen"/>
      <selection pane="bottomLeft" activeCell="I726" sqref="I726"/>
    </sheetView>
  </sheetViews>
  <sheetFormatPr defaultColWidth="11" defaultRowHeight="12"/>
  <cols>
    <col min="1" max="1" width="9.28515625" style="62" customWidth="1"/>
    <col min="2" max="2" width="50.7109375" style="62" customWidth="1"/>
    <col min="3" max="3" width="9.7109375" style="62" customWidth="1"/>
    <col min="4" max="4" width="11" style="62"/>
    <col min="5" max="5" width="9.7109375" style="62" customWidth="1"/>
    <col min="6" max="6" width="11" style="62"/>
    <col min="7" max="7" width="8.28515625" style="62" customWidth="1"/>
    <col min="8" max="8" width="15.7109375" style="62" customWidth="1"/>
    <col min="9" max="9" width="14.28515625" style="62" customWidth="1"/>
    <col min="10" max="10" width="7.5703125" style="62" customWidth="1"/>
    <col min="11" max="16384" width="11" style="62"/>
  </cols>
  <sheetData>
    <row r="1" spans="1:10">
      <c r="A1" s="62" t="s">
        <v>2774</v>
      </c>
    </row>
    <row r="2" spans="1:10">
      <c r="A2" s="62" t="s">
        <v>2775</v>
      </c>
    </row>
    <row r="3" spans="1:10" s="64" customFormat="1" ht="15.75">
      <c r="A3" s="63" t="s">
        <v>2776</v>
      </c>
    </row>
    <row r="4" spans="1:10" s="66" customFormat="1">
      <c r="A4" s="65" t="s">
        <v>2777</v>
      </c>
    </row>
    <row r="5" spans="1:10" s="66" customFormat="1">
      <c r="A5" s="65" t="s">
        <v>2778</v>
      </c>
    </row>
    <row r="6" spans="1:10" s="66" customFormat="1">
      <c r="A6" s="65" t="s">
        <v>2779</v>
      </c>
    </row>
    <row r="7" spans="1:10" s="66" customFormat="1">
      <c r="A7" s="65" t="s">
        <v>2780</v>
      </c>
    </row>
    <row r="8" spans="1:10">
      <c r="A8" s="67"/>
    </row>
    <row r="9" spans="1:10" s="71" customFormat="1">
      <c r="A9" s="68"/>
      <c r="B9" s="69" t="s">
        <v>2781</v>
      </c>
      <c r="C9" s="69" t="s">
        <v>2781</v>
      </c>
      <c r="D9" s="69"/>
      <c r="E9" s="69" t="s">
        <v>2781</v>
      </c>
      <c r="F9" s="69" t="s">
        <v>2782</v>
      </c>
      <c r="G9" s="69" t="s">
        <v>2781</v>
      </c>
      <c r="H9" s="69" t="s">
        <v>2781</v>
      </c>
      <c r="I9" s="70"/>
      <c r="J9" s="69" t="s">
        <v>2781</v>
      </c>
    </row>
    <row r="10" spans="1:10" s="71" customFormat="1">
      <c r="A10" s="68" t="s">
        <v>2781</v>
      </c>
      <c r="B10" s="69" t="s">
        <v>2781</v>
      </c>
      <c r="C10" s="69"/>
      <c r="D10" s="69"/>
      <c r="E10" s="70"/>
      <c r="F10" s="69" t="s">
        <v>2783</v>
      </c>
      <c r="G10" s="69"/>
      <c r="H10" s="70"/>
      <c r="I10" s="69" t="s">
        <v>40</v>
      </c>
      <c r="J10" s="69"/>
    </row>
    <row r="11" spans="1:10" s="71" customFormat="1">
      <c r="A11" s="68" t="s">
        <v>2784</v>
      </c>
      <c r="B11" s="69" t="s">
        <v>2781</v>
      </c>
      <c r="C11" s="70" t="s">
        <v>2781</v>
      </c>
      <c r="D11" s="69" t="s">
        <v>2785</v>
      </c>
      <c r="E11" s="69" t="s">
        <v>2786</v>
      </c>
      <c r="F11" s="69" t="s">
        <v>2787</v>
      </c>
      <c r="G11" s="70" t="s">
        <v>2788</v>
      </c>
      <c r="H11" s="69" t="s">
        <v>2789</v>
      </c>
      <c r="I11" s="69" t="s">
        <v>2790</v>
      </c>
      <c r="J11" s="69" t="s">
        <v>2781</v>
      </c>
    </row>
    <row r="12" spans="1:10" s="71" customFormat="1" ht="12.75" thickBot="1">
      <c r="A12" s="68" t="s">
        <v>2791</v>
      </c>
      <c r="B12" s="68" t="s">
        <v>2792</v>
      </c>
      <c r="C12" s="69" t="s">
        <v>125</v>
      </c>
      <c r="D12" s="69" t="s">
        <v>2793</v>
      </c>
      <c r="E12" s="69" t="s">
        <v>2783</v>
      </c>
      <c r="F12" s="69" t="s">
        <v>2794</v>
      </c>
      <c r="G12" s="69" t="s">
        <v>2795</v>
      </c>
      <c r="H12" s="69" t="s">
        <v>2796</v>
      </c>
      <c r="I12" s="69" t="s">
        <v>2797</v>
      </c>
      <c r="J12" s="69" t="s">
        <v>2798</v>
      </c>
    </row>
    <row r="13" spans="1:10" ht="12.75" customHeight="1" thickTop="1">
      <c r="A13" s="72"/>
      <c r="B13" s="73"/>
      <c r="C13" s="74"/>
      <c r="D13" s="74"/>
      <c r="E13" s="74"/>
      <c r="F13" s="74"/>
      <c r="G13" s="74"/>
      <c r="H13" s="74"/>
      <c r="I13" s="74"/>
      <c r="J13" s="74"/>
    </row>
    <row r="14" spans="1:10" ht="12.75" customHeight="1">
      <c r="A14" s="75" t="s">
        <v>2799</v>
      </c>
      <c r="B14" s="76" t="s">
        <v>2799</v>
      </c>
      <c r="C14" s="75" t="s">
        <v>2800</v>
      </c>
      <c r="D14" s="77"/>
      <c r="E14" s="77"/>
      <c r="F14" s="77"/>
      <c r="G14" s="77"/>
      <c r="H14" s="77"/>
      <c r="I14" s="77"/>
      <c r="J14" s="77"/>
    </row>
    <row r="15" spans="1:10" ht="12.75" customHeight="1">
      <c r="A15" s="78"/>
      <c r="B15" s="79"/>
      <c r="C15" s="78"/>
      <c r="D15" s="80"/>
      <c r="E15" s="80"/>
      <c r="F15" s="80"/>
      <c r="G15" s="80"/>
      <c r="H15" s="80"/>
      <c r="I15" s="80"/>
      <c r="J15" s="80"/>
    </row>
    <row r="16" spans="1:10" s="71" customFormat="1" ht="12.75" customHeight="1">
      <c r="A16" s="81" t="s">
        <v>2801</v>
      </c>
      <c r="B16" s="81" t="s">
        <v>2802</v>
      </c>
      <c r="C16" s="82"/>
      <c r="D16" s="82"/>
      <c r="E16" s="82"/>
      <c r="F16" s="82"/>
      <c r="G16" s="82"/>
      <c r="H16" s="82"/>
      <c r="I16" s="82"/>
      <c r="J16" s="82"/>
    </row>
    <row r="17" spans="1:10" s="71" customFormat="1" ht="12.75" customHeight="1">
      <c r="A17" s="81"/>
      <c r="B17" s="81"/>
      <c r="C17" s="82"/>
      <c r="D17" s="82"/>
      <c r="E17" s="82"/>
      <c r="F17" s="82"/>
      <c r="G17" s="82"/>
      <c r="H17" s="82"/>
      <c r="I17" s="82"/>
      <c r="J17" s="82"/>
    </row>
    <row r="18" spans="1:10" s="71" customFormat="1" ht="12.75" customHeight="1">
      <c r="A18" s="81"/>
      <c r="B18" s="81"/>
      <c r="C18" s="82"/>
      <c r="D18" s="82"/>
      <c r="E18" s="82"/>
      <c r="F18" s="82"/>
      <c r="G18" s="82"/>
      <c r="H18" s="82"/>
      <c r="I18" s="82"/>
      <c r="J18" s="82"/>
    </row>
    <row r="19" spans="1:10" ht="12.75" customHeight="1">
      <c r="A19" s="83"/>
      <c r="B19" s="81" t="s">
        <v>2803</v>
      </c>
      <c r="C19" s="84">
        <v>14859</v>
      </c>
      <c r="D19" s="84">
        <v>2591</v>
      </c>
      <c r="E19" s="84">
        <v>17</v>
      </c>
      <c r="F19" s="84">
        <v>86</v>
      </c>
      <c r="G19" s="84">
        <v>6362</v>
      </c>
      <c r="H19" s="84">
        <v>64</v>
      </c>
      <c r="I19" s="84">
        <v>432</v>
      </c>
      <c r="J19" s="84">
        <v>5307</v>
      </c>
    </row>
    <row r="20" spans="1:10" ht="12.75" customHeight="1">
      <c r="A20" s="83"/>
      <c r="B20" s="81" t="s">
        <v>2804</v>
      </c>
      <c r="C20" s="84" t="s">
        <v>2805</v>
      </c>
      <c r="D20" s="84">
        <v>33</v>
      </c>
      <c r="E20" s="84">
        <v>11</v>
      </c>
      <c r="F20" s="84">
        <v>8</v>
      </c>
      <c r="G20" s="84">
        <v>2570</v>
      </c>
      <c r="H20" s="84">
        <v>9</v>
      </c>
      <c r="I20" s="84">
        <v>189</v>
      </c>
      <c r="J20" s="84" t="s">
        <v>2805</v>
      </c>
    </row>
    <row r="21" spans="1:10" ht="12.75" customHeight="1">
      <c r="A21" s="83"/>
      <c r="B21" s="83" t="s">
        <v>2806</v>
      </c>
      <c r="C21" s="84" t="s">
        <v>2805</v>
      </c>
      <c r="D21" s="84">
        <v>33</v>
      </c>
      <c r="E21" s="84">
        <v>6</v>
      </c>
      <c r="F21" s="84">
        <v>3</v>
      </c>
      <c r="G21" s="84">
        <v>823</v>
      </c>
      <c r="H21" s="84">
        <v>5</v>
      </c>
      <c r="I21" s="84">
        <v>14</v>
      </c>
      <c r="J21" s="84" t="s">
        <v>2805</v>
      </c>
    </row>
    <row r="22" spans="1:10" ht="12.75" customHeight="1">
      <c r="A22" s="83"/>
      <c r="B22" s="83" t="s">
        <v>2807</v>
      </c>
      <c r="C22" s="84" t="s">
        <v>2805</v>
      </c>
      <c r="D22" s="84">
        <v>0</v>
      </c>
      <c r="E22" s="84">
        <v>5</v>
      </c>
      <c r="F22" s="84">
        <v>5</v>
      </c>
      <c r="G22" s="84">
        <v>1746</v>
      </c>
      <c r="H22" s="84">
        <v>4</v>
      </c>
      <c r="I22" s="84">
        <v>175</v>
      </c>
      <c r="J22" s="84" t="s">
        <v>2805</v>
      </c>
    </row>
    <row r="23" spans="1:10" ht="12.75" customHeight="1">
      <c r="A23" s="83"/>
      <c r="B23" s="81" t="s">
        <v>2808</v>
      </c>
      <c r="C23" s="84" t="s">
        <v>2805</v>
      </c>
      <c r="D23" s="84">
        <v>2040</v>
      </c>
      <c r="E23" s="84">
        <v>5</v>
      </c>
      <c r="F23" s="84">
        <v>35</v>
      </c>
      <c r="G23" s="84">
        <v>3268</v>
      </c>
      <c r="H23" s="84" t="s">
        <v>2809</v>
      </c>
      <c r="I23" s="84">
        <v>243</v>
      </c>
      <c r="J23" s="84" t="s">
        <v>2805</v>
      </c>
    </row>
    <row r="24" spans="1:10" ht="12.75" customHeight="1">
      <c r="A24" s="83"/>
      <c r="B24" s="83" t="s">
        <v>2810</v>
      </c>
      <c r="C24" s="84" t="s">
        <v>2805</v>
      </c>
      <c r="D24" s="84">
        <v>272</v>
      </c>
      <c r="E24" s="84">
        <v>5</v>
      </c>
      <c r="F24" s="84">
        <v>13</v>
      </c>
      <c r="G24" s="84">
        <v>2810</v>
      </c>
      <c r="H24" s="84">
        <v>22</v>
      </c>
      <c r="I24" s="84">
        <v>178</v>
      </c>
      <c r="J24" s="84" t="s">
        <v>2805</v>
      </c>
    </row>
    <row r="25" spans="1:10" ht="12.75" customHeight="1">
      <c r="A25" s="83"/>
      <c r="B25" s="83" t="s">
        <v>2811</v>
      </c>
      <c r="C25" s="84" t="s">
        <v>2805</v>
      </c>
      <c r="D25" s="84">
        <v>223</v>
      </c>
      <c r="E25" s="84" t="s">
        <v>2812</v>
      </c>
      <c r="F25" s="84" t="s">
        <v>2812</v>
      </c>
      <c r="G25" s="84">
        <v>24</v>
      </c>
      <c r="H25" s="84" t="s">
        <v>2812</v>
      </c>
      <c r="I25" s="84">
        <v>3</v>
      </c>
      <c r="J25" s="84" t="s">
        <v>2805</v>
      </c>
    </row>
    <row r="26" spans="1:10" ht="12.75" customHeight="1">
      <c r="A26" s="83"/>
      <c r="B26" s="83" t="s">
        <v>2813</v>
      </c>
      <c r="C26" s="84" t="s">
        <v>2805</v>
      </c>
      <c r="D26" s="84">
        <v>1313</v>
      </c>
      <c r="E26" s="84" t="s">
        <v>2812</v>
      </c>
      <c r="F26" s="84">
        <v>14</v>
      </c>
      <c r="G26" s="84">
        <v>171</v>
      </c>
      <c r="H26" s="84">
        <v>2</v>
      </c>
      <c r="I26" s="84">
        <v>15</v>
      </c>
      <c r="J26" s="84" t="s">
        <v>2805</v>
      </c>
    </row>
    <row r="27" spans="1:10" ht="12.75" customHeight="1">
      <c r="A27" s="83"/>
      <c r="B27" s="83" t="s">
        <v>2814</v>
      </c>
      <c r="C27" s="84" t="s">
        <v>2805</v>
      </c>
      <c r="D27" s="84">
        <v>161</v>
      </c>
      <c r="E27" s="84" t="s">
        <v>2805</v>
      </c>
      <c r="F27" s="84" t="s">
        <v>2805</v>
      </c>
      <c r="G27" s="84" t="s">
        <v>2805</v>
      </c>
      <c r="H27" s="84" t="s">
        <v>2805</v>
      </c>
      <c r="I27" s="84" t="s">
        <v>2805</v>
      </c>
      <c r="J27" s="84" t="s">
        <v>2805</v>
      </c>
    </row>
    <row r="28" spans="1:10" ht="12.75" customHeight="1">
      <c r="A28" s="83"/>
      <c r="B28" s="83" t="s">
        <v>2815</v>
      </c>
      <c r="C28" s="84" t="s">
        <v>2805</v>
      </c>
      <c r="D28" s="84">
        <v>71</v>
      </c>
      <c r="E28" s="84" t="s">
        <v>2812</v>
      </c>
      <c r="F28" s="84">
        <v>8</v>
      </c>
      <c r="G28" s="84">
        <v>263</v>
      </c>
      <c r="H28" s="84" t="s">
        <v>2809</v>
      </c>
      <c r="I28" s="84">
        <v>46</v>
      </c>
      <c r="J28" s="84" t="s">
        <v>2805</v>
      </c>
    </row>
    <row r="29" spans="1:10" ht="12.75" customHeight="1">
      <c r="A29" s="83"/>
      <c r="B29" s="81" t="s">
        <v>2816</v>
      </c>
      <c r="C29" s="84" t="s">
        <v>2805</v>
      </c>
      <c r="D29" s="84">
        <v>483</v>
      </c>
      <c r="E29" s="84">
        <v>1</v>
      </c>
      <c r="F29" s="84">
        <v>43</v>
      </c>
      <c r="G29" s="84">
        <v>481</v>
      </c>
      <c r="H29" s="84" t="s">
        <v>2809</v>
      </c>
      <c r="I29" s="84">
        <v>1</v>
      </c>
      <c r="J29" s="84" t="s">
        <v>2805</v>
      </c>
    </row>
    <row r="30" spans="1:10" ht="12.75" customHeight="1">
      <c r="A30" s="83"/>
      <c r="B30" s="83" t="s">
        <v>2817</v>
      </c>
      <c r="C30" s="84" t="s">
        <v>2805</v>
      </c>
      <c r="D30" s="84">
        <v>241</v>
      </c>
      <c r="E30" s="84" t="s">
        <v>2812</v>
      </c>
      <c r="F30" s="84">
        <v>2</v>
      </c>
      <c r="G30" s="84">
        <v>386</v>
      </c>
      <c r="H30" s="84" t="s">
        <v>2809</v>
      </c>
      <c r="I30" s="84" t="s">
        <v>2812</v>
      </c>
      <c r="J30" s="84" t="s">
        <v>2805</v>
      </c>
    </row>
    <row r="31" spans="1:10" ht="12.75" customHeight="1">
      <c r="A31" s="83"/>
      <c r="B31" s="83" t="s">
        <v>2818</v>
      </c>
      <c r="C31" s="84" t="s">
        <v>2805</v>
      </c>
      <c r="D31" s="84">
        <v>165</v>
      </c>
      <c r="E31" s="84" t="s">
        <v>2805</v>
      </c>
      <c r="F31" s="84" t="s">
        <v>2805</v>
      </c>
      <c r="G31" s="84" t="s">
        <v>2805</v>
      </c>
      <c r="H31" s="84" t="s">
        <v>2805</v>
      </c>
      <c r="I31" s="84" t="s">
        <v>2805</v>
      </c>
      <c r="J31" s="84" t="s">
        <v>2805</v>
      </c>
    </row>
    <row r="32" spans="1:10" ht="12.75" customHeight="1">
      <c r="A32" s="83"/>
      <c r="B32" s="83" t="s">
        <v>2819</v>
      </c>
      <c r="C32" s="84" t="s">
        <v>2805</v>
      </c>
      <c r="D32" s="84">
        <v>50</v>
      </c>
      <c r="E32" s="84">
        <v>0</v>
      </c>
      <c r="F32" s="84" t="s">
        <v>2812</v>
      </c>
      <c r="G32" s="84">
        <v>52</v>
      </c>
      <c r="H32" s="84" t="s">
        <v>2812</v>
      </c>
      <c r="I32" s="84" t="s">
        <v>2812</v>
      </c>
      <c r="J32" s="84" t="s">
        <v>2805</v>
      </c>
    </row>
    <row r="33" spans="1:10" ht="12.75" customHeight="1">
      <c r="A33" s="83"/>
      <c r="B33" s="83" t="s">
        <v>2820</v>
      </c>
      <c r="C33" s="84" t="s">
        <v>2805</v>
      </c>
      <c r="D33" s="84">
        <v>14</v>
      </c>
      <c r="E33" s="84" t="s">
        <v>2805</v>
      </c>
      <c r="F33" s="84">
        <v>33</v>
      </c>
      <c r="G33" s="84">
        <v>3</v>
      </c>
      <c r="H33" s="84">
        <v>18</v>
      </c>
      <c r="I33" s="84" t="s">
        <v>2805</v>
      </c>
      <c r="J33" s="84" t="s">
        <v>2805</v>
      </c>
    </row>
    <row r="34" spans="1:10" ht="12.75" customHeight="1">
      <c r="A34" s="83"/>
      <c r="B34" s="83" t="s">
        <v>2821</v>
      </c>
      <c r="C34" s="84" t="s">
        <v>2805</v>
      </c>
      <c r="D34" s="84" t="s">
        <v>2805</v>
      </c>
      <c r="E34" s="84" t="s">
        <v>2812</v>
      </c>
      <c r="F34" s="84">
        <v>3</v>
      </c>
      <c r="G34" s="84">
        <v>28</v>
      </c>
      <c r="H34" s="84" t="s">
        <v>2812</v>
      </c>
      <c r="I34" s="84" t="s">
        <v>2812</v>
      </c>
      <c r="J34" s="84" t="s">
        <v>2805</v>
      </c>
    </row>
    <row r="35" spans="1:10" ht="12.75" customHeight="1">
      <c r="A35" s="83"/>
      <c r="B35" s="83" t="s">
        <v>2822</v>
      </c>
      <c r="C35" s="84" t="s">
        <v>2805</v>
      </c>
      <c r="D35" s="84">
        <v>12</v>
      </c>
      <c r="E35" s="84" t="s">
        <v>2812</v>
      </c>
      <c r="F35" s="84">
        <v>4</v>
      </c>
      <c r="G35" s="84">
        <v>12</v>
      </c>
      <c r="H35" s="84">
        <v>1</v>
      </c>
      <c r="I35" s="84">
        <v>0</v>
      </c>
      <c r="J35" s="84" t="s">
        <v>2805</v>
      </c>
    </row>
    <row r="36" spans="1:10" ht="12.75" customHeight="1">
      <c r="A36" s="83"/>
      <c r="B36" s="81" t="s">
        <v>2823</v>
      </c>
      <c r="C36" s="84">
        <v>5389</v>
      </c>
      <c r="D36" s="84">
        <v>36</v>
      </c>
      <c r="E36" s="84" t="s">
        <v>2812</v>
      </c>
      <c r="F36" s="84" t="s">
        <v>2812</v>
      </c>
      <c r="G36" s="84">
        <v>43</v>
      </c>
      <c r="H36" s="84">
        <v>3</v>
      </c>
      <c r="I36" s="84">
        <v>0</v>
      </c>
      <c r="J36" s="84">
        <v>5307</v>
      </c>
    </row>
    <row r="37" spans="1:10" ht="12.75" customHeight="1">
      <c r="A37" s="83"/>
      <c r="B37" s="83"/>
      <c r="C37" s="84"/>
      <c r="D37" s="84"/>
      <c r="E37" s="84"/>
      <c r="F37" s="84"/>
      <c r="G37" s="84"/>
      <c r="H37" s="84"/>
      <c r="I37" s="84"/>
      <c r="J37" s="84"/>
    </row>
    <row r="38" spans="1:10" s="71" customFormat="1" ht="12.75" customHeight="1">
      <c r="A38" s="81" t="s">
        <v>2824</v>
      </c>
      <c r="B38" s="81" t="s">
        <v>2825</v>
      </c>
      <c r="C38" s="82"/>
      <c r="D38" s="82"/>
      <c r="E38" s="82"/>
      <c r="F38" s="82"/>
      <c r="G38" s="82"/>
      <c r="H38" s="82"/>
      <c r="I38" s="82"/>
      <c r="J38" s="82"/>
    </row>
    <row r="39" spans="1:10" ht="12.75" customHeight="1">
      <c r="A39" s="83"/>
      <c r="B39" s="83"/>
      <c r="C39" s="85"/>
      <c r="D39" s="85"/>
      <c r="E39" s="85"/>
      <c r="F39" s="85"/>
      <c r="G39" s="85"/>
      <c r="H39" s="85"/>
      <c r="I39" s="85"/>
      <c r="J39" s="85"/>
    </row>
    <row r="40" spans="1:10" ht="12.75" customHeight="1">
      <c r="A40" s="83"/>
      <c r="B40" s="83"/>
      <c r="C40" s="85"/>
      <c r="D40" s="85"/>
      <c r="E40" s="85"/>
      <c r="F40" s="85"/>
      <c r="G40" s="85"/>
      <c r="H40" s="85"/>
      <c r="I40" s="85"/>
      <c r="J40" s="85"/>
    </row>
    <row r="41" spans="1:10" ht="12.75" customHeight="1">
      <c r="A41" s="83"/>
      <c r="B41" s="81" t="s">
        <v>2803</v>
      </c>
      <c r="C41" s="84">
        <v>1144</v>
      </c>
      <c r="D41" s="84">
        <v>314</v>
      </c>
      <c r="E41" s="84" t="s">
        <v>2812</v>
      </c>
      <c r="F41" s="84">
        <v>14</v>
      </c>
      <c r="G41" s="84">
        <v>669</v>
      </c>
      <c r="H41" s="84">
        <v>7</v>
      </c>
      <c r="I41" s="84">
        <v>47</v>
      </c>
      <c r="J41" s="84">
        <v>93</v>
      </c>
    </row>
    <row r="42" spans="1:10" ht="12.75" customHeight="1">
      <c r="A42" s="83"/>
      <c r="B42" s="81" t="s">
        <v>2804</v>
      </c>
      <c r="C42" s="84" t="s">
        <v>2805</v>
      </c>
      <c r="D42" s="84">
        <v>8</v>
      </c>
      <c r="E42" s="84" t="s">
        <v>2812</v>
      </c>
      <c r="F42" s="84">
        <v>2</v>
      </c>
      <c r="G42" s="84">
        <v>388</v>
      </c>
      <c r="H42" s="84">
        <v>3</v>
      </c>
      <c r="I42" s="84">
        <v>37</v>
      </c>
      <c r="J42" s="84" t="s">
        <v>2805</v>
      </c>
    </row>
    <row r="43" spans="1:10" ht="12.75" customHeight="1">
      <c r="A43" s="83"/>
      <c r="B43" s="83" t="s">
        <v>2806</v>
      </c>
      <c r="C43" s="84" t="s">
        <v>2805</v>
      </c>
      <c r="D43" s="84">
        <v>8</v>
      </c>
      <c r="E43" s="84" t="s">
        <v>2812</v>
      </c>
      <c r="F43" s="84">
        <v>1</v>
      </c>
      <c r="G43" s="84">
        <v>136</v>
      </c>
      <c r="H43" s="84">
        <v>2</v>
      </c>
      <c r="I43" s="84">
        <v>5</v>
      </c>
      <c r="J43" s="84" t="s">
        <v>2805</v>
      </c>
    </row>
    <row r="44" spans="1:10" ht="12.75" customHeight="1">
      <c r="A44" s="83"/>
      <c r="B44" s="83" t="s">
        <v>2807</v>
      </c>
      <c r="C44" s="84" t="s">
        <v>2805</v>
      </c>
      <c r="D44" s="84">
        <v>0</v>
      </c>
      <c r="E44" s="84" t="s">
        <v>2812</v>
      </c>
      <c r="F44" s="84">
        <v>1</v>
      </c>
      <c r="G44" s="84">
        <v>252</v>
      </c>
      <c r="H44" s="84">
        <v>1</v>
      </c>
      <c r="I44" s="84">
        <v>32</v>
      </c>
      <c r="J44" s="84" t="s">
        <v>2805</v>
      </c>
    </row>
    <row r="45" spans="1:10" ht="12.75" customHeight="1">
      <c r="A45" s="83"/>
      <c r="B45" s="81" t="s">
        <v>2808</v>
      </c>
      <c r="C45" s="84" t="s">
        <v>2805</v>
      </c>
      <c r="D45" s="84">
        <v>230</v>
      </c>
      <c r="E45" s="84" t="s">
        <v>2812</v>
      </c>
      <c r="F45" s="84" t="s">
        <v>2826</v>
      </c>
      <c r="G45" s="84">
        <v>199</v>
      </c>
      <c r="H45" s="84">
        <v>2</v>
      </c>
      <c r="I45" s="84">
        <v>10</v>
      </c>
      <c r="J45" s="84" t="s">
        <v>2805</v>
      </c>
    </row>
    <row r="46" spans="1:10" ht="12.75" customHeight="1">
      <c r="A46" s="83"/>
      <c r="B46" s="83" t="s">
        <v>2810</v>
      </c>
      <c r="C46" s="84" t="s">
        <v>2805</v>
      </c>
      <c r="D46" s="84">
        <v>11</v>
      </c>
      <c r="E46" s="84" t="s">
        <v>2812</v>
      </c>
      <c r="F46" s="84" t="s">
        <v>2826</v>
      </c>
      <c r="G46" s="84">
        <v>167</v>
      </c>
      <c r="H46" s="84" t="s">
        <v>2826</v>
      </c>
      <c r="I46" s="84">
        <v>10</v>
      </c>
      <c r="J46" s="84" t="s">
        <v>2805</v>
      </c>
    </row>
    <row r="47" spans="1:10" ht="12.75" customHeight="1">
      <c r="A47" s="83"/>
      <c r="B47" s="83" t="s">
        <v>2811</v>
      </c>
      <c r="C47" s="84" t="s">
        <v>2805</v>
      </c>
      <c r="D47" s="84">
        <v>83</v>
      </c>
      <c r="E47" s="84" t="s">
        <v>2812</v>
      </c>
      <c r="F47" s="84" t="s">
        <v>2812</v>
      </c>
      <c r="G47" s="84">
        <v>4</v>
      </c>
      <c r="H47" s="84" t="s">
        <v>2812</v>
      </c>
      <c r="I47" s="84">
        <v>0</v>
      </c>
      <c r="J47" s="84" t="s">
        <v>2805</v>
      </c>
    </row>
    <row r="48" spans="1:10" ht="12.75" customHeight="1">
      <c r="A48" s="83"/>
      <c r="B48" s="83" t="s">
        <v>2813</v>
      </c>
      <c r="C48" s="84" t="s">
        <v>2805</v>
      </c>
      <c r="D48" s="84">
        <v>130</v>
      </c>
      <c r="E48" s="84" t="s">
        <v>2812</v>
      </c>
      <c r="F48" s="84" t="s">
        <v>2812</v>
      </c>
      <c r="G48" s="84">
        <v>14</v>
      </c>
      <c r="H48" s="84" t="s">
        <v>2812</v>
      </c>
      <c r="I48" s="84">
        <v>0</v>
      </c>
      <c r="J48" s="84" t="s">
        <v>2805</v>
      </c>
    </row>
    <row r="49" spans="1:10" ht="12.75" customHeight="1">
      <c r="A49" s="83"/>
      <c r="B49" s="83" t="s">
        <v>2814</v>
      </c>
      <c r="C49" s="84" t="s">
        <v>2805</v>
      </c>
      <c r="D49" s="84">
        <v>2</v>
      </c>
      <c r="E49" s="84" t="s">
        <v>2805</v>
      </c>
      <c r="F49" s="84" t="s">
        <v>2805</v>
      </c>
      <c r="G49" s="84" t="s">
        <v>2805</v>
      </c>
      <c r="H49" s="84" t="s">
        <v>2805</v>
      </c>
      <c r="I49" s="84" t="s">
        <v>2805</v>
      </c>
      <c r="J49" s="84" t="s">
        <v>2805</v>
      </c>
    </row>
    <row r="50" spans="1:10" ht="12.75" customHeight="1">
      <c r="A50" s="83"/>
      <c r="B50" s="83" t="s">
        <v>2815</v>
      </c>
      <c r="C50" s="84" t="s">
        <v>2805</v>
      </c>
      <c r="D50" s="84">
        <v>3</v>
      </c>
      <c r="E50" s="84">
        <v>0</v>
      </c>
      <c r="F50" s="84" t="s">
        <v>2826</v>
      </c>
      <c r="G50" s="84">
        <v>14</v>
      </c>
      <c r="H50" s="84" t="s">
        <v>2812</v>
      </c>
      <c r="I50" s="84">
        <v>0</v>
      </c>
      <c r="J50" s="84" t="s">
        <v>2805</v>
      </c>
    </row>
    <row r="51" spans="1:10" ht="12.75" customHeight="1">
      <c r="A51" s="83"/>
      <c r="B51" s="81" t="s">
        <v>2816</v>
      </c>
      <c r="C51" s="84" t="s">
        <v>2805</v>
      </c>
      <c r="D51" s="84">
        <v>71</v>
      </c>
      <c r="E51" s="84" t="s">
        <v>2812</v>
      </c>
      <c r="F51" s="84">
        <v>7</v>
      </c>
      <c r="G51" s="84">
        <v>77</v>
      </c>
      <c r="H51" s="84">
        <v>2</v>
      </c>
      <c r="I51" s="84" t="s">
        <v>2812</v>
      </c>
      <c r="J51" s="84" t="s">
        <v>2805</v>
      </c>
    </row>
    <row r="52" spans="1:10" ht="12.75" customHeight="1">
      <c r="A52" s="83"/>
      <c r="B52" s="83" t="s">
        <v>2817</v>
      </c>
      <c r="C52" s="84" t="s">
        <v>2805</v>
      </c>
      <c r="D52" s="84">
        <v>33</v>
      </c>
      <c r="E52" s="84" t="s">
        <v>2812</v>
      </c>
      <c r="F52" s="84" t="s">
        <v>2826</v>
      </c>
      <c r="G52" s="84">
        <v>53</v>
      </c>
      <c r="H52" s="84">
        <v>1</v>
      </c>
      <c r="I52" s="84">
        <v>0</v>
      </c>
      <c r="J52" s="84" t="s">
        <v>2805</v>
      </c>
    </row>
    <row r="53" spans="1:10" ht="12.75" customHeight="1">
      <c r="A53" s="83"/>
      <c r="B53" s="83" t="s">
        <v>2818</v>
      </c>
      <c r="C53" s="84" t="s">
        <v>2805</v>
      </c>
      <c r="D53" s="84">
        <v>28</v>
      </c>
      <c r="E53" s="84" t="s">
        <v>2805</v>
      </c>
      <c r="F53" s="84" t="s">
        <v>2805</v>
      </c>
      <c r="G53" s="84" t="s">
        <v>2805</v>
      </c>
      <c r="H53" s="84" t="s">
        <v>2805</v>
      </c>
      <c r="I53" s="84" t="s">
        <v>2805</v>
      </c>
      <c r="J53" s="84" t="s">
        <v>2805</v>
      </c>
    </row>
    <row r="54" spans="1:10" ht="12.75" customHeight="1">
      <c r="A54" s="83"/>
      <c r="B54" s="83" t="s">
        <v>2819</v>
      </c>
      <c r="C54" s="84" t="s">
        <v>2805</v>
      </c>
      <c r="D54" s="84">
        <v>6</v>
      </c>
      <c r="E54" s="84">
        <v>0</v>
      </c>
      <c r="F54" s="84" t="s">
        <v>2812</v>
      </c>
      <c r="G54" s="84">
        <v>23</v>
      </c>
      <c r="H54" s="84" t="s">
        <v>2812</v>
      </c>
      <c r="I54" s="84">
        <v>0</v>
      </c>
      <c r="J54" s="84" t="s">
        <v>2805</v>
      </c>
    </row>
    <row r="55" spans="1:10" ht="12.75" customHeight="1">
      <c r="A55" s="83"/>
      <c r="B55" s="83" t="s">
        <v>2820</v>
      </c>
      <c r="C55" s="84" t="s">
        <v>2805</v>
      </c>
      <c r="D55" s="84">
        <v>3</v>
      </c>
      <c r="E55" s="84" t="s">
        <v>2805</v>
      </c>
      <c r="F55" s="84">
        <v>2</v>
      </c>
      <c r="G55" s="84" t="s">
        <v>2812</v>
      </c>
      <c r="H55" s="84">
        <v>1</v>
      </c>
      <c r="I55" s="84" t="s">
        <v>2805</v>
      </c>
      <c r="J55" s="84" t="s">
        <v>2805</v>
      </c>
    </row>
    <row r="56" spans="1:10" ht="12.75" customHeight="1">
      <c r="A56" s="83"/>
      <c r="B56" s="83" t="s">
        <v>2821</v>
      </c>
      <c r="C56" s="84" t="s">
        <v>2805</v>
      </c>
      <c r="D56" s="84" t="s">
        <v>2805</v>
      </c>
      <c r="E56" s="84">
        <v>0</v>
      </c>
      <c r="F56" s="84">
        <v>2</v>
      </c>
      <c r="G56" s="84" t="s">
        <v>2812</v>
      </c>
      <c r="H56" s="84" t="s">
        <v>2812</v>
      </c>
      <c r="I56" s="84" t="s">
        <v>2812</v>
      </c>
      <c r="J56" s="84" t="s">
        <v>2805</v>
      </c>
    </row>
    <row r="57" spans="1:10" ht="12.75" customHeight="1">
      <c r="A57" s="83"/>
      <c r="B57" s="83" t="s">
        <v>2822</v>
      </c>
      <c r="C57" s="84" t="s">
        <v>2805</v>
      </c>
      <c r="D57" s="84">
        <v>1</v>
      </c>
      <c r="E57" s="84">
        <v>0</v>
      </c>
      <c r="F57" s="84">
        <v>1</v>
      </c>
      <c r="G57" s="84" t="s">
        <v>2812</v>
      </c>
      <c r="H57" s="84" t="s">
        <v>2812</v>
      </c>
      <c r="I57" s="84">
        <v>0</v>
      </c>
      <c r="J57" s="84" t="s">
        <v>2805</v>
      </c>
    </row>
    <row r="58" spans="1:10" ht="12.75" customHeight="1">
      <c r="A58" s="83"/>
      <c r="B58" s="81" t="s">
        <v>2823</v>
      </c>
      <c r="C58" s="84">
        <v>103</v>
      </c>
      <c r="D58" s="84">
        <v>5</v>
      </c>
      <c r="E58" s="84">
        <v>0</v>
      </c>
      <c r="F58" s="84">
        <v>0</v>
      </c>
      <c r="G58" s="84">
        <v>5</v>
      </c>
      <c r="H58" s="84" t="s">
        <v>2812</v>
      </c>
      <c r="I58" s="84">
        <v>0</v>
      </c>
      <c r="J58" s="84">
        <v>93</v>
      </c>
    </row>
    <row r="59" spans="1:10" ht="12.75" customHeight="1">
      <c r="A59" s="83"/>
      <c r="B59" s="83"/>
      <c r="C59" s="84"/>
      <c r="D59" s="84"/>
      <c r="E59" s="84"/>
      <c r="F59" s="84"/>
      <c r="G59" s="84"/>
      <c r="H59" s="84"/>
      <c r="I59" s="84"/>
      <c r="J59" s="84"/>
    </row>
    <row r="60" spans="1:10" s="71" customFormat="1" ht="12.75" customHeight="1">
      <c r="A60" s="81" t="s">
        <v>2827</v>
      </c>
      <c r="B60" s="81" t="s">
        <v>2828</v>
      </c>
      <c r="C60" s="86"/>
      <c r="D60" s="86"/>
      <c r="E60" s="86"/>
      <c r="F60" s="86"/>
      <c r="G60" s="86"/>
      <c r="H60" s="86"/>
      <c r="I60" s="86"/>
      <c r="J60" s="86"/>
    </row>
    <row r="61" spans="1:10" ht="12.75" customHeight="1">
      <c r="A61" s="83"/>
      <c r="B61" s="83"/>
      <c r="C61" s="84"/>
      <c r="D61" s="84"/>
      <c r="E61" s="84"/>
      <c r="F61" s="84"/>
      <c r="G61" s="84"/>
      <c r="H61" s="84"/>
      <c r="I61" s="84"/>
      <c r="J61" s="84"/>
    </row>
    <row r="62" spans="1:10" ht="12.75" customHeight="1">
      <c r="A62" s="83"/>
      <c r="B62" s="83"/>
      <c r="C62" s="84"/>
      <c r="D62" s="84"/>
      <c r="E62" s="84"/>
      <c r="F62" s="84"/>
      <c r="G62" s="84"/>
      <c r="H62" s="84"/>
      <c r="I62" s="84"/>
      <c r="J62" s="84"/>
    </row>
    <row r="63" spans="1:10" ht="12.75" customHeight="1">
      <c r="A63" s="83"/>
      <c r="B63" s="81" t="s">
        <v>2803</v>
      </c>
      <c r="C63" s="84">
        <v>246</v>
      </c>
      <c r="D63" s="84">
        <v>50</v>
      </c>
      <c r="E63" s="84" t="s">
        <v>2812</v>
      </c>
      <c r="F63" s="84">
        <v>1</v>
      </c>
      <c r="G63" s="84">
        <v>149</v>
      </c>
      <c r="H63" s="84" t="s">
        <v>2812</v>
      </c>
      <c r="I63" s="84">
        <v>19</v>
      </c>
      <c r="J63" s="84">
        <v>27</v>
      </c>
    </row>
    <row r="64" spans="1:10" ht="12.75" customHeight="1">
      <c r="A64" s="83"/>
      <c r="B64" s="81" t="s">
        <v>2804</v>
      </c>
      <c r="C64" s="84" t="s">
        <v>2805</v>
      </c>
      <c r="D64" s="84">
        <v>2</v>
      </c>
      <c r="E64" s="84">
        <v>0</v>
      </c>
      <c r="F64" s="84" t="s">
        <v>2812</v>
      </c>
      <c r="G64" s="84">
        <v>99</v>
      </c>
      <c r="H64" s="84" t="s">
        <v>2812</v>
      </c>
      <c r="I64" s="84">
        <v>19</v>
      </c>
      <c r="J64" s="84" t="s">
        <v>2805</v>
      </c>
    </row>
    <row r="65" spans="1:10" ht="12.75" customHeight="1">
      <c r="A65" s="83"/>
      <c r="B65" s="83" t="s">
        <v>2806</v>
      </c>
      <c r="C65" s="84" t="s">
        <v>2805</v>
      </c>
      <c r="D65" s="84">
        <v>2</v>
      </c>
      <c r="E65" s="84">
        <v>0</v>
      </c>
      <c r="F65" s="84" t="s">
        <v>2812</v>
      </c>
      <c r="G65" s="84">
        <v>36</v>
      </c>
      <c r="H65" s="84">
        <v>0</v>
      </c>
      <c r="I65" s="84">
        <v>5</v>
      </c>
      <c r="J65" s="84" t="s">
        <v>2805</v>
      </c>
    </row>
    <row r="66" spans="1:10" ht="12.75" customHeight="1">
      <c r="A66" s="83"/>
      <c r="B66" s="83" t="s">
        <v>2807</v>
      </c>
      <c r="C66" s="84" t="s">
        <v>2805</v>
      </c>
      <c r="D66" s="84">
        <v>0</v>
      </c>
      <c r="E66" s="84">
        <v>0</v>
      </c>
      <c r="F66" s="84" t="s">
        <v>2812</v>
      </c>
      <c r="G66" s="84">
        <v>63</v>
      </c>
      <c r="H66" s="84" t="s">
        <v>2812</v>
      </c>
      <c r="I66" s="84">
        <v>14</v>
      </c>
      <c r="J66" s="84" t="s">
        <v>2805</v>
      </c>
    </row>
    <row r="67" spans="1:10" ht="12.75" customHeight="1">
      <c r="A67" s="83"/>
      <c r="B67" s="81" t="s">
        <v>2808</v>
      </c>
      <c r="C67" s="84" t="s">
        <v>2805</v>
      </c>
      <c r="D67" s="84">
        <v>43</v>
      </c>
      <c r="E67" s="84" t="s">
        <v>2812</v>
      </c>
      <c r="F67" s="84" t="s">
        <v>2812</v>
      </c>
      <c r="G67" s="84">
        <v>45</v>
      </c>
      <c r="H67" s="84" t="s">
        <v>2812</v>
      </c>
      <c r="I67" s="84">
        <v>0</v>
      </c>
      <c r="J67" s="84" t="s">
        <v>2805</v>
      </c>
    </row>
    <row r="68" spans="1:10" ht="12.75" customHeight="1">
      <c r="A68" s="83"/>
      <c r="B68" s="83" t="s">
        <v>2810</v>
      </c>
      <c r="C68" s="84" t="s">
        <v>2805</v>
      </c>
      <c r="D68" s="84">
        <v>2</v>
      </c>
      <c r="E68" s="84" t="s">
        <v>2812</v>
      </c>
      <c r="F68" s="84" t="s">
        <v>2812</v>
      </c>
      <c r="G68" s="84">
        <v>39</v>
      </c>
      <c r="H68" s="84" t="s">
        <v>2812</v>
      </c>
      <c r="I68" s="84">
        <v>0</v>
      </c>
      <c r="J68" s="84" t="s">
        <v>2805</v>
      </c>
    </row>
    <row r="69" spans="1:10" ht="12.75" customHeight="1">
      <c r="A69" s="83"/>
      <c r="B69" s="83" t="s">
        <v>2811</v>
      </c>
      <c r="C69" s="84" t="s">
        <v>2805</v>
      </c>
      <c r="D69" s="84">
        <v>5</v>
      </c>
      <c r="E69" s="84">
        <v>0</v>
      </c>
      <c r="F69" s="84">
        <v>0</v>
      </c>
      <c r="G69" s="84" t="s">
        <v>2812</v>
      </c>
      <c r="H69" s="84" t="s">
        <v>2812</v>
      </c>
      <c r="I69" s="84">
        <v>0</v>
      </c>
      <c r="J69" s="84" t="s">
        <v>2805</v>
      </c>
    </row>
    <row r="70" spans="1:10" ht="12.75" customHeight="1">
      <c r="A70" s="83"/>
      <c r="B70" s="83" t="s">
        <v>2813</v>
      </c>
      <c r="C70" s="84" t="s">
        <v>2805</v>
      </c>
      <c r="D70" s="84">
        <v>34</v>
      </c>
      <c r="E70" s="84">
        <v>0</v>
      </c>
      <c r="F70" s="84" t="s">
        <v>2812</v>
      </c>
      <c r="G70" s="84">
        <v>4</v>
      </c>
      <c r="H70" s="84" t="s">
        <v>2812</v>
      </c>
      <c r="I70" s="84">
        <v>0</v>
      </c>
      <c r="J70" s="84" t="s">
        <v>2805</v>
      </c>
    </row>
    <row r="71" spans="1:10" ht="12.75" customHeight="1">
      <c r="A71" s="83"/>
      <c r="B71" s="83" t="s">
        <v>2814</v>
      </c>
      <c r="C71" s="84" t="s">
        <v>2805</v>
      </c>
      <c r="D71" s="84" t="s">
        <v>2812</v>
      </c>
      <c r="E71" s="84" t="s">
        <v>2805</v>
      </c>
      <c r="F71" s="84" t="s">
        <v>2805</v>
      </c>
      <c r="G71" s="84" t="s">
        <v>2805</v>
      </c>
      <c r="H71" s="84" t="s">
        <v>2805</v>
      </c>
      <c r="I71" s="84" t="s">
        <v>2805</v>
      </c>
      <c r="J71" s="84" t="s">
        <v>2805</v>
      </c>
    </row>
    <row r="72" spans="1:10" ht="12.75" customHeight="1">
      <c r="A72" s="83"/>
      <c r="B72" s="83" t="s">
        <v>2815</v>
      </c>
      <c r="C72" s="84" t="s">
        <v>2805</v>
      </c>
      <c r="D72" s="84">
        <v>1</v>
      </c>
      <c r="E72" s="84">
        <v>0</v>
      </c>
      <c r="F72" s="84" t="s">
        <v>2812</v>
      </c>
      <c r="G72" s="84">
        <v>3</v>
      </c>
      <c r="H72" s="84" t="s">
        <v>2812</v>
      </c>
      <c r="I72" s="84">
        <v>0</v>
      </c>
      <c r="J72" s="84" t="s">
        <v>2805</v>
      </c>
    </row>
    <row r="73" spans="1:10" ht="12.75" customHeight="1">
      <c r="A73" s="83"/>
      <c r="B73" s="81" t="s">
        <v>2816</v>
      </c>
      <c r="C73" s="84" t="s">
        <v>2805</v>
      </c>
      <c r="D73" s="84">
        <v>5</v>
      </c>
      <c r="E73" s="84" t="s">
        <v>2812</v>
      </c>
      <c r="F73" s="84" t="s">
        <v>2812</v>
      </c>
      <c r="G73" s="84">
        <v>5</v>
      </c>
      <c r="H73" s="84" t="s">
        <v>2812</v>
      </c>
      <c r="I73" s="84">
        <v>0</v>
      </c>
      <c r="J73" s="84" t="s">
        <v>2805</v>
      </c>
    </row>
    <row r="74" spans="1:10" ht="12.75" customHeight="1">
      <c r="A74" s="83"/>
      <c r="B74" s="83" t="s">
        <v>2817</v>
      </c>
      <c r="C74" s="84" t="s">
        <v>2805</v>
      </c>
      <c r="D74" s="84">
        <v>2</v>
      </c>
      <c r="E74" s="84" t="s">
        <v>2812</v>
      </c>
      <c r="F74" s="84" t="s">
        <v>2812</v>
      </c>
      <c r="G74" s="84">
        <v>4</v>
      </c>
      <c r="H74" s="84" t="s">
        <v>2812</v>
      </c>
      <c r="I74" s="84">
        <v>0</v>
      </c>
      <c r="J74" s="84" t="s">
        <v>2805</v>
      </c>
    </row>
    <row r="75" spans="1:10" ht="12.75" customHeight="1">
      <c r="A75" s="83"/>
      <c r="B75" s="83" t="s">
        <v>2818</v>
      </c>
      <c r="C75" s="84" t="s">
        <v>2805</v>
      </c>
      <c r="D75" s="84">
        <v>2</v>
      </c>
      <c r="E75" s="84" t="s">
        <v>2805</v>
      </c>
      <c r="F75" s="84" t="s">
        <v>2805</v>
      </c>
      <c r="G75" s="84" t="s">
        <v>2805</v>
      </c>
      <c r="H75" s="84" t="s">
        <v>2805</v>
      </c>
      <c r="I75" s="84" t="s">
        <v>2805</v>
      </c>
      <c r="J75" s="84" t="s">
        <v>2805</v>
      </c>
    </row>
    <row r="76" spans="1:10" ht="12.75" customHeight="1">
      <c r="A76" s="83"/>
      <c r="B76" s="83" t="s">
        <v>2819</v>
      </c>
      <c r="C76" s="84" t="s">
        <v>2805</v>
      </c>
      <c r="D76" s="84">
        <v>1</v>
      </c>
      <c r="E76" s="84">
        <v>0</v>
      </c>
      <c r="F76" s="84" t="s">
        <v>2812</v>
      </c>
      <c r="G76" s="84" t="s">
        <v>2812</v>
      </c>
      <c r="H76" s="84" t="s">
        <v>2812</v>
      </c>
      <c r="I76" s="84">
        <v>0</v>
      </c>
      <c r="J76" s="84" t="s">
        <v>2805</v>
      </c>
    </row>
    <row r="77" spans="1:10" ht="12.75" customHeight="1">
      <c r="A77" s="83"/>
      <c r="B77" s="83" t="s">
        <v>2820</v>
      </c>
      <c r="C77" s="84" t="s">
        <v>2805</v>
      </c>
      <c r="D77" s="84" t="s">
        <v>2812</v>
      </c>
      <c r="E77" s="84" t="s">
        <v>2805</v>
      </c>
      <c r="F77" s="84" t="s">
        <v>2812</v>
      </c>
      <c r="G77" s="84" t="s">
        <v>2812</v>
      </c>
      <c r="H77" s="84" t="s">
        <v>2812</v>
      </c>
      <c r="I77" s="84" t="s">
        <v>2805</v>
      </c>
      <c r="J77" s="84" t="s">
        <v>2805</v>
      </c>
    </row>
    <row r="78" spans="1:10" ht="12.75" customHeight="1">
      <c r="A78" s="83"/>
      <c r="B78" s="83" t="s">
        <v>2821</v>
      </c>
      <c r="C78" s="84" t="s">
        <v>2805</v>
      </c>
      <c r="D78" s="84" t="s">
        <v>2805</v>
      </c>
      <c r="E78" s="84">
        <v>0</v>
      </c>
      <c r="F78" s="84" t="s">
        <v>2812</v>
      </c>
      <c r="G78" s="84" t="s">
        <v>2812</v>
      </c>
      <c r="H78" s="84" t="s">
        <v>2812</v>
      </c>
      <c r="I78" s="84">
        <v>0</v>
      </c>
      <c r="J78" s="84" t="s">
        <v>2805</v>
      </c>
    </row>
    <row r="79" spans="1:10" ht="12.75" customHeight="1">
      <c r="A79" s="83"/>
      <c r="B79" s="83" t="s">
        <v>2822</v>
      </c>
      <c r="C79" s="84" t="s">
        <v>2805</v>
      </c>
      <c r="D79" s="84" t="s">
        <v>2812</v>
      </c>
      <c r="E79" s="84">
        <v>0</v>
      </c>
      <c r="F79" s="84" t="s">
        <v>2812</v>
      </c>
      <c r="G79" s="84" t="s">
        <v>2812</v>
      </c>
      <c r="H79" s="84" t="s">
        <v>2812</v>
      </c>
      <c r="I79" s="84">
        <v>0</v>
      </c>
      <c r="J79" s="84" t="s">
        <v>2805</v>
      </c>
    </row>
    <row r="80" spans="1:10" ht="12.75" customHeight="1">
      <c r="A80" s="83"/>
      <c r="B80" s="81" t="s">
        <v>2823</v>
      </c>
      <c r="C80" s="84">
        <v>28</v>
      </c>
      <c r="D80" s="84" t="s">
        <v>2812</v>
      </c>
      <c r="E80" s="84">
        <v>0</v>
      </c>
      <c r="F80" s="84">
        <v>0</v>
      </c>
      <c r="G80" s="84" t="s">
        <v>2826</v>
      </c>
      <c r="H80" s="84" t="s">
        <v>2812</v>
      </c>
      <c r="I80" s="84">
        <v>0</v>
      </c>
      <c r="J80" s="84">
        <v>27</v>
      </c>
    </row>
    <row r="81" spans="1:10" ht="12.75" customHeight="1">
      <c r="A81" s="83"/>
      <c r="B81" s="83"/>
      <c r="C81" s="84"/>
      <c r="D81" s="84"/>
      <c r="E81" s="84"/>
      <c r="F81" s="84"/>
      <c r="G81" s="84"/>
      <c r="H81" s="84"/>
      <c r="I81" s="84"/>
      <c r="J81" s="84"/>
    </row>
    <row r="82" spans="1:10" s="71" customFormat="1" ht="12.75" customHeight="1">
      <c r="A82" s="81" t="s">
        <v>2829</v>
      </c>
      <c r="B82" s="81" t="s">
        <v>2830</v>
      </c>
      <c r="C82" s="86"/>
      <c r="D82" s="86"/>
      <c r="E82" s="86"/>
      <c r="F82" s="86"/>
      <c r="G82" s="86"/>
      <c r="H82" s="86"/>
      <c r="I82" s="86"/>
      <c r="J82" s="86"/>
    </row>
    <row r="83" spans="1:10" ht="12.75" customHeight="1">
      <c r="A83" s="83"/>
      <c r="B83" s="83"/>
      <c r="C83" s="84"/>
      <c r="D83" s="84"/>
      <c r="E83" s="84"/>
      <c r="F83" s="84"/>
      <c r="G83" s="84"/>
      <c r="H83" s="84"/>
      <c r="I83" s="84"/>
      <c r="J83" s="84"/>
    </row>
    <row r="84" spans="1:10" ht="12.75" customHeight="1">
      <c r="A84" s="83"/>
      <c r="B84" s="83"/>
      <c r="C84" s="84"/>
      <c r="D84" s="84"/>
      <c r="E84" s="84"/>
      <c r="F84" s="84"/>
      <c r="G84" s="84"/>
      <c r="H84" s="84"/>
      <c r="I84" s="84"/>
      <c r="J84" s="84"/>
    </row>
    <row r="85" spans="1:10" ht="12.75" customHeight="1">
      <c r="A85" s="83"/>
      <c r="B85" s="81" t="s">
        <v>2803</v>
      </c>
      <c r="C85" s="84">
        <v>111</v>
      </c>
      <c r="D85" s="84">
        <v>21</v>
      </c>
      <c r="E85" s="84">
        <v>0</v>
      </c>
      <c r="F85" s="84" t="s">
        <v>2812</v>
      </c>
      <c r="G85" s="84">
        <v>61</v>
      </c>
      <c r="H85" s="84" t="s">
        <v>2812</v>
      </c>
      <c r="I85" s="84">
        <v>10</v>
      </c>
      <c r="J85" s="84">
        <v>18</v>
      </c>
    </row>
    <row r="86" spans="1:10" ht="12.75" customHeight="1">
      <c r="A86" s="83"/>
      <c r="B86" s="81" t="s">
        <v>2804</v>
      </c>
      <c r="C86" s="84" t="s">
        <v>2805</v>
      </c>
      <c r="D86" s="84">
        <v>1</v>
      </c>
      <c r="E86" s="84">
        <v>0</v>
      </c>
      <c r="F86" s="84">
        <v>0</v>
      </c>
      <c r="G86" s="84">
        <v>44</v>
      </c>
      <c r="H86" s="84">
        <v>0</v>
      </c>
      <c r="I86" s="84">
        <v>10</v>
      </c>
      <c r="J86" s="84" t="s">
        <v>2805</v>
      </c>
    </row>
    <row r="87" spans="1:10" ht="12.75" customHeight="1">
      <c r="A87" s="83"/>
      <c r="B87" s="83" t="s">
        <v>2806</v>
      </c>
      <c r="C87" s="84" t="s">
        <v>2805</v>
      </c>
      <c r="D87" s="84">
        <v>1</v>
      </c>
      <c r="E87" s="84">
        <v>0</v>
      </c>
      <c r="F87" s="84">
        <v>0</v>
      </c>
      <c r="G87" s="84">
        <v>8</v>
      </c>
      <c r="H87" s="84">
        <v>0</v>
      </c>
      <c r="I87" s="84">
        <v>1</v>
      </c>
      <c r="J87" s="84" t="s">
        <v>2805</v>
      </c>
    </row>
    <row r="88" spans="1:10" ht="12.75" customHeight="1">
      <c r="A88" s="83"/>
      <c r="B88" s="83" t="s">
        <v>2807</v>
      </c>
      <c r="C88" s="84" t="s">
        <v>2805</v>
      </c>
      <c r="D88" s="84">
        <v>0</v>
      </c>
      <c r="E88" s="84">
        <v>0</v>
      </c>
      <c r="F88" s="84">
        <v>0</v>
      </c>
      <c r="G88" s="84">
        <v>36</v>
      </c>
      <c r="H88" s="84">
        <v>0</v>
      </c>
      <c r="I88" s="84">
        <v>9</v>
      </c>
      <c r="J88" s="84" t="s">
        <v>2805</v>
      </c>
    </row>
    <row r="89" spans="1:10" ht="12.75" customHeight="1">
      <c r="A89" s="83"/>
      <c r="B89" s="81" t="s">
        <v>2808</v>
      </c>
      <c r="C89" s="84" t="s">
        <v>2805</v>
      </c>
      <c r="D89" s="84">
        <v>19</v>
      </c>
      <c r="E89" s="84">
        <v>0</v>
      </c>
      <c r="F89" s="84" t="s">
        <v>2812</v>
      </c>
      <c r="G89" s="84">
        <v>17</v>
      </c>
      <c r="H89" s="84" t="s">
        <v>2812</v>
      </c>
      <c r="I89" s="84">
        <v>0</v>
      </c>
      <c r="J89" s="84" t="s">
        <v>2805</v>
      </c>
    </row>
    <row r="90" spans="1:10" ht="12.75" customHeight="1">
      <c r="A90" s="83"/>
      <c r="B90" s="83" t="s">
        <v>2810</v>
      </c>
      <c r="C90" s="84" t="s">
        <v>2805</v>
      </c>
      <c r="D90" s="84" t="s">
        <v>2812</v>
      </c>
      <c r="E90" s="84">
        <v>0</v>
      </c>
      <c r="F90" s="84">
        <v>0</v>
      </c>
      <c r="G90" s="84">
        <v>16</v>
      </c>
      <c r="H90" s="84" t="s">
        <v>2812</v>
      </c>
      <c r="I90" s="84">
        <v>0</v>
      </c>
      <c r="J90" s="84" t="s">
        <v>2805</v>
      </c>
    </row>
    <row r="91" spans="1:10" ht="12.75" customHeight="1">
      <c r="A91" s="83"/>
      <c r="B91" s="83" t="s">
        <v>2811</v>
      </c>
      <c r="C91" s="84" t="s">
        <v>2805</v>
      </c>
      <c r="D91" s="84">
        <v>4</v>
      </c>
      <c r="E91" s="84">
        <v>0</v>
      </c>
      <c r="F91" s="84">
        <v>0</v>
      </c>
      <c r="G91" s="84" t="s">
        <v>2812</v>
      </c>
      <c r="H91" s="84">
        <v>0</v>
      </c>
      <c r="I91" s="84">
        <v>0</v>
      </c>
      <c r="J91" s="84" t="s">
        <v>2805</v>
      </c>
    </row>
    <row r="92" spans="1:10" ht="12.75" customHeight="1">
      <c r="A92" s="83"/>
      <c r="B92" s="83" t="s">
        <v>2813</v>
      </c>
      <c r="C92" s="84" t="s">
        <v>2805</v>
      </c>
      <c r="D92" s="84">
        <v>15</v>
      </c>
      <c r="E92" s="84">
        <v>0</v>
      </c>
      <c r="F92" s="84" t="s">
        <v>2812</v>
      </c>
      <c r="G92" s="84">
        <v>0</v>
      </c>
      <c r="H92" s="84" t="s">
        <v>2812</v>
      </c>
      <c r="I92" s="84">
        <v>0</v>
      </c>
      <c r="J92" s="84" t="s">
        <v>2805</v>
      </c>
    </row>
    <row r="93" spans="1:10" ht="12.75" customHeight="1">
      <c r="A93" s="83"/>
      <c r="B93" s="83" t="s">
        <v>2814</v>
      </c>
      <c r="C93" s="84" t="s">
        <v>2805</v>
      </c>
      <c r="D93" s="84" t="s">
        <v>2812</v>
      </c>
      <c r="E93" s="84" t="s">
        <v>2805</v>
      </c>
      <c r="F93" s="84" t="s">
        <v>2805</v>
      </c>
      <c r="G93" s="84" t="s">
        <v>2805</v>
      </c>
      <c r="H93" s="84" t="s">
        <v>2805</v>
      </c>
      <c r="I93" s="84" t="s">
        <v>2805</v>
      </c>
      <c r="J93" s="84" t="s">
        <v>2805</v>
      </c>
    </row>
    <row r="94" spans="1:10" ht="12.75" customHeight="1">
      <c r="A94" s="83"/>
      <c r="B94" s="83" t="s">
        <v>2815</v>
      </c>
      <c r="C94" s="84" t="s">
        <v>2805</v>
      </c>
      <c r="D94" s="84">
        <v>0</v>
      </c>
      <c r="E94" s="84">
        <v>0</v>
      </c>
      <c r="F94" s="84" t="s">
        <v>2812</v>
      </c>
      <c r="G94" s="84" t="s">
        <v>2812</v>
      </c>
      <c r="H94" s="84">
        <v>0</v>
      </c>
      <c r="I94" s="84">
        <v>0</v>
      </c>
      <c r="J94" s="84" t="s">
        <v>2805</v>
      </c>
    </row>
    <row r="95" spans="1:10" ht="12.75" customHeight="1">
      <c r="A95" s="83"/>
      <c r="B95" s="81" t="s">
        <v>2816</v>
      </c>
      <c r="C95" s="84" t="s">
        <v>2805</v>
      </c>
      <c r="D95" s="84">
        <v>1</v>
      </c>
      <c r="E95" s="84">
        <v>0</v>
      </c>
      <c r="F95" s="84" t="s">
        <v>2812</v>
      </c>
      <c r="G95" s="84">
        <v>1</v>
      </c>
      <c r="H95" s="84" t="s">
        <v>2812</v>
      </c>
      <c r="I95" s="84">
        <v>0</v>
      </c>
      <c r="J95" s="84" t="s">
        <v>2805</v>
      </c>
    </row>
    <row r="96" spans="1:10" ht="12.75" customHeight="1">
      <c r="A96" s="83"/>
      <c r="B96" s="83" t="s">
        <v>2817</v>
      </c>
      <c r="C96" s="84" t="s">
        <v>2805</v>
      </c>
      <c r="D96" s="84" t="s">
        <v>2812</v>
      </c>
      <c r="E96" s="84">
        <v>0</v>
      </c>
      <c r="F96" s="84" t="s">
        <v>2812</v>
      </c>
      <c r="G96" s="84" t="s">
        <v>2812</v>
      </c>
      <c r="H96" s="84" t="s">
        <v>2812</v>
      </c>
      <c r="I96" s="84">
        <v>0</v>
      </c>
      <c r="J96" s="84" t="s">
        <v>2805</v>
      </c>
    </row>
    <row r="97" spans="1:10" ht="12.75" customHeight="1">
      <c r="A97" s="83"/>
      <c r="B97" s="83" t="s">
        <v>2818</v>
      </c>
      <c r="C97" s="84" t="s">
        <v>2805</v>
      </c>
      <c r="D97" s="84" t="s">
        <v>2812</v>
      </c>
      <c r="E97" s="84" t="s">
        <v>2805</v>
      </c>
      <c r="F97" s="84" t="s">
        <v>2805</v>
      </c>
      <c r="G97" s="84" t="s">
        <v>2805</v>
      </c>
      <c r="H97" s="84" t="s">
        <v>2805</v>
      </c>
      <c r="I97" s="84" t="s">
        <v>2805</v>
      </c>
      <c r="J97" s="84" t="s">
        <v>2805</v>
      </c>
    </row>
    <row r="98" spans="1:10" ht="12.75" customHeight="1">
      <c r="A98" s="83"/>
      <c r="B98" s="83" t="s">
        <v>2819</v>
      </c>
      <c r="C98" s="84" t="s">
        <v>2805</v>
      </c>
      <c r="D98" s="84" t="s">
        <v>2812</v>
      </c>
      <c r="E98" s="84">
        <v>0</v>
      </c>
      <c r="F98" s="84" t="s">
        <v>2812</v>
      </c>
      <c r="G98" s="84" t="s">
        <v>2812</v>
      </c>
      <c r="H98" s="84" t="s">
        <v>2812</v>
      </c>
      <c r="I98" s="84">
        <v>0</v>
      </c>
      <c r="J98" s="84" t="s">
        <v>2805</v>
      </c>
    </row>
    <row r="99" spans="1:10" ht="12.75" customHeight="1">
      <c r="A99" s="83"/>
      <c r="B99" s="83" t="s">
        <v>2820</v>
      </c>
      <c r="C99" s="84" t="s">
        <v>2805</v>
      </c>
      <c r="D99" s="84" t="s">
        <v>2812</v>
      </c>
      <c r="E99" s="84" t="s">
        <v>2805</v>
      </c>
      <c r="F99" s="84" t="s">
        <v>2812</v>
      </c>
      <c r="G99" s="84" t="s">
        <v>2812</v>
      </c>
      <c r="H99" s="84" t="s">
        <v>2812</v>
      </c>
      <c r="I99" s="84" t="s">
        <v>2805</v>
      </c>
      <c r="J99" s="84" t="s">
        <v>2805</v>
      </c>
    </row>
    <row r="100" spans="1:10" ht="12.75" customHeight="1">
      <c r="A100" s="83"/>
      <c r="B100" s="83" t="s">
        <v>2821</v>
      </c>
      <c r="C100" s="84" t="s">
        <v>2805</v>
      </c>
      <c r="D100" s="84" t="s">
        <v>2805</v>
      </c>
      <c r="E100" s="84">
        <v>0</v>
      </c>
      <c r="F100" s="84" t="s">
        <v>2812</v>
      </c>
      <c r="G100" s="84" t="s">
        <v>2812</v>
      </c>
      <c r="H100" s="84">
        <v>0</v>
      </c>
      <c r="I100" s="84">
        <v>0</v>
      </c>
      <c r="J100" s="84" t="s">
        <v>2805</v>
      </c>
    </row>
    <row r="101" spans="1:10" ht="12.75" customHeight="1">
      <c r="A101" s="83"/>
      <c r="B101" s="83" t="s">
        <v>2822</v>
      </c>
      <c r="C101" s="84" t="s">
        <v>2805</v>
      </c>
      <c r="D101" s="84">
        <v>0</v>
      </c>
      <c r="E101" s="84">
        <v>0</v>
      </c>
      <c r="F101" s="84" t="s">
        <v>2812</v>
      </c>
      <c r="G101" s="84">
        <v>0</v>
      </c>
      <c r="H101" s="84" t="s">
        <v>2812</v>
      </c>
      <c r="I101" s="84">
        <v>0</v>
      </c>
      <c r="J101" s="84" t="s">
        <v>2805</v>
      </c>
    </row>
    <row r="102" spans="1:10" ht="12.75" customHeight="1">
      <c r="A102" s="83"/>
      <c r="B102" s="81" t="s">
        <v>2823</v>
      </c>
      <c r="C102" s="84">
        <v>18</v>
      </c>
      <c r="D102" s="84">
        <v>0</v>
      </c>
      <c r="E102" s="84">
        <v>0</v>
      </c>
      <c r="F102" s="84">
        <v>0</v>
      </c>
      <c r="G102" s="84">
        <v>0</v>
      </c>
      <c r="H102" s="84">
        <v>0</v>
      </c>
      <c r="I102" s="84">
        <v>0</v>
      </c>
      <c r="J102" s="84">
        <v>18</v>
      </c>
    </row>
    <row r="103" spans="1:10" ht="12.75" customHeight="1">
      <c r="A103" s="83"/>
      <c r="B103" s="83"/>
      <c r="C103" s="84"/>
      <c r="D103" s="84"/>
      <c r="E103" s="84"/>
      <c r="F103" s="84"/>
      <c r="G103" s="84"/>
      <c r="H103" s="84"/>
      <c r="I103" s="84"/>
      <c r="J103" s="84"/>
    </row>
    <row r="104" spans="1:10" s="71" customFormat="1" ht="12.75" customHeight="1">
      <c r="A104" s="81" t="s">
        <v>2831</v>
      </c>
      <c r="B104" s="81" t="s">
        <v>2832</v>
      </c>
      <c r="C104" s="86"/>
      <c r="D104" s="86"/>
      <c r="E104" s="86"/>
      <c r="F104" s="86"/>
      <c r="G104" s="86"/>
      <c r="H104" s="86"/>
      <c r="I104" s="86"/>
      <c r="J104" s="86"/>
    </row>
    <row r="105" spans="1:10" ht="12.75" customHeight="1">
      <c r="A105" s="83"/>
      <c r="B105" s="83"/>
      <c r="C105" s="84"/>
      <c r="D105" s="84"/>
      <c r="E105" s="84"/>
      <c r="F105" s="84"/>
      <c r="G105" s="84"/>
      <c r="H105" s="84"/>
      <c r="I105" s="84"/>
      <c r="J105" s="84"/>
    </row>
    <row r="106" spans="1:10" ht="12.75" customHeight="1">
      <c r="A106" s="83"/>
      <c r="B106" s="83"/>
      <c r="C106" s="84"/>
      <c r="D106" s="84"/>
      <c r="E106" s="84"/>
      <c r="F106" s="84"/>
      <c r="G106" s="84"/>
      <c r="H106" s="84"/>
      <c r="I106" s="84"/>
      <c r="J106" s="84"/>
    </row>
    <row r="107" spans="1:10" ht="12.75" customHeight="1">
      <c r="A107" s="83"/>
      <c r="B107" s="81" t="s">
        <v>2803</v>
      </c>
      <c r="C107" s="84">
        <v>106</v>
      </c>
      <c r="D107" s="84">
        <v>4</v>
      </c>
      <c r="E107" s="84" t="s">
        <v>2812</v>
      </c>
      <c r="F107" s="84" t="s">
        <v>2812</v>
      </c>
      <c r="G107" s="84">
        <v>33</v>
      </c>
      <c r="H107" s="84" t="s">
        <v>2812</v>
      </c>
      <c r="I107" s="84">
        <v>29</v>
      </c>
      <c r="J107" s="84">
        <v>40</v>
      </c>
    </row>
    <row r="108" spans="1:10" ht="12.75" customHeight="1">
      <c r="A108" s="83"/>
      <c r="B108" s="81" t="s">
        <v>2804</v>
      </c>
      <c r="C108" s="84" t="s">
        <v>2805</v>
      </c>
      <c r="D108" s="84">
        <v>1</v>
      </c>
      <c r="E108" s="84" t="s">
        <v>2812</v>
      </c>
      <c r="F108" s="84" t="s">
        <v>2812</v>
      </c>
      <c r="G108" s="84">
        <v>25</v>
      </c>
      <c r="H108" s="84">
        <v>0</v>
      </c>
      <c r="I108" s="84">
        <v>18</v>
      </c>
      <c r="J108" s="84" t="s">
        <v>2805</v>
      </c>
    </row>
    <row r="109" spans="1:10" ht="12.75" customHeight="1">
      <c r="A109" s="83"/>
      <c r="B109" s="83" t="s">
        <v>2806</v>
      </c>
      <c r="C109" s="84" t="s">
        <v>2805</v>
      </c>
      <c r="D109" s="84">
        <v>1</v>
      </c>
      <c r="E109" s="84" t="s">
        <v>2812</v>
      </c>
      <c r="F109" s="84" t="s">
        <v>2812</v>
      </c>
      <c r="G109" s="84">
        <v>4</v>
      </c>
      <c r="H109" s="84">
        <v>0</v>
      </c>
      <c r="I109" s="84" t="s">
        <v>2812</v>
      </c>
      <c r="J109" s="84" t="s">
        <v>2805</v>
      </c>
    </row>
    <row r="110" spans="1:10" ht="12.75" customHeight="1">
      <c r="A110" s="83"/>
      <c r="B110" s="83" t="s">
        <v>2807</v>
      </c>
      <c r="C110" s="84" t="s">
        <v>2805</v>
      </c>
      <c r="D110" s="84">
        <v>0</v>
      </c>
      <c r="E110" s="84" t="s">
        <v>2812</v>
      </c>
      <c r="F110" s="84" t="s">
        <v>2812</v>
      </c>
      <c r="G110" s="84">
        <v>20</v>
      </c>
      <c r="H110" s="84">
        <v>0</v>
      </c>
      <c r="I110" s="84">
        <v>18</v>
      </c>
      <c r="J110" s="84" t="s">
        <v>2805</v>
      </c>
    </row>
    <row r="111" spans="1:10" ht="12.75" customHeight="1">
      <c r="A111" s="83"/>
      <c r="B111" s="81" t="s">
        <v>2808</v>
      </c>
      <c r="C111" s="84" t="s">
        <v>2805</v>
      </c>
      <c r="D111" s="84">
        <v>3</v>
      </c>
      <c r="E111" s="84">
        <v>0</v>
      </c>
      <c r="F111" s="84" t="s">
        <v>2812</v>
      </c>
      <c r="G111" s="84">
        <v>8</v>
      </c>
      <c r="H111" s="84" t="s">
        <v>2812</v>
      </c>
      <c r="I111" s="84">
        <v>10</v>
      </c>
      <c r="J111" s="84" t="s">
        <v>2805</v>
      </c>
    </row>
    <row r="112" spans="1:10" ht="12.75" customHeight="1">
      <c r="A112" s="83"/>
      <c r="B112" s="83" t="s">
        <v>2810</v>
      </c>
      <c r="C112" s="84" t="s">
        <v>2805</v>
      </c>
      <c r="D112" s="84" t="s">
        <v>2812</v>
      </c>
      <c r="E112" s="84">
        <v>0</v>
      </c>
      <c r="F112" s="84">
        <v>0</v>
      </c>
      <c r="G112" s="84">
        <v>8</v>
      </c>
      <c r="H112" s="84">
        <v>0</v>
      </c>
      <c r="I112" s="84">
        <v>10</v>
      </c>
      <c r="J112" s="84" t="s">
        <v>2805</v>
      </c>
    </row>
    <row r="113" spans="1:10" ht="12.75" customHeight="1">
      <c r="A113" s="83"/>
      <c r="B113" s="83" t="s">
        <v>2811</v>
      </c>
      <c r="C113" s="84" t="s">
        <v>2805</v>
      </c>
      <c r="D113" s="84" t="s">
        <v>2812</v>
      </c>
      <c r="E113" s="84">
        <v>0</v>
      </c>
      <c r="F113" s="84">
        <v>0</v>
      </c>
      <c r="G113" s="84" t="s">
        <v>2812</v>
      </c>
      <c r="H113" s="84">
        <v>0</v>
      </c>
      <c r="I113" s="84">
        <v>0</v>
      </c>
      <c r="J113" s="84" t="s">
        <v>2805</v>
      </c>
    </row>
    <row r="114" spans="1:10" ht="12.75" customHeight="1">
      <c r="A114" s="83"/>
      <c r="B114" s="83" t="s">
        <v>2813</v>
      </c>
      <c r="C114" s="84" t="s">
        <v>2805</v>
      </c>
      <c r="D114" s="84">
        <v>3</v>
      </c>
      <c r="E114" s="84">
        <v>0</v>
      </c>
      <c r="F114" s="84" t="s">
        <v>2812</v>
      </c>
      <c r="G114" s="84" t="s">
        <v>2812</v>
      </c>
      <c r="H114" s="84">
        <v>0</v>
      </c>
      <c r="I114" s="84">
        <v>0</v>
      </c>
      <c r="J114" s="84" t="s">
        <v>2805</v>
      </c>
    </row>
    <row r="115" spans="1:10" ht="12.75" customHeight="1">
      <c r="A115" s="83"/>
      <c r="B115" s="83" t="s">
        <v>2814</v>
      </c>
      <c r="C115" s="84" t="s">
        <v>2805</v>
      </c>
      <c r="D115" s="84" t="s">
        <v>2812</v>
      </c>
      <c r="E115" s="84" t="s">
        <v>2805</v>
      </c>
      <c r="F115" s="84" t="s">
        <v>2805</v>
      </c>
      <c r="G115" s="84" t="s">
        <v>2805</v>
      </c>
      <c r="H115" s="84" t="s">
        <v>2805</v>
      </c>
      <c r="I115" s="84" t="s">
        <v>2805</v>
      </c>
      <c r="J115" s="84" t="s">
        <v>2805</v>
      </c>
    </row>
    <row r="116" spans="1:10" ht="12.75" customHeight="1">
      <c r="A116" s="83"/>
      <c r="B116" s="83" t="s">
        <v>2815</v>
      </c>
      <c r="C116" s="84" t="s">
        <v>2805</v>
      </c>
      <c r="D116" s="84" t="s">
        <v>2812</v>
      </c>
      <c r="E116" s="84">
        <v>0</v>
      </c>
      <c r="F116" s="84" t="s">
        <v>2812</v>
      </c>
      <c r="G116" s="84" t="s">
        <v>2812</v>
      </c>
      <c r="H116" s="84" t="s">
        <v>2812</v>
      </c>
      <c r="I116" s="84">
        <v>0</v>
      </c>
      <c r="J116" s="84" t="s">
        <v>2805</v>
      </c>
    </row>
    <row r="117" spans="1:10" ht="12.75" customHeight="1">
      <c r="A117" s="83"/>
      <c r="B117" s="81" t="s">
        <v>2816</v>
      </c>
      <c r="C117" s="84" t="s">
        <v>2805</v>
      </c>
      <c r="D117" s="84" t="s">
        <v>2812</v>
      </c>
      <c r="E117" s="84">
        <v>0</v>
      </c>
      <c r="F117" s="84" t="s">
        <v>2812</v>
      </c>
      <c r="G117" s="84" t="s">
        <v>2812</v>
      </c>
      <c r="H117" s="84" t="s">
        <v>2812</v>
      </c>
      <c r="I117" s="84" t="s">
        <v>2812</v>
      </c>
      <c r="J117" s="84" t="s">
        <v>2805</v>
      </c>
    </row>
    <row r="118" spans="1:10" ht="12.75" customHeight="1">
      <c r="A118" s="83"/>
      <c r="B118" s="83" t="s">
        <v>2817</v>
      </c>
      <c r="C118" s="84" t="s">
        <v>2805</v>
      </c>
      <c r="D118" s="84" t="s">
        <v>2812</v>
      </c>
      <c r="E118" s="84">
        <v>0</v>
      </c>
      <c r="F118" s="84">
        <v>0</v>
      </c>
      <c r="G118" s="84" t="s">
        <v>2812</v>
      </c>
      <c r="H118" s="84" t="s">
        <v>2812</v>
      </c>
      <c r="I118" s="84">
        <v>0</v>
      </c>
      <c r="J118" s="84" t="s">
        <v>2805</v>
      </c>
    </row>
    <row r="119" spans="1:10" ht="12.75" customHeight="1">
      <c r="A119" s="83"/>
      <c r="B119" s="83" t="s">
        <v>2818</v>
      </c>
      <c r="C119" s="84" t="s">
        <v>2805</v>
      </c>
      <c r="D119" s="84" t="s">
        <v>2812</v>
      </c>
      <c r="E119" s="84" t="s">
        <v>2805</v>
      </c>
      <c r="F119" s="84" t="s">
        <v>2805</v>
      </c>
      <c r="G119" s="84" t="s">
        <v>2805</v>
      </c>
      <c r="H119" s="84" t="s">
        <v>2805</v>
      </c>
      <c r="I119" s="84" t="s">
        <v>2805</v>
      </c>
      <c r="J119" s="84" t="s">
        <v>2805</v>
      </c>
    </row>
    <row r="120" spans="1:10" ht="12.75" customHeight="1">
      <c r="A120" s="83"/>
      <c r="B120" s="83" t="s">
        <v>2819</v>
      </c>
      <c r="C120" s="84" t="s">
        <v>2805</v>
      </c>
      <c r="D120" s="84" t="s">
        <v>2812</v>
      </c>
      <c r="E120" s="84">
        <v>0</v>
      </c>
      <c r="F120" s="84" t="s">
        <v>2812</v>
      </c>
      <c r="G120" s="84" t="s">
        <v>2812</v>
      </c>
      <c r="H120" s="84" t="s">
        <v>2812</v>
      </c>
      <c r="I120" s="84">
        <v>0</v>
      </c>
      <c r="J120" s="84" t="s">
        <v>2805</v>
      </c>
    </row>
    <row r="121" spans="1:10" ht="12.75" customHeight="1">
      <c r="A121" s="83"/>
      <c r="B121" s="83" t="s">
        <v>2820</v>
      </c>
      <c r="C121" s="84" t="s">
        <v>2805</v>
      </c>
      <c r="D121" s="84" t="s">
        <v>2812</v>
      </c>
      <c r="E121" s="84" t="s">
        <v>2805</v>
      </c>
      <c r="F121" s="84" t="s">
        <v>2812</v>
      </c>
      <c r="G121" s="84" t="s">
        <v>2812</v>
      </c>
      <c r="H121" s="84" t="s">
        <v>2812</v>
      </c>
      <c r="I121" s="84" t="s">
        <v>2805</v>
      </c>
      <c r="J121" s="84" t="s">
        <v>2805</v>
      </c>
    </row>
    <row r="122" spans="1:10" ht="12.75" customHeight="1">
      <c r="A122" s="83"/>
      <c r="B122" s="83" t="s">
        <v>2821</v>
      </c>
      <c r="C122" s="84" t="s">
        <v>2805</v>
      </c>
      <c r="D122" s="84" t="s">
        <v>2805</v>
      </c>
      <c r="E122" s="84">
        <v>0</v>
      </c>
      <c r="F122" s="84" t="s">
        <v>2812</v>
      </c>
      <c r="G122" s="84">
        <v>0</v>
      </c>
      <c r="H122" s="84">
        <v>0</v>
      </c>
      <c r="I122" s="84" t="s">
        <v>2812</v>
      </c>
      <c r="J122" s="84" t="s">
        <v>2805</v>
      </c>
    </row>
    <row r="123" spans="1:10" ht="12.75" customHeight="1">
      <c r="A123" s="83"/>
      <c r="B123" s="83" t="s">
        <v>2822</v>
      </c>
      <c r="C123" s="84" t="s">
        <v>2805</v>
      </c>
      <c r="D123" s="84" t="s">
        <v>2812</v>
      </c>
      <c r="E123" s="84">
        <v>0</v>
      </c>
      <c r="F123" s="84" t="s">
        <v>2812</v>
      </c>
      <c r="G123" s="84">
        <v>0</v>
      </c>
      <c r="H123" s="84">
        <v>0</v>
      </c>
      <c r="I123" s="84">
        <v>0</v>
      </c>
      <c r="J123" s="84" t="s">
        <v>2805</v>
      </c>
    </row>
    <row r="124" spans="1:10" ht="12.75" customHeight="1">
      <c r="A124" s="83"/>
      <c r="B124" s="81" t="s">
        <v>2823</v>
      </c>
      <c r="C124" s="84">
        <v>40</v>
      </c>
      <c r="D124" s="84">
        <v>0</v>
      </c>
      <c r="E124" s="84">
        <v>0</v>
      </c>
      <c r="F124" s="84">
        <v>0</v>
      </c>
      <c r="G124" s="84">
        <v>0</v>
      </c>
      <c r="H124" s="84">
        <v>0</v>
      </c>
      <c r="I124" s="84">
        <v>0</v>
      </c>
      <c r="J124" s="84">
        <v>40</v>
      </c>
    </row>
    <row r="125" spans="1:10" ht="12.75" customHeight="1">
      <c r="A125" s="83"/>
      <c r="B125" s="83"/>
      <c r="C125" s="84"/>
      <c r="D125" s="84"/>
      <c r="E125" s="84"/>
      <c r="F125" s="84"/>
      <c r="G125" s="84"/>
      <c r="H125" s="84"/>
      <c r="I125" s="84"/>
      <c r="J125" s="84"/>
    </row>
    <row r="126" spans="1:10" s="71" customFormat="1" ht="12.75" customHeight="1">
      <c r="A126" s="81" t="s">
        <v>2833</v>
      </c>
      <c r="B126" s="81" t="s">
        <v>2834</v>
      </c>
      <c r="C126" s="86"/>
      <c r="D126" s="86"/>
      <c r="E126" s="86"/>
      <c r="F126" s="86"/>
      <c r="G126" s="86"/>
      <c r="H126" s="86"/>
      <c r="I126" s="86"/>
      <c r="J126" s="86"/>
    </row>
    <row r="127" spans="1:10" ht="12.75" customHeight="1">
      <c r="A127" s="83"/>
      <c r="B127" s="83"/>
      <c r="C127" s="84"/>
      <c r="D127" s="84"/>
      <c r="E127" s="84"/>
      <c r="F127" s="84"/>
      <c r="G127" s="84"/>
      <c r="H127" s="84"/>
      <c r="I127" s="84"/>
      <c r="J127" s="84"/>
    </row>
    <row r="128" spans="1:10" ht="12.75" customHeight="1">
      <c r="A128" s="83"/>
      <c r="B128" s="83"/>
      <c r="C128" s="84"/>
      <c r="D128" s="84"/>
      <c r="E128" s="84"/>
      <c r="F128" s="84"/>
      <c r="G128" s="84"/>
      <c r="H128" s="84"/>
      <c r="I128" s="84"/>
      <c r="J128" s="84"/>
    </row>
    <row r="129" spans="1:10" ht="12.75" customHeight="1">
      <c r="A129" s="83"/>
      <c r="B129" s="81" t="s">
        <v>2803</v>
      </c>
      <c r="C129" s="84">
        <v>129</v>
      </c>
      <c r="D129" s="84">
        <v>34</v>
      </c>
      <c r="E129" s="84" t="s">
        <v>2812</v>
      </c>
      <c r="F129" s="84" t="s">
        <v>2812</v>
      </c>
      <c r="G129" s="84">
        <v>92</v>
      </c>
      <c r="H129" s="84">
        <v>1</v>
      </c>
      <c r="I129" s="84">
        <v>0</v>
      </c>
      <c r="J129" s="84">
        <v>2</v>
      </c>
    </row>
    <row r="130" spans="1:10" ht="12.75" customHeight="1">
      <c r="A130" s="83"/>
      <c r="B130" s="81" t="s">
        <v>2804</v>
      </c>
      <c r="C130" s="84" t="s">
        <v>2805</v>
      </c>
      <c r="D130" s="84">
        <v>1</v>
      </c>
      <c r="E130" s="84">
        <v>0</v>
      </c>
      <c r="F130" s="84" t="s">
        <v>2812</v>
      </c>
      <c r="G130" s="84">
        <v>59</v>
      </c>
      <c r="H130" s="84">
        <v>1</v>
      </c>
      <c r="I130" s="84">
        <v>0</v>
      </c>
      <c r="J130" s="84" t="s">
        <v>2805</v>
      </c>
    </row>
    <row r="131" spans="1:10" ht="12.75" customHeight="1">
      <c r="A131" s="83"/>
      <c r="B131" s="83" t="s">
        <v>2806</v>
      </c>
      <c r="C131" s="84" t="s">
        <v>2805</v>
      </c>
      <c r="D131" s="84">
        <v>1</v>
      </c>
      <c r="E131" s="84">
        <v>0</v>
      </c>
      <c r="F131" s="84">
        <v>0</v>
      </c>
      <c r="G131" s="84">
        <v>18</v>
      </c>
      <c r="H131" s="84" t="s">
        <v>2812</v>
      </c>
      <c r="I131" s="84">
        <v>0</v>
      </c>
      <c r="J131" s="84" t="s">
        <v>2805</v>
      </c>
    </row>
    <row r="132" spans="1:10" ht="12.75" customHeight="1">
      <c r="A132" s="83"/>
      <c r="B132" s="83" t="s">
        <v>2807</v>
      </c>
      <c r="C132" s="84" t="s">
        <v>2805</v>
      </c>
      <c r="D132" s="84">
        <v>0</v>
      </c>
      <c r="E132" s="84">
        <v>0</v>
      </c>
      <c r="F132" s="84" t="s">
        <v>2812</v>
      </c>
      <c r="G132" s="84">
        <v>41</v>
      </c>
      <c r="H132" s="84" t="s">
        <v>2812</v>
      </c>
      <c r="I132" s="84">
        <v>0</v>
      </c>
      <c r="J132" s="84" t="s">
        <v>2805</v>
      </c>
    </row>
    <row r="133" spans="1:10" ht="12.75" customHeight="1">
      <c r="A133" s="83"/>
      <c r="B133" s="81" t="s">
        <v>2808</v>
      </c>
      <c r="C133" s="84" t="s">
        <v>2805</v>
      </c>
      <c r="D133" s="84">
        <v>26</v>
      </c>
      <c r="E133" s="84" t="s">
        <v>2812</v>
      </c>
      <c r="F133" s="84" t="s">
        <v>2812</v>
      </c>
      <c r="G133" s="84">
        <v>24</v>
      </c>
      <c r="H133" s="84" t="s">
        <v>2812</v>
      </c>
      <c r="I133" s="84">
        <v>0</v>
      </c>
      <c r="J133" s="84" t="s">
        <v>2805</v>
      </c>
    </row>
    <row r="134" spans="1:10" ht="12.75" customHeight="1">
      <c r="A134" s="83"/>
      <c r="B134" s="83" t="s">
        <v>2810</v>
      </c>
      <c r="C134" s="84" t="s">
        <v>2805</v>
      </c>
      <c r="D134" s="84">
        <v>1</v>
      </c>
      <c r="E134" s="84" t="s">
        <v>2812</v>
      </c>
      <c r="F134" s="84" t="s">
        <v>2812</v>
      </c>
      <c r="G134" s="84">
        <v>22</v>
      </c>
      <c r="H134" s="84" t="s">
        <v>2812</v>
      </c>
      <c r="I134" s="84">
        <v>0</v>
      </c>
      <c r="J134" s="84" t="s">
        <v>2805</v>
      </c>
    </row>
    <row r="135" spans="1:10" ht="12.75" customHeight="1">
      <c r="A135" s="83"/>
      <c r="B135" s="83" t="s">
        <v>2811</v>
      </c>
      <c r="C135" s="84" t="s">
        <v>2805</v>
      </c>
      <c r="D135" s="84">
        <v>13</v>
      </c>
      <c r="E135" s="84">
        <v>0</v>
      </c>
      <c r="F135" s="84" t="s">
        <v>2812</v>
      </c>
      <c r="G135" s="84">
        <v>1</v>
      </c>
      <c r="H135" s="84" t="s">
        <v>2812</v>
      </c>
      <c r="I135" s="84">
        <v>0</v>
      </c>
      <c r="J135" s="84" t="s">
        <v>2805</v>
      </c>
    </row>
    <row r="136" spans="1:10" ht="12.75" customHeight="1">
      <c r="A136" s="83"/>
      <c r="B136" s="83" t="s">
        <v>2813</v>
      </c>
      <c r="C136" s="84" t="s">
        <v>2805</v>
      </c>
      <c r="D136" s="84">
        <v>11</v>
      </c>
      <c r="E136" s="84">
        <v>0</v>
      </c>
      <c r="F136" s="84" t="s">
        <v>2812</v>
      </c>
      <c r="G136" s="84">
        <v>1</v>
      </c>
      <c r="H136" s="84" t="s">
        <v>2812</v>
      </c>
      <c r="I136" s="84">
        <v>0</v>
      </c>
      <c r="J136" s="84" t="s">
        <v>2805</v>
      </c>
    </row>
    <row r="137" spans="1:10" ht="12.75" customHeight="1">
      <c r="A137" s="83"/>
      <c r="B137" s="83" t="s">
        <v>2814</v>
      </c>
      <c r="C137" s="84" t="s">
        <v>2805</v>
      </c>
      <c r="D137" s="84" t="s">
        <v>2812</v>
      </c>
      <c r="E137" s="84" t="s">
        <v>2805</v>
      </c>
      <c r="F137" s="84" t="s">
        <v>2805</v>
      </c>
      <c r="G137" s="84" t="s">
        <v>2805</v>
      </c>
      <c r="H137" s="84" t="s">
        <v>2805</v>
      </c>
      <c r="I137" s="84" t="s">
        <v>2805</v>
      </c>
      <c r="J137" s="84" t="s">
        <v>2805</v>
      </c>
    </row>
    <row r="138" spans="1:10" ht="12.75" customHeight="1">
      <c r="A138" s="83"/>
      <c r="B138" s="83" t="s">
        <v>2815</v>
      </c>
      <c r="C138" s="84" t="s">
        <v>2805</v>
      </c>
      <c r="D138" s="84">
        <v>1</v>
      </c>
      <c r="E138" s="84">
        <v>0</v>
      </c>
      <c r="F138" s="84" t="s">
        <v>2812</v>
      </c>
      <c r="G138" s="84" t="s">
        <v>2812</v>
      </c>
      <c r="H138" s="84" t="s">
        <v>2812</v>
      </c>
      <c r="I138" s="84">
        <v>0</v>
      </c>
      <c r="J138" s="84" t="s">
        <v>2805</v>
      </c>
    </row>
    <row r="139" spans="1:10" ht="12.75" customHeight="1">
      <c r="A139" s="83"/>
      <c r="B139" s="81" t="s">
        <v>2816</v>
      </c>
      <c r="C139" s="84" t="s">
        <v>2805</v>
      </c>
      <c r="D139" s="84">
        <v>7</v>
      </c>
      <c r="E139" s="84" t="s">
        <v>2812</v>
      </c>
      <c r="F139" s="84" t="s">
        <v>2812</v>
      </c>
      <c r="G139" s="84">
        <v>8</v>
      </c>
      <c r="H139" s="84" t="s">
        <v>2812</v>
      </c>
      <c r="I139" s="84">
        <v>0</v>
      </c>
      <c r="J139" s="84" t="s">
        <v>2805</v>
      </c>
    </row>
    <row r="140" spans="1:10" ht="12.75" customHeight="1">
      <c r="A140" s="83"/>
      <c r="B140" s="83" t="s">
        <v>2817</v>
      </c>
      <c r="C140" s="84" t="s">
        <v>2805</v>
      </c>
      <c r="D140" s="84">
        <v>3</v>
      </c>
      <c r="E140" s="84" t="s">
        <v>2812</v>
      </c>
      <c r="F140" s="84" t="s">
        <v>2812</v>
      </c>
      <c r="G140" s="84">
        <v>6</v>
      </c>
      <c r="H140" s="84" t="s">
        <v>2812</v>
      </c>
      <c r="I140" s="84">
        <v>0</v>
      </c>
      <c r="J140" s="84" t="s">
        <v>2805</v>
      </c>
    </row>
    <row r="141" spans="1:10" ht="12.75" customHeight="1">
      <c r="A141" s="83"/>
      <c r="B141" s="83" t="s">
        <v>2818</v>
      </c>
      <c r="C141" s="84" t="s">
        <v>2805</v>
      </c>
      <c r="D141" s="84">
        <v>2</v>
      </c>
      <c r="E141" s="84" t="s">
        <v>2805</v>
      </c>
      <c r="F141" s="84" t="s">
        <v>2805</v>
      </c>
      <c r="G141" s="84" t="s">
        <v>2805</v>
      </c>
      <c r="H141" s="84" t="s">
        <v>2805</v>
      </c>
      <c r="I141" s="84" t="s">
        <v>2805</v>
      </c>
      <c r="J141" s="84" t="s">
        <v>2805</v>
      </c>
    </row>
    <row r="142" spans="1:10" ht="12.75" customHeight="1">
      <c r="A142" s="83"/>
      <c r="B142" s="83" t="s">
        <v>2819</v>
      </c>
      <c r="C142" s="84" t="s">
        <v>2805</v>
      </c>
      <c r="D142" s="84">
        <v>1</v>
      </c>
      <c r="E142" s="84">
        <v>0</v>
      </c>
      <c r="F142" s="84" t="s">
        <v>2812</v>
      </c>
      <c r="G142" s="84">
        <v>2</v>
      </c>
      <c r="H142" s="84" t="s">
        <v>2812</v>
      </c>
      <c r="I142" s="84">
        <v>0</v>
      </c>
      <c r="J142" s="84" t="s">
        <v>2805</v>
      </c>
    </row>
    <row r="143" spans="1:10" ht="12.75" customHeight="1">
      <c r="A143" s="83"/>
      <c r="B143" s="83" t="s">
        <v>2820</v>
      </c>
      <c r="C143" s="84" t="s">
        <v>2805</v>
      </c>
      <c r="D143" s="84" t="s">
        <v>2812</v>
      </c>
      <c r="E143" s="84" t="s">
        <v>2805</v>
      </c>
      <c r="F143" s="84" t="s">
        <v>2812</v>
      </c>
      <c r="G143" s="84" t="s">
        <v>2812</v>
      </c>
      <c r="H143" s="84" t="s">
        <v>2812</v>
      </c>
      <c r="I143" s="84" t="s">
        <v>2805</v>
      </c>
      <c r="J143" s="84" t="s">
        <v>2805</v>
      </c>
    </row>
    <row r="144" spans="1:10" ht="12.75" customHeight="1">
      <c r="A144" s="83"/>
      <c r="B144" s="83" t="s">
        <v>2821</v>
      </c>
      <c r="C144" s="84" t="s">
        <v>2805</v>
      </c>
      <c r="D144" s="84" t="s">
        <v>2805</v>
      </c>
      <c r="E144" s="84">
        <v>0</v>
      </c>
      <c r="F144" s="84" t="s">
        <v>2812</v>
      </c>
      <c r="G144" s="84" t="s">
        <v>2812</v>
      </c>
      <c r="H144" s="84" t="s">
        <v>2812</v>
      </c>
      <c r="I144" s="84">
        <v>0</v>
      </c>
      <c r="J144" s="84" t="s">
        <v>2805</v>
      </c>
    </row>
    <row r="145" spans="1:10" ht="12.75" customHeight="1">
      <c r="A145" s="83"/>
      <c r="B145" s="83" t="s">
        <v>2822</v>
      </c>
      <c r="C145" s="84" t="s">
        <v>2805</v>
      </c>
      <c r="D145" s="84" t="s">
        <v>2812</v>
      </c>
      <c r="E145" s="84">
        <v>0</v>
      </c>
      <c r="F145" s="84" t="s">
        <v>2812</v>
      </c>
      <c r="G145" s="84" t="s">
        <v>2812</v>
      </c>
      <c r="H145" s="84" t="s">
        <v>2812</v>
      </c>
      <c r="I145" s="84">
        <v>0</v>
      </c>
      <c r="J145" s="84" t="s">
        <v>2805</v>
      </c>
    </row>
    <row r="146" spans="1:10" ht="12.75" customHeight="1">
      <c r="A146" s="83"/>
      <c r="B146" s="81" t="s">
        <v>2823</v>
      </c>
      <c r="C146" s="84">
        <v>3</v>
      </c>
      <c r="D146" s="84" t="s">
        <v>2812</v>
      </c>
      <c r="E146" s="84">
        <v>0</v>
      </c>
      <c r="F146" s="84">
        <v>0</v>
      </c>
      <c r="G146" s="84">
        <v>1</v>
      </c>
      <c r="H146" s="84" t="s">
        <v>2812</v>
      </c>
      <c r="I146" s="84">
        <v>0</v>
      </c>
      <c r="J146" s="84">
        <v>2</v>
      </c>
    </row>
    <row r="147" spans="1:10" ht="12.75" customHeight="1">
      <c r="A147" s="83"/>
      <c r="B147" s="83"/>
      <c r="C147" s="84"/>
      <c r="D147" s="84"/>
      <c r="E147" s="84"/>
      <c r="F147" s="84"/>
      <c r="G147" s="84"/>
      <c r="H147" s="84"/>
      <c r="I147" s="84"/>
      <c r="J147" s="84"/>
    </row>
    <row r="148" spans="1:10" s="71" customFormat="1" ht="12.75" customHeight="1">
      <c r="A148" s="81" t="s">
        <v>2835</v>
      </c>
      <c r="B148" s="81" t="s">
        <v>2836</v>
      </c>
      <c r="C148" s="86"/>
      <c r="D148" s="86"/>
      <c r="E148" s="86"/>
      <c r="F148" s="86"/>
      <c r="G148" s="86"/>
      <c r="H148" s="86"/>
      <c r="I148" s="86"/>
      <c r="J148" s="86"/>
    </row>
    <row r="149" spans="1:10" ht="12.75" customHeight="1">
      <c r="A149" s="83"/>
      <c r="B149" s="83"/>
      <c r="C149" s="84"/>
      <c r="D149" s="84"/>
      <c r="E149" s="84"/>
      <c r="F149" s="84"/>
      <c r="G149" s="84"/>
      <c r="H149" s="84"/>
      <c r="I149" s="84"/>
      <c r="J149" s="84"/>
    </row>
    <row r="150" spans="1:10" ht="12.75" customHeight="1">
      <c r="A150" s="83"/>
      <c r="B150" s="83"/>
      <c r="C150" s="84"/>
      <c r="D150" s="84"/>
      <c r="E150" s="84"/>
      <c r="F150" s="84"/>
      <c r="G150" s="84"/>
      <c r="H150" s="84"/>
      <c r="I150" s="84"/>
      <c r="J150" s="84"/>
    </row>
    <row r="151" spans="1:10" ht="12.75" customHeight="1">
      <c r="A151" s="83"/>
      <c r="B151" s="81" t="s">
        <v>2803</v>
      </c>
      <c r="C151" s="84">
        <v>122</v>
      </c>
      <c r="D151" s="84">
        <v>39</v>
      </c>
      <c r="E151" s="84" t="s">
        <v>2812</v>
      </c>
      <c r="F151" s="84">
        <v>1</v>
      </c>
      <c r="G151" s="84">
        <v>79</v>
      </c>
      <c r="H151" s="84">
        <v>2</v>
      </c>
      <c r="I151" s="84">
        <v>0</v>
      </c>
      <c r="J151" s="84">
        <v>1</v>
      </c>
    </row>
    <row r="152" spans="1:10" ht="12.75" customHeight="1">
      <c r="A152" s="83"/>
      <c r="B152" s="81" t="s">
        <v>2804</v>
      </c>
      <c r="C152" s="84" t="s">
        <v>2805</v>
      </c>
      <c r="D152" s="84">
        <v>1</v>
      </c>
      <c r="E152" s="84" t="s">
        <v>2812</v>
      </c>
      <c r="F152" s="84" t="s">
        <v>2812</v>
      </c>
      <c r="G152" s="84">
        <v>47</v>
      </c>
      <c r="H152" s="84">
        <v>1</v>
      </c>
      <c r="I152" s="84">
        <v>0</v>
      </c>
      <c r="J152" s="84" t="s">
        <v>2805</v>
      </c>
    </row>
    <row r="153" spans="1:10" ht="12.75" customHeight="1">
      <c r="A153" s="83"/>
      <c r="B153" s="83" t="s">
        <v>2806</v>
      </c>
      <c r="C153" s="84" t="s">
        <v>2805</v>
      </c>
      <c r="D153" s="84">
        <v>1</v>
      </c>
      <c r="E153" s="84" t="s">
        <v>2812</v>
      </c>
      <c r="F153" s="84" t="s">
        <v>2812</v>
      </c>
      <c r="G153" s="84">
        <v>21</v>
      </c>
      <c r="H153" s="84" t="s">
        <v>2812</v>
      </c>
      <c r="I153" s="84">
        <v>0</v>
      </c>
      <c r="J153" s="84" t="s">
        <v>2805</v>
      </c>
    </row>
    <row r="154" spans="1:10" ht="12.75" customHeight="1">
      <c r="A154" s="83"/>
      <c r="B154" s="83" t="s">
        <v>2807</v>
      </c>
      <c r="C154" s="84" t="s">
        <v>2805</v>
      </c>
      <c r="D154" s="84">
        <v>0</v>
      </c>
      <c r="E154" s="84">
        <v>0</v>
      </c>
      <c r="F154" s="84" t="s">
        <v>2812</v>
      </c>
      <c r="G154" s="84">
        <v>26</v>
      </c>
      <c r="H154" s="84" t="s">
        <v>2812</v>
      </c>
      <c r="I154" s="84">
        <v>0</v>
      </c>
      <c r="J154" s="84" t="s">
        <v>2805</v>
      </c>
    </row>
    <row r="155" spans="1:10" ht="12.75" customHeight="1">
      <c r="A155" s="83"/>
      <c r="B155" s="81" t="s">
        <v>2808</v>
      </c>
      <c r="C155" s="84" t="s">
        <v>2805</v>
      </c>
      <c r="D155" s="84">
        <v>29</v>
      </c>
      <c r="E155" s="84" t="s">
        <v>2812</v>
      </c>
      <c r="F155" s="84" t="s">
        <v>2812</v>
      </c>
      <c r="G155" s="84">
        <v>25</v>
      </c>
      <c r="H155" s="84">
        <v>1</v>
      </c>
      <c r="I155" s="84">
        <v>0</v>
      </c>
      <c r="J155" s="84" t="s">
        <v>2805</v>
      </c>
    </row>
    <row r="156" spans="1:10" ht="12.75" customHeight="1">
      <c r="A156" s="83"/>
      <c r="B156" s="83" t="s">
        <v>2810</v>
      </c>
      <c r="C156" s="84" t="s">
        <v>2805</v>
      </c>
      <c r="D156" s="84">
        <v>2</v>
      </c>
      <c r="E156" s="84">
        <v>0</v>
      </c>
      <c r="F156" s="84" t="s">
        <v>2812</v>
      </c>
      <c r="G156" s="84">
        <v>22</v>
      </c>
      <c r="H156" s="84" t="s">
        <v>2812</v>
      </c>
      <c r="I156" s="84">
        <v>0</v>
      </c>
      <c r="J156" s="84" t="s">
        <v>2805</v>
      </c>
    </row>
    <row r="157" spans="1:10" ht="12.75" customHeight="1">
      <c r="A157" s="83"/>
      <c r="B157" s="83" t="s">
        <v>2811</v>
      </c>
      <c r="C157" s="84" t="s">
        <v>2805</v>
      </c>
      <c r="D157" s="84">
        <v>12</v>
      </c>
      <c r="E157" s="84" t="s">
        <v>2812</v>
      </c>
      <c r="F157" s="84" t="s">
        <v>2812</v>
      </c>
      <c r="G157" s="84">
        <v>1</v>
      </c>
      <c r="H157" s="84" t="s">
        <v>2812</v>
      </c>
      <c r="I157" s="84">
        <v>0</v>
      </c>
      <c r="J157" s="84" t="s">
        <v>2805</v>
      </c>
    </row>
    <row r="158" spans="1:10" ht="12.75" customHeight="1">
      <c r="A158" s="83"/>
      <c r="B158" s="83" t="s">
        <v>2813</v>
      </c>
      <c r="C158" s="84" t="s">
        <v>2805</v>
      </c>
      <c r="D158" s="84">
        <v>14</v>
      </c>
      <c r="E158" s="84" t="s">
        <v>2812</v>
      </c>
      <c r="F158" s="84" t="s">
        <v>2812</v>
      </c>
      <c r="G158" s="84">
        <v>1</v>
      </c>
      <c r="H158" s="84" t="s">
        <v>2812</v>
      </c>
      <c r="I158" s="84">
        <v>0</v>
      </c>
      <c r="J158" s="84" t="s">
        <v>2805</v>
      </c>
    </row>
    <row r="159" spans="1:10" ht="12.75" customHeight="1">
      <c r="A159" s="83"/>
      <c r="B159" s="83" t="s">
        <v>2814</v>
      </c>
      <c r="C159" s="84" t="s">
        <v>2805</v>
      </c>
      <c r="D159" s="84" t="s">
        <v>2812</v>
      </c>
      <c r="E159" s="84" t="s">
        <v>2805</v>
      </c>
      <c r="F159" s="84" t="s">
        <v>2805</v>
      </c>
      <c r="G159" s="84" t="s">
        <v>2805</v>
      </c>
      <c r="H159" s="84" t="s">
        <v>2805</v>
      </c>
      <c r="I159" s="84" t="s">
        <v>2805</v>
      </c>
      <c r="J159" s="84" t="s">
        <v>2805</v>
      </c>
    </row>
    <row r="160" spans="1:10" ht="12.75" customHeight="1">
      <c r="A160" s="83"/>
      <c r="B160" s="83" t="s">
        <v>2815</v>
      </c>
      <c r="C160" s="84" t="s">
        <v>2805</v>
      </c>
      <c r="D160" s="84" t="s">
        <v>2812</v>
      </c>
      <c r="E160" s="84">
        <v>0</v>
      </c>
      <c r="F160" s="84" t="s">
        <v>2812</v>
      </c>
      <c r="G160" s="84">
        <v>1</v>
      </c>
      <c r="H160" s="84">
        <v>0</v>
      </c>
      <c r="I160" s="84">
        <v>0</v>
      </c>
      <c r="J160" s="84" t="s">
        <v>2805</v>
      </c>
    </row>
    <row r="161" spans="1:10" ht="12.75" customHeight="1">
      <c r="A161" s="83"/>
      <c r="B161" s="81" t="s">
        <v>2816</v>
      </c>
      <c r="C161" s="84" t="s">
        <v>2805</v>
      </c>
      <c r="D161" s="84">
        <v>8</v>
      </c>
      <c r="E161" s="84" t="s">
        <v>2812</v>
      </c>
      <c r="F161" s="84" t="s">
        <v>2812</v>
      </c>
      <c r="G161" s="84">
        <v>5</v>
      </c>
      <c r="H161" s="84" t="s">
        <v>2812</v>
      </c>
      <c r="I161" s="84">
        <v>0</v>
      </c>
      <c r="J161" s="84" t="s">
        <v>2805</v>
      </c>
    </row>
    <row r="162" spans="1:10" ht="12.75" customHeight="1">
      <c r="A162" s="83"/>
      <c r="B162" s="83" t="s">
        <v>2817</v>
      </c>
      <c r="C162" s="84" t="s">
        <v>2805</v>
      </c>
      <c r="D162" s="84">
        <v>4</v>
      </c>
      <c r="E162" s="84" t="s">
        <v>2812</v>
      </c>
      <c r="F162" s="84" t="s">
        <v>2812</v>
      </c>
      <c r="G162" s="84">
        <v>4</v>
      </c>
      <c r="H162" s="84" t="s">
        <v>2812</v>
      </c>
      <c r="I162" s="84">
        <v>0</v>
      </c>
      <c r="J162" s="84" t="s">
        <v>2805</v>
      </c>
    </row>
    <row r="163" spans="1:10" ht="12.75" customHeight="1">
      <c r="A163" s="83"/>
      <c r="B163" s="83" t="s">
        <v>2818</v>
      </c>
      <c r="C163" s="84" t="s">
        <v>2805</v>
      </c>
      <c r="D163" s="84">
        <v>3</v>
      </c>
      <c r="E163" s="84" t="s">
        <v>2805</v>
      </c>
      <c r="F163" s="84" t="s">
        <v>2805</v>
      </c>
      <c r="G163" s="84" t="s">
        <v>2805</v>
      </c>
      <c r="H163" s="84" t="s">
        <v>2805</v>
      </c>
      <c r="I163" s="84" t="s">
        <v>2805</v>
      </c>
      <c r="J163" s="84" t="s">
        <v>2805</v>
      </c>
    </row>
    <row r="164" spans="1:10" ht="12.75" customHeight="1">
      <c r="A164" s="83"/>
      <c r="B164" s="83" t="s">
        <v>2819</v>
      </c>
      <c r="C164" s="84" t="s">
        <v>2805</v>
      </c>
      <c r="D164" s="84">
        <v>1</v>
      </c>
      <c r="E164" s="84">
        <v>0</v>
      </c>
      <c r="F164" s="84" t="s">
        <v>2812</v>
      </c>
      <c r="G164" s="84">
        <v>1</v>
      </c>
      <c r="H164" s="84" t="s">
        <v>2812</v>
      </c>
      <c r="I164" s="84">
        <v>0</v>
      </c>
      <c r="J164" s="84" t="s">
        <v>2805</v>
      </c>
    </row>
    <row r="165" spans="1:10" ht="12.75" customHeight="1">
      <c r="A165" s="83"/>
      <c r="B165" s="83" t="s">
        <v>2820</v>
      </c>
      <c r="C165" s="84" t="s">
        <v>2805</v>
      </c>
      <c r="D165" s="84">
        <v>1</v>
      </c>
      <c r="E165" s="84" t="s">
        <v>2805</v>
      </c>
      <c r="F165" s="84" t="s">
        <v>2812</v>
      </c>
      <c r="G165" s="84" t="s">
        <v>2812</v>
      </c>
      <c r="H165" s="84" t="s">
        <v>2812</v>
      </c>
      <c r="I165" s="84" t="s">
        <v>2805</v>
      </c>
      <c r="J165" s="84" t="s">
        <v>2805</v>
      </c>
    </row>
    <row r="166" spans="1:10" ht="12.75" customHeight="1">
      <c r="A166" s="83"/>
      <c r="B166" s="83" t="s">
        <v>2821</v>
      </c>
      <c r="C166" s="84" t="s">
        <v>2805</v>
      </c>
      <c r="D166" s="84" t="s">
        <v>2805</v>
      </c>
      <c r="E166" s="84">
        <v>0</v>
      </c>
      <c r="F166" s="84" t="s">
        <v>2812</v>
      </c>
      <c r="G166" s="84" t="s">
        <v>2812</v>
      </c>
      <c r="H166" s="84">
        <v>0</v>
      </c>
      <c r="I166" s="84">
        <v>0</v>
      </c>
      <c r="J166" s="84" t="s">
        <v>2805</v>
      </c>
    </row>
    <row r="167" spans="1:10" ht="12.75" customHeight="1">
      <c r="A167" s="83"/>
      <c r="B167" s="83" t="s">
        <v>2822</v>
      </c>
      <c r="C167" s="84" t="s">
        <v>2805</v>
      </c>
      <c r="D167" s="84" t="s">
        <v>2812</v>
      </c>
      <c r="E167" s="84">
        <v>0</v>
      </c>
      <c r="F167" s="84" t="s">
        <v>2812</v>
      </c>
      <c r="G167" s="84" t="s">
        <v>2812</v>
      </c>
      <c r="H167" s="84" t="s">
        <v>2812</v>
      </c>
      <c r="I167" s="84">
        <v>0</v>
      </c>
      <c r="J167" s="84" t="s">
        <v>2805</v>
      </c>
    </row>
    <row r="168" spans="1:10" ht="12.75" customHeight="1">
      <c r="A168" s="83"/>
      <c r="B168" s="81" t="s">
        <v>2823</v>
      </c>
      <c r="C168" s="84">
        <v>3</v>
      </c>
      <c r="D168" s="84">
        <v>1</v>
      </c>
      <c r="E168" s="84">
        <v>0</v>
      </c>
      <c r="F168" s="84">
        <v>0</v>
      </c>
      <c r="G168" s="84">
        <v>1</v>
      </c>
      <c r="H168" s="84" t="s">
        <v>2812</v>
      </c>
      <c r="I168" s="84">
        <v>0</v>
      </c>
      <c r="J168" s="84">
        <v>1</v>
      </c>
    </row>
    <row r="169" spans="1:10" ht="12.75" customHeight="1">
      <c r="A169" s="83"/>
      <c r="B169" s="83"/>
      <c r="C169" s="84"/>
      <c r="D169" s="84"/>
      <c r="E169" s="84"/>
      <c r="F169" s="84"/>
      <c r="G169" s="84"/>
      <c r="H169" s="84"/>
      <c r="I169" s="84"/>
      <c r="J169" s="84"/>
    </row>
    <row r="170" spans="1:10" s="71" customFormat="1" ht="12.75" customHeight="1">
      <c r="A170" s="81" t="s">
        <v>2837</v>
      </c>
      <c r="B170" s="81" t="s">
        <v>2838</v>
      </c>
      <c r="C170" s="86"/>
      <c r="D170" s="86"/>
      <c r="E170" s="86"/>
      <c r="F170" s="86"/>
      <c r="G170" s="86"/>
      <c r="H170" s="86"/>
      <c r="I170" s="86"/>
      <c r="J170" s="86"/>
    </row>
    <row r="171" spans="1:10" ht="12.75" customHeight="1">
      <c r="A171" s="83"/>
      <c r="B171" s="83"/>
      <c r="C171" s="84"/>
      <c r="D171" s="84"/>
      <c r="E171" s="84"/>
      <c r="F171" s="84"/>
      <c r="G171" s="84"/>
      <c r="H171" s="84"/>
      <c r="I171" s="84"/>
      <c r="J171" s="84"/>
    </row>
    <row r="172" spans="1:10" ht="12.75" customHeight="1">
      <c r="A172" s="83"/>
      <c r="B172" s="83"/>
      <c r="C172" s="84"/>
      <c r="D172" s="84"/>
      <c r="E172" s="84"/>
      <c r="F172" s="84"/>
      <c r="G172" s="84"/>
      <c r="H172" s="84"/>
      <c r="I172" s="84"/>
      <c r="J172" s="84"/>
    </row>
    <row r="173" spans="1:10" ht="12.75" customHeight="1">
      <c r="A173" s="83"/>
      <c r="B173" s="81" t="s">
        <v>2803</v>
      </c>
      <c r="C173" s="84">
        <v>278</v>
      </c>
      <c r="D173" s="84">
        <v>108</v>
      </c>
      <c r="E173" s="84" t="s">
        <v>2812</v>
      </c>
      <c r="F173" s="84">
        <v>3</v>
      </c>
      <c r="G173" s="84">
        <v>149</v>
      </c>
      <c r="H173" s="84">
        <v>2</v>
      </c>
      <c r="I173" s="84">
        <v>0</v>
      </c>
      <c r="J173" s="84">
        <v>16</v>
      </c>
    </row>
    <row r="174" spans="1:10" ht="12.75" customHeight="1">
      <c r="A174" s="83"/>
      <c r="B174" s="81" t="s">
        <v>2804</v>
      </c>
      <c r="C174" s="84" t="s">
        <v>2805</v>
      </c>
      <c r="D174" s="84">
        <v>2</v>
      </c>
      <c r="E174" s="84" t="s">
        <v>2812</v>
      </c>
      <c r="F174" s="84">
        <v>1</v>
      </c>
      <c r="G174" s="84">
        <v>89</v>
      </c>
      <c r="H174" s="84">
        <v>1</v>
      </c>
      <c r="I174" s="84">
        <v>0</v>
      </c>
      <c r="J174" s="84" t="s">
        <v>2805</v>
      </c>
    </row>
    <row r="175" spans="1:10" ht="12.75" customHeight="1">
      <c r="A175" s="83"/>
      <c r="B175" s="83" t="s">
        <v>2806</v>
      </c>
      <c r="C175" s="84" t="s">
        <v>2805</v>
      </c>
      <c r="D175" s="84">
        <v>2</v>
      </c>
      <c r="E175" s="84" t="s">
        <v>2812</v>
      </c>
      <c r="F175" s="84" t="s">
        <v>2812</v>
      </c>
      <c r="G175" s="84">
        <v>38</v>
      </c>
      <c r="H175" s="84">
        <v>1</v>
      </c>
      <c r="I175" s="84">
        <v>0</v>
      </c>
      <c r="J175" s="84" t="s">
        <v>2805</v>
      </c>
    </row>
    <row r="176" spans="1:10" ht="12.75" customHeight="1">
      <c r="A176" s="83"/>
      <c r="B176" s="83" t="s">
        <v>2807</v>
      </c>
      <c r="C176" s="84" t="s">
        <v>2805</v>
      </c>
      <c r="D176" s="84">
        <v>0</v>
      </c>
      <c r="E176" s="84">
        <v>0</v>
      </c>
      <c r="F176" s="84" t="s">
        <v>2812</v>
      </c>
      <c r="G176" s="84">
        <v>51</v>
      </c>
      <c r="H176" s="84" t="s">
        <v>2812</v>
      </c>
      <c r="I176" s="84">
        <v>0</v>
      </c>
      <c r="J176" s="84" t="s">
        <v>2805</v>
      </c>
    </row>
    <row r="177" spans="1:10" ht="12.75" customHeight="1">
      <c r="A177" s="83"/>
      <c r="B177" s="81" t="s">
        <v>2808</v>
      </c>
      <c r="C177" s="84" t="s">
        <v>2805</v>
      </c>
      <c r="D177" s="84">
        <v>74</v>
      </c>
      <c r="E177" s="84">
        <v>0</v>
      </c>
      <c r="F177" s="84" t="s">
        <v>2826</v>
      </c>
      <c r="G177" s="84">
        <v>33</v>
      </c>
      <c r="H177" s="84" t="s">
        <v>2812</v>
      </c>
      <c r="I177" s="84">
        <v>0</v>
      </c>
      <c r="J177" s="84" t="s">
        <v>2805</v>
      </c>
    </row>
    <row r="178" spans="1:10" ht="12.75" customHeight="1">
      <c r="A178" s="83"/>
      <c r="B178" s="83" t="s">
        <v>2810</v>
      </c>
      <c r="C178" s="84" t="s">
        <v>2805</v>
      </c>
      <c r="D178" s="84">
        <v>2</v>
      </c>
      <c r="E178" s="84">
        <v>0</v>
      </c>
      <c r="F178" s="84" t="s">
        <v>2812</v>
      </c>
      <c r="G178" s="84">
        <v>25</v>
      </c>
      <c r="H178" s="84" t="s">
        <v>2812</v>
      </c>
      <c r="I178" s="84">
        <v>0</v>
      </c>
      <c r="J178" s="84" t="s">
        <v>2805</v>
      </c>
    </row>
    <row r="179" spans="1:10" ht="12.75" customHeight="1">
      <c r="A179" s="83"/>
      <c r="B179" s="83" t="s">
        <v>2811</v>
      </c>
      <c r="C179" s="84" t="s">
        <v>2805</v>
      </c>
      <c r="D179" s="84">
        <v>40</v>
      </c>
      <c r="E179" s="84">
        <v>0</v>
      </c>
      <c r="F179" s="84" t="s">
        <v>2812</v>
      </c>
      <c r="G179" s="84">
        <v>2</v>
      </c>
      <c r="H179" s="84" t="s">
        <v>2812</v>
      </c>
      <c r="I179" s="84">
        <v>0</v>
      </c>
      <c r="J179" s="84" t="s">
        <v>2805</v>
      </c>
    </row>
    <row r="180" spans="1:10" ht="12.75" customHeight="1">
      <c r="A180" s="83"/>
      <c r="B180" s="83" t="s">
        <v>2813</v>
      </c>
      <c r="C180" s="84" t="s">
        <v>2805</v>
      </c>
      <c r="D180" s="84">
        <v>31</v>
      </c>
      <c r="E180" s="84">
        <v>0</v>
      </c>
      <c r="F180" s="84" t="s">
        <v>2812</v>
      </c>
      <c r="G180" s="84">
        <v>2</v>
      </c>
      <c r="H180" s="84" t="s">
        <v>2812</v>
      </c>
      <c r="I180" s="84">
        <v>0</v>
      </c>
      <c r="J180" s="84" t="s">
        <v>2805</v>
      </c>
    </row>
    <row r="181" spans="1:10" ht="12.75" customHeight="1">
      <c r="A181" s="83"/>
      <c r="B181" s="83" t="s">
        <v>2814</v>
      </c>
      <c r="C181" s="84" t="s">
        <v>2805</v>
      </c>
      <c r="D181" s="84" t="s">
        <v>2812</v>
      </c>
      <c r="E181" s="84" t="s">
        <v>2805</v>
      </c>
      <c r="F181" s="84" t="s">
        <v>2805</v>
      </c>
      <c r="G181" s="84" t="s">
        <v>2805</v>
      </c>
      <c r="H181" s="84" t="s">
        <v>2805</v>
      </c>
      <c r="I181" s="84" t="s">
        <v>2805</v>
      </c>
      <c r="J181" s="84" t="s">
        <v>2805</v>
      </c>
    </row>
    <row r="182" spans="1:10" ht="12.75" customHeight="1">
      <c r="A182" s="83"/>
      <c r="B182" s="83" t="s">
        <v>2815</v>
      </c>
      <c r="C182" s="84" t="s">
        <v>2805</v>
      </c>
      <c r="D182" s="84">
        <v>1</v>
      </c>
      <c r="E182" s="84">
        <v>0</v>
      </c>
      <c r="F182" s="84" t="s">
        <v>2812</v>
      </c>
      <c r="G182" s="84">
        <v>4</v>
      </c>
      <c r="H182" s="84" t="s">
        <v>2812</v>
      </c>
      <c r="I182" s="84">
        <v>0</v>
      </c>
      <c r="J182" s="84" t="s">
        <v>2805</v>
      </c>
    </row>
    <row r="183" spans="1:10" ht="12.75" customHeight="1">
      <c r="A183" s="83"/>
      <c r="B183" s="81" t="s">
        <v>2816</v>
      </c>
      <c r="C183" s="84" t="s">
        <v>2805</v>
      </c>
      <c r="D183" s="84" t="s">
        <v>2826</v>
      </c>
      <c r="E183" s="84">
        <v>0</v>
      </c>
      <c r="F183" s="84">
        <v>2</v>
      </c>
      <c r="G183" s="84">
        <v>26</v>
      </c>
      <c r="H183" s="84" t="s">
        <v>2812</v>
      </c>
      <c r="I183" s="84">
        <v>0</v>
      </c>
      <c r="J183" s="84" t="s">
        <v>2805</v>
      </c>
    </row>
    <row r="184" spans="1:10" ht="12.75" customHeight="1">
      <c r="A184" s="83"/>
      <c r="B184" s="83" t="s">
        <v>2817</v>
      </c>
      <c r="C184" s="84" t="s">
        <v>2805</v>
      </c>
      <c r="D184" s="84" t="s">
        <v>2826</v>
      </c>
      <c r="E184" s="84">
        <v>0</v>
      </c>
      <c r="F184" s="84" t="s">
        <v>2812</v>
      </c>
      <c r="G184" s="84">
        <v>13</v>
      </c>
      <c r="H184" s="84" t="s">
        <v>2812</v>
      </c>
      <c r="I184" s="84">
        <v>0</v>
      </c>
      <c r="J184" s="84" t="s">
        <v>2805</v>
      </c>
    </row>
    <row r="185" spans="1:10" ht="12.75" customHeight="1">
      <c r="A185" s="83"/>
      <c r="B185" s="83" t="s">
        <v>2818</v>
      </c>
      <c r="C185" s="84" t="s">
        <v>2805</v>
      </c>
      <c r="D185" s="84" t="s">
        <v>2826</v>
      </c>
      <c r="E185" s="84" t="s">
        <v>2805</v>
      </c>
      <c r="F185" s="84" t="s">
        <v>2805</v>
      </c>
      <c r="G185" s="84" t="s">
        <v>2805</v>
      </c>
      <c r="H185" s="84" t="s">
        <v>2805</v>
      </c>
      <c r="I185" s="84" t="s">
        <v>2805</v>
      </c>
      <c r="J185" s="84" t="s">
        <v>2805</v>
      </c>
    </row>
    <row r="186" spans="1:10" ht="12.75" customHeight="1">
      <c r="A186" s="83"/>
      <c r="B186" s="83" t="s">
        <v>2819</v>
      </c>
      <c r="C186" s="84" t="s">
        <v>2805</v>
      </c>
      <c r="D186" s="84">
        <v>2</v>
      </c>
      <c r="E186" s="84">
        <v>0</v>
      </c>
      <c r="F186" s="84" t="s">
        <v>2812</v>
      </c>
      <c r="G186" s="84">
        <v>13</v>
      </c>
      <c r="H186" s="84" t="s">
        <v>2812</v>
      </c>
      <c r="I186" s="84">
        <v>0</v>
      </c>
      <c r="J186" s="84" t="s">
        <v>2805</v>
      </c>
    </row>
    <row r="187" spans="1:10" ht="12.75" customHeight="1">
      <c r="A187" s="83"/>
      <c r="B187" s="83" t="s">
        <v>2820</v>
      </c>
      <c r="C187" s="84" t="s">
        <v>2805</v>
      </c>
      <c r="D187" s="84">
        <v>1</v>
      </c>
      <c r="E187" s="84" t="s">
        <v>2805</v>
      </c>
      <c r="F187" s="84">
        <v>1</v>
      </c>
      <c r="G187" s="84" t="s">
        <v>2812</v>
      </c>
      <c r="H187" s="84" t="s">
        <v>2812</v>
      </c>
      <c r="I187" s="84" t="s">
        <v>2805</v>
      </c>
      <c r="J187" s="84" t="s">
        <v>2805</v>
      </c>
    </row>
    <row r="188" spans="1:10" ht="12.75" customHeight="1">
      <c r="A188" s="83"/>
      <c r="B188" s="83" t="s">
        <v>2821</v>
      </c>
      <c r="C188" s="84" t="s">
        <v>2805</v>
      </c>
      <c r="D188" s="84" t="s">
        <v>2805</v>
      </c>
      <c r="E188" s="84">
        <v>0</v>
      </c>
      <c r="F188" s="84" t="s">
        <v>2812</v>
      </c>
      <c r="G188" s="84" t="s">
        <v>2812</v>
      </c>
      <c r="H188" s="84" t="s">
        <v>2812</v>
      </c>
      <c r="I188" s="84">
        <v>0</v>
      </c>
      <c r="J188" s="84" t="s">
        <v>2805</v>
      </c>
    </row>
    <row r="189" spans="1:10" ht="12.75" customHeight="1">
      <c r="A189" s="83"/>
      <c r="B189" s="83" t="s">
        <v>2822</v>
      </c>
      <c r="C189" s="84" t="s">
        <v>2805</v>
      </c>
      <c r="D189" s="84" t="s">
        <v>2812</v>
      </c>
      <c r="E189" s="84">
        <v>0</v>
      </c>
      <c r="F189" s="84" t="s">
        <v>2812</v>
      </c>
      <c r="G189" s="84" t="s">
        <v>2812</v>
      </c>
      <c r="H189" s="84" t="s">
        <v>2812</v>
      </c>
      <c r="I189" s="84">
        <v>0</v>
      </c>
      <c r="J189" s="84" t="s">
        <v>2805</v>
      </c>
    </row>
    <row r="190" spans="1:10" ht="12.75" customHeight="1">
      <c r="A190" s="83"/>
      <c r="B190" s="81" t="s">
        <v>2823</v>
      </c>
      <c r="C190" s="84">
        <v>18</v>
      </c>
      <c r="D190" s="84" t="s">
        <v>2812</v>
      </c>
      <c r="E190" s="84">
        <v>0</v>
      </c>
      <c r="F190" s="84">
        <v>0</v>
      </c>
      <c r="G190" s="84">
        <v>1</v>
      </c>
      <c r="H190" s="84" t="s">
        <v>2812</v>
      </c>
      <c r="I190" s="84">
        <v>0</v>
      </c>
      <c r="J190" s="84">
        <v>16</v>
      </c>
    </row>
    <row r="191" spans="1:10" ht="12.75" customHeight="1">
      <c r="A191" s="83"/>
      <c r="B191" s="83"/>
      <c r="C191" s="84"/>
      <c r="D191" s="84"/>
      <c r="E191" s="84"/>
      <c r="F191" s="84"/>
      <c r="G191" s="84"/>
      <c r="H191" s="84"/>
      <c r="I191" s="84"/>
      <c r="J191" s="84"/>
    </row>
    <row r="192" spans="1:10" s="71" customFormat="1" ht="12.75" customHeight="1">
      <c r="A192" s="81" t="s">
        <v>2839</v>
      </c>
      <c r="B192" s="81" t="s">
        <v>2840</v>
      </c>
      <c r="C192" s="86"/>
      <c r="D192" s="86"/>
      <c r="E192" s="86"/>
      <c r="F192" s="86"/>
      <c r="G192" s="86"/>
      <c r="H192" s="86"/>
      <c r="I192" s="86"/>
      <c r="J192" s="86"/>
    </row>
    <row r="193" spans="1:10" ht="12.75" customHeight="1">
      <c r="A193" s="83"/>
      <c r="B193" s="83"/>
      <c r="C193" s="84"/>
      <c r="D193" s="84"/>
      <c r="E193" s="84"/>
      <c r="F193" s="84"/>
      <c r="G193" s="84"/>
      <c r="H193" s="84"/>
      <c r="I193" s="84"/>
      <c r="J193" s="84"/>
    </row>
    <row r="194" spans="1:10" ht="12.75" customHeight="1">
      <c r="A194" s="83"/>
      <c r="B194" s="83"/>
      <c r="C194" s="84"/>
      <c r="D194" s="84"/>
      <c r="E194" s="84"/>
      <c r="F194" s="84"/>
      <c r="G194" s="84"/>
      <c r="H194" s="84"/>
      <c r="I194" s="84"/>
      <c r="J194" s="84"/>
    </row>
    <row r="195" spans="1:10" ht="12.75" customHeight="1">
      <c r="A195" s="83"/>
      <c r="B195" s="81" t="s">
        <v>2803</v>
      </c>
      <c r="C195" s="84">
        <v>118</v>
      </c>
      <c r="D195" s="84">
        <v>49</v>
      </c>
      <c r="E195" s="84" t="s">
        <v>2812</v>
      </c>
      <c r="F195" s="84" t="s">
        <v>2812</v>
      </c>
      <c r="G195" s="84">
        <v>54</v>
      </c>
      <c r="H195" s="84">
        <v>1</v>
      </c>
      <c r="I195" s="84" t="s">
        <v>2812</v>
      </c>
      <c r="J195" s="84" t="s">
        <v>2826</v>
      </c>
    </row>
    <row r="196" spans="1:10" ht="12.75" customHeight="1">
      <c r="A196" s="83"/>
      <c r="B196" s="81" t="s">
        <v>2804</v>
      </c>
      <c r="C196" s="84" t="s">
        <v>2805</v>
      </c>
      <c r="D196" s="84">
        <v>1</v>
      </c>
      <c r="E196" s="84" t="s">
        <v>2812</v>
      </c>
      <c r="F196" s="84" t="s">
        <v>2812</v>
      </c>
      <c r="G196" s="84">
        <v>35</v>
      </c>
      <c r="H196" s="84" t="s">
        <v>2812</v>
      </c>
      <c r="I196" s="84" t="s">
        <v>2812</v>
      </c>
      <c r="J196" s="84" t="s">
        <v>2805</v>
      </c>
    </row>
    <row r="197" spans="1:10" ht="12.75" customHeight="1">
      <c r="A197" s="83"/>
      <c r="B197" s="83" t="s">
        <v>2806</v>
      </c>
      <c r="C197" s="84" t="s">
        <v>2805</v>
      </c>
      <c r="D197" s="84">
        <v>1</v>
      </c>
      <c r="E197" s="84" t="s">
        <v>2812</v>
      </c>
      <c r="F197" s="84" t="s">
        <v>2812</v>
      </c>
      <c r="G197" s="84">
        <v>18</v>
      </c>
      <c r="H197" s="84" t="s">
        <v>2812</v>
      </c>
      <c r="I197" s="84" t="s">
        <v>2812</v>
      </c>
      <c r="J197" s="84" t="s">
        <v>2805</v>
      </c>
    </row>
    <row r="198" spans="1:10" ht="12.75" customHeight="1">
      <c r="A198" s="83"/>
      <c r="B198" s="83" t="s">
        <v>2807</v>
      </c>
      <c r="C198" s="84" t="s">
        <v>2805</v>
      </c>
      <c r="D198" s="84">
        <v>0</v>
      </c>
      <c r="E198" s="84" t="s">
        <v>2812</v>
      </c>
      <c r="F198" s="84" t="s">
        <v>2812</v>
      </c>
      <c r="G198" s="84">
        <v>17</v>
      </c>
      <c r="H198" s="84" t="s">
        <v>2812</v>
      </c>
      <c r="I198" s="84" t="s">
        <v>2812</v>
      </c>
      <c r="J198" s="84" t="s">
        <v>2805</v>
      </c>
    </row>
    <row r="199" spans="1:10" ht="12.75" customHeight="1">
      <c r="A199" s="83"/>
      <c r="B199" s="81" t="s">
        <v>2808</v>
      </c>
      <c r="C199" s="84" t="s">
        <v>2805</v>
      </c>
      <c r="D199" s="84">
        <v>37</v>
      </c>
      <c r="E199" s="84">
        <v>0</v>
      </c>
      <c r="F199" s="84" t="s">
        <v>2812</v>
      </c>
      <c r="G199" s="84">
        <v>14</v>
      </c>
      <c r="H199" s="84" t="s">
        <v>2812</v>
      </c>
      <c r="I199" s="84" t="s">
        <v>2812</v>
      </c>
      <c r="J199" s="84" t="s">
        <v>2805</v>
      </c>
    </row>
    <row r="200" spans="1:10" ht="12.75" customHeight="1">
      <c r="A200" s="83"/>
      <c r="B200" s="83" t="s">
        <v>2810</v>
      </c>
      <c r="C200" s="84" t="s">
        <v>2805</v>
      </c>
      <c r="D200" s="84">
        <v>1</v>
      </c>
      <c r="E200" s="84">
        <v>0</v>
      </c>
      <c r="F200" s="84" t="s">
        <v>2812</v>
      </c>
      <c r="G200" s="84">
        <v>12</v>
      </c>
      <c r="H200" s="84" t="s">
        <v>2812</v>
      </c>
      <c r="I200" s="84" t="s">
        <v>2812</v>
      </c>
      <c r="J200" s="84" t="s">
        <v>2805</v>
      </c>
    </row>
    <row r="201" spans="1:10" ht="12.75" customHeight="1">
      <c r="A201" s="83"/>
      <c r="B201" s="83" t="s">
        <v>2811</v>
      </c>
      <c r="C201" s="84" t="s">
        <v>2805</v>
      </c>
      <c r="D201" s="84">
        <v>9</v>
      </c>
      <c r="E201" s="84">
        <v>0</v>
      </c>
      <c r="F201" s="84" t="s">
        <v>2812</v>
      </c>
      <c r="G201" s="84" t="s">
        <v>2812</v>
      </c>
      <c r="H201" s="84" t="s">
        <v>2812</v>
      </c>
      <c r="I201" s="84">
        <v>0</v>
      </c>
      <c r="J201" s="84" t="s">
        <v>2805</v>
      </c>
    </row>
    <row r="202" spans="1:10" ht="12.75" customHeight="1">
      <c r="A202" s="83"/>
      <c r="B202" s="83" t="s">
        <v>2813</v>
      </c>
      <c r="C202" s="84" t="s">
        <v>2805</v>
      </c>
      <c r="D202" s="84">
        <v>24</v>
      </c>
      <c r="E202" s="84">
        <v>0</v>
      </c>
      <c r="F202" s="84" t="s">
        <v>2812</v>
      </c>
      <c r="G202" s="84">
        <v>1</v>
      </c>
      <c r="H202" s="84" t="s">
        <v>2812</v>
      </c>
      <c r="I202" s="84">
        <v>0</v>
      </c>
      <c r="J202" s="84" t="s">
        <v>2805</v>
      </c>
    </row>
    <row r="203" spans="1:10" ht="12.75" customHeight="1">
      <c r="A203" s="83"/>
      <c r="B203" s="83" t="s">
        <v>2814</v>
      </c>
      <c r="C203" s="84" t="s">
        <v>2805</v>
      </c>
      <c r="D203" s="84" t="s">
        <v>2812</v>
      </c>
      <c r="E203" s="84" t="s">
        <v>2805</v>
      </c>
      <c r="F203" s="84" t="s">
        <v>2805</v>
      </c>
      <c r="G203" s="84" t="s">
        <v>2805</v>
      </c>
      <c r="H203" s="84" t="s">
        <v>2805</v>
      </c>
      <c r="I203" s="84" t="s">
        <v>2805</v>
      </c>
      <c r="J203" s="84" t="s">
        <v>2805</v>
      </c>
    </row>
    <row r="204" spans="1:10" ht="12.75" customHeight="1">
      <c r="A204" s="83"/>
      <c r="B204" s="83" t="s">
        <v>2815</v>
      </c>
      <c r="C204" s="84" t="s">
        <v>2805</v>
      </c>
      <c r="D204" s="84">
        <v>1</v>
      </c>
      <c r="E204" s="84">
        <v>0</v>
      </c>
      <c r="F204" s="84" t="s">
        <v>2812</v>
      </c>
      <c r="G204" s="84">
        <v>1</v>
      </c>
      <c r="H204" s="84" t="s">
        <v>2812</v>
      </c>
      <c r="I204" s="84">
        <v>0</v>
      </c>
      <c r="J204" s="84" t="s">
        <v>2805</v>
      </c>
    </row>
    <row r="205" spans="1:10" ht="12.75" customHeight="1">
      <c r="A205" s="83"/>
      <c r="B205" s="81" t="s">
        <v>2816</v>
      </c>
      <c r="C205" s="84" t="s">
        <v>2805</v>
      </c>
      <c r="D205" s="84">
        <v>11</v>
      </c>
      <c r="E205" s="84" t="s">
        <v>2812</v>
      </c>
      <c r="F205" s="84" t="s">
        <v>2812</v>
      </c>
      <c r="G205" s="84">
        <v>6</v>
      </c>
      <c r="H205" s="84">
        <v>1</v>
      </c>
      <c r="I205" s="84" t="s">
        <v>2812</v>
      </c>
      <c r="J205" s="84" t="s">
        <v>2805</v>
      </c>
    </row>
    <row r="206" spans="1:10" ht="12.75" customHeight="1">
      <c r="A206" s="83"/>
      <c r="B206" s="83" t="s">
        <v>2817</v>
      </c>
      <c r="C206" s="84" t="s">
        <v>2805</v>
      </c>
      <c r="D206" s="84">
        <v>5</v>
      </c>
      <c r="E206" s="84">
        <v>0</v>
      </c>
      <c r="F206" s="84" t="s">
        <v>2812</v>
      </c>
      <c r="G206" s="84">
        <v>4</v>
      </c>
      <c r="H206" s="84" t="s">
        <v>2812</v>
      </c>
      <c r="I206" s="84" t="s">
        <v>2812</v>
      </c>
      <c r="J206" s="84" t="s">
        <v>2805</v>
      </c>
    </row>
    <row r="207" spans="1:10" ht="12.75" customHeight="1">
      <c r="A207" s="83"/>
      <c r="B207" s="83" t="s">
        <v>2818</v>
      </c>
      <c r="C207" s="84" t="s">
        <v>2805</v>
      </c>
      <c r="D207" s="84">
        <v>4</v>
      </c>
      <c r="E207" s="84" t="s">
        <v>2805</v>
      </c>
      <c r="F207" s="84" t="s">
        <v>2805</v>
      </c>
      <c r="G207" s="84" t="s">
        <v>2805</v>
      </c>
      <c r="H207" s="84" t="s">
        <v>2805</v>
      </c>
      <c r="I207" s="84" t="s">
        <v>2805</v>
      </c>
      <c r="J207" s="84" t="s">
        <v>2805</v>
      </c>
    </row>
    <row r="208" spans="1:10" ht="12.75" customHeight="1">
      <c r="A208" s="83"/>
      <c r="B208" s="83" t="s">
        <v>2819</v>
      </c>
      <c r="C208" s="84" t="s">
        <v>2805</v>
      </c>
      <c r="D208" s="84">
        <v>1</v>
      </c>
      <c r="E208" s="84">
        <v>0</v>
      </c>
      <c r="F208" s="84">
        <v>0</v>
      </c>
      <c r="G208" s="84">
        <v>1</v>
      </c>
      <c r="H208" s="84" t="s">
        <v>2812</v>
      </c>
      <c r="I208" s="84">
        <v>0</v>
      </c>
      <c r="J208" s="84" t="s">
        <v>2805</v>
      </c>
    </row>
    <row r="209" spans="1:10" ht="12.75" customHeight="1">
      <c r="A209" s="83"/>
      <c r="B209" s="83" t="s">
        <v>2820</v>
      </c>
      <c r="C209" s="84" t="s">
        <v>2805</v>
      </c>
      <c r="D209" s="84">
        <v>1</v>
      </c>
      <c r="E209" s="84" t="s">
        <v>2805</v>
      </c>
      <c r="F209" s="84" t="s">
        <v>2812</v>
      </c>
      <c r="G209" s="84" t="s">
        <v>2812</v>
      </c>
      <c r="H209" s="84" t="s">
        <v>2812</v>
      </c>
      <c r="I209" s="84" t="s">
        <v>2805</v>
      </c>
      <c r="J209" s="84" t="s">
        <v>2805</v>
      </c>
    </row>
    <row r="210" spans="1:10" ht="12.75" customHeight="1">
      <c r="A210" s="83"/>
      <c r="B210" s="83" t="s">
        <v>2821</v>
      </c>
      <c r="C210" s="84" t="s">
        <v>2805</v>
      </c>
      <c r="D210" s="84" t="s">
        <v>2805</v>
      </c>
      <c r="E210" s="84">
        <v>0</v>
      </c>
      <c r="F210" s="84" t="s">
        <v>2812</v>
      </c>
      <c r="G210" s="84" t="s">
        <v>2812</v>
      </c>
      <c r="H210" s="84" t="s">
        <v>2812</v>
      </c>
      <c r="I210" s="84">
        <v>0</v>
      </c>
      <c r="J210" s="84" t="s">
        <v>2805</v>
      </c>
    </row>
    <row r="211" spans="1:10" ht="12.75" customHeight="1">
      <c r="A211" s="83"/>
      <c r="B211" s="83" t="s">
        <v>2822</v>
      </c>
      <c r="C211" s="84" t="s">
        <v>2805</v>
      </c>
      <c r="D211" s="84" t="s">
        <v>2812</v>
      </c>
      <c r="E211" s="84" t="s">
        <v>2812</v>
      </c>
      <c r="F211" s="84" t="s">
        <v>2812</v>
      </c>
      <c r="G211" s="84" t="s">
        <v>2812</v>
      </c>
      <c r="H211" s="84" t="s">
        <v>2812</v>
      </c>
      <c r="I211" s="84">
        <v>0</v>
      </c>
      <c r="J211" s="84" t="s">
        <v>2805</v>
      </c>
    </row>
    <row r="212" spans="1:10" ht="12.75" customHeight="1">
      <c r="A212" s="83"/>
      <c r="B212" s="81" t="s">
        <v>2823</v>
      </c>
      <c r="C212" s="84" t="s">
        <v>2826</v>
      </c>
      <c r="D212" s="84" t="s">
        <v>2812</v>
      </c>
      <c r="E212" s="84">
        <v>0</v>
      </c>
      <c r="F212" s="84">
        <v>0</v>
      </c>
      <c r="G212" s="84" t="s">
        <v>2812</v>
      </c>
      <c r="H212" s="84" t="s">
        <v>2812</v>
      </c>
      <c r="I212" s="84">
        <v>0</v>
      </c>
      <c r="J212" s="84" t="s">
        <v>2826</v>
      </c>
    </row>
    <row r="213" spans="1:10" ht="12.75" customHeight="1">
      <c r="A213" s="83"/>
      <c r="B213" s="83"/>
      <c r="C213" s="84"/>
      <c r="D213" s="84"/>
      <c r="E213" s="84"/>
      <c r="F213" s="84"/>
      <c r="G213" s="84"/>
      <c r="H213" s="84"/>
      <c r="I213" s="84"/>
      <c r="J213" s="84"/>
    </row>
    <row r="214" spans="1:10" s="71" customFormat="1" ht="12.75" customHeight="1">
      <c r="A214" s="81" t="s">
        <v>2841</v>
      </c>
      <c r="B214" s="81" t="s">
        <v>2842</v>
      </c>
      <c r="C214" s="86"/>
      <c r="D214" s="86"/>
      <c r="E214" s="86"/>
      <c r="F214" s="86"/>
      <c r="G214" s="86"/>
      <c r="H214" s="86"/>
      <c r="I214" s="86"/>
      <c r="J214" s="86"/>
    </row>
    <row r="215" spans="1:10" ht="12.75" customHeight="1">
      <c r="A215" s="83"/>
      <c r="B215" s="83"/>
      <c r="C215" s="84"/>
      <c r="D215" s="84"/>
      <c r="E215" s="84"/>
      <c r="F215" s="84"/>
      <c r="G215" s="84"/>
      <c r="H215" s="84"/>
      <c r="I215" s="84"/>
      <c r="J215" s="84"/>
    </row>
    <row r="216" spans="1:10" ht="12.75" customHeight="1">
      <c r="A216" s="83"/>
      <c r="B216" s="83"/>
      <c r="C216" s="84"/>
      <c r="D216" s="84"/>
      <c r="E216" s="84"/>
      <c r="F216" s="84"/>
      <c r="G216" s="84"/>
      <c r="H216" s="84"/>
      <c r="I216" s="84"/>
      <c r="J216" s="84"/>
    </row>
    <row r="217" spans="1:10" ht="12.75" customHeight="1">
      <c r="A217" s="83"/>
      <c r="B217" s="81" t="s">
        <v>2803</v>
      </c>
      <c r="C217" s="84">
        <v>111</v>
      </c>
      <c r="D217" s="84">
        <v>46</v>
      </c>
      <c r="E217" s="84" t="s">
        <v>2812</v>
      </c>
      <c r="F217" s="84" t="s">
        <v>2812</v>
      </c>
      <c r="G217" s="84">
        <v>50</v>
      </c>
      <c r="H217" s="84">
        <v>1</v>
      </c>
      <c r="I217" s="84" t="s">
        <v>2812</v>
      </c>
      <c r="J217" s="84" t="s">
        <v>2826</v>
      </c>
    </row>
    <row r="218" spans="1:10" ht="12.75" customHeight="1">
      <c r="A218" s="83"/>
      <c r="B218" s="81" t="s">
        <v>2804</v>
      </c>
      <c r="C218" s="84" t="s">
        <v>2805</v>
      </c>
      <c r="D218" s="84">
        <v>1</v>
      </c>
      <c r="E218" s="84" t="s">
        <v>2812</v>
      </c>
      <c r="F218" s="84" t="s">
        <v>2812</v>
      </c>
      <c r="G218" s="84">
        <v>32</v>
      </c>
      <c r="H218" s="84" t="s">
        <v>2812</v>
      </c>
      <c r="I218" s="84" t="s">
        <v>2812</v>
      </c>
      <c r="J218" s="84" t="s">
        <v>2805</v>
      </c>
    </row>
    <row r="219" spans="1:10" ht="12.75" customHeight="1">
      <c r="A219" s="83"/>
      <c r="B219" s="83" t="s">
        <v>2806</v>
      </c>
      <c r="C219" s="84" t="s">
        <v>2805</v>
      </c>
      <c r="D219" s="84">
        <v>1</v>
      </c>
      <c r="E219" s="84">
        <v>0</v>
      </c>
      <c r="F219" s="84" t="s">
        <v>2812</v>
      </c>
      <c r="G219" s="84">
        <v>16</v>
      </c>
      <c r="H219" s="84" t="s">
        <v>2812</v>
      </c>
      <c r="I219" s="84" t="s">
        <v>2812</v>
      </c>
      <c r="J219" s="84" t="s">
        <v>2805</v>
      </c>
    </row>
    <row r="220" spans="1:10" ht="12.75" customHeight="1">
      <c r="A220" s="83"/>
      <c r="B220" s="83" t="s">
        <v>2807</v>
      </c>
      <c r="C220" s="84" t="s">
        <v>2805</v>
      </c>
      <c r="D220" s="84">
        <v>0</v>
      </c>
      <c r="E220" s="84" t="s">
        <v>2812</v>
      </c>
      <c r="F220" s="84" t="s">
        <v>2812</v>
      </c>
      <c r="G220" s="84">
        <v>16</v>
      </c>
      <c r="H220" s="84" t="s">
        <v>2812</v>
      </c>
      <c r="I220" s="84" t="s">
        <v>2812</v>
      </c>
      <c r="J220" s="84" t="s">
        <v>2805</v>
      </c>
    </row>
    <row r="221" spans="1:10" ht="12.75" customHeight="1">
      <c r="A221" s="83"/>
      <c r="B221" s="81" t="s">
        <v>2808</v>
      </c>
      <c r="C221" s="84" t="s">
        <v>2805</v>
      </c>
      <c r="D221" s="84">
        <v>35</v>
      </c>
      <c r="E221" s="84">
        <v>0</v>
      </c>
      <c r="F221" s="84" t="s">
        <v>2812</v>
      </c>
      <c r="G221" s="84">
        <v>13</v>
      </c>
      <c r="H221" s="84" t="s">
        <v>2812</v>
      </c>
      <c r="I221" s="84" t="s">
        <v>2812</v>
      </c>
      <c r="J221" s="84" t="s">
        <v>2805</v>
      </c>
    </row>
    <row r="222" spans="1:10" ht="12.75" customHeight="1">
      <c r="A222" s="83"/>
      <c r="B222" s="83" t="s">
        <v>2810</v>
      </c>
      <c r="C222" s="84" t="s">
        <v>2805</v>
      </c>
      <c r="D222" s="84">
        <v>1</v>
      </c>
      <c r="E222" s="84">
        <v>0</v>
      </c>
      <c r="F222" s="84" t="s">
        <v>2812</v>
      </c>
      <c r="G222" s="84">
        <v>11</v>
      </c>
      <c r="H222" s="84" t="s">
        <v>2812</v>
      </c>
      <c r="I222" s="84" t="s">
        <v>2812</v>
      </c>
      <c r="J222" s="84" t="s">
        <v>2805</v>
      </c>
    </row>
    <row r="223" spans="1:10" ht="12.75" customHeight="1">
      <c r="A223" s="83"/>
      <c r="B223" s="83" t="s">
        <v>2811</v>
      </c>
      <c r="C223" s="84" t="s">
        <v>2805</v>
      </c>
      <c r="D223" s="84">
        <v>9</v>
      </c>
      <c r="E223" s="84">
        <v>0</v>
      </c>
      <c r="F223" s="84" t="s">
        <v>2812</v>
      </c>
      <c r="G223" s="84" t="s">
        <v>2812</v>
      </c>
      <c r="H223" s="84" t="s">
        <v>2812</v>
      </c>
      <c r="I223" s="84">
        <v>0</v>
      </c>
      <c r="J223" s="84" t="s">
        <v>2805</v>
      </c>
    </row>
    <row r="224" spans="1:10" ht="12.75" customHeight="1">
      <c r="A224" s="83"/>
      <c r="B224" s="83" t="s">
        <v>2813</v>
      </c>
      <c r="C224" s="84" t="s">
        <v>2805</v>
      </c>
      <c r="D224" s="84">
        <v>23</v>
      </c>
      <c r="E224" s="84">
        <v>0</v>
      </c>
      <c r="F224" s="84" t="s">
        <v>2812</v>
      </c>
      <c r="G224" s="84">
        <v>1</v>
      </c>
      <c r="H224" s="84" t="s">
        <v>2812</v>
      </c>
      <c r="I224" s="84">
        <v>0</v>
      </c>
      <c r="J224" s="84" t="s">
        <v>2805</v>
      </c>
    </row>
    <row r="225" spans="1:10" ht="12.75" customHeight="1">
      <c r="A225" s="83"/>
      <c r="B225" s="83" t="s">
        <v>2814</v>
      </c>
      <c r="C225" s="84" t="s">
        <v>2805</v>
      </c>
      <c r="D225" s="84" t="s">
        <v>2812</v>
      </c>
      <c r="E225" s="84" t="s">
        <v>2805</v>
      </c>
      <c r="F225" s="84" t="s">
        <v>2805</v>
      </c>
      <c r="G225" s="84" t="s">
        <v>2805</v>
      </c>
      <c r="H225" s="84" t="s">
        <v>2805</v>
      </c>
      <c r="I225" s="84" t="s">
        <v>2805</v>
      </c>
      <c r="J225" s="84" t="s">
        <v>2805</v>
      </c>
    </row>
    <row r="226" spans="1:10" ht="12.75" customHeight="1">
      <c r="A226" s="83"/>
      <c r="B226" s="83" t="s">
        <v>2815</v>
      </c>
      <c r="C226" s="84" t="s">
        <v>2805</v>
      </c>
      <c r="D226" s="84">
        <v>1</v>
      </c>
      <c r="E226" s="84">
        <v>0</v>
      </c>
      <c r="F226" s="84" t="s">
        <v>2812</v>
      </c>
      <c r="G226" s="84">
        <v>1</v>
      </c>
      <c r="H226" s="84" t="s">
        <v>2812</v>
      </c>
      <c r="I226" s="84">
        <v>0</v>
      </c>
      <c r="J226" s="84" t="s">
        <v>2805</v>
      </c>
    </row>
    <row r="227" spans="1:10" ht="12.75" customHeight="1">
      <c r="A227" s="83"/>
      <c r="B227" s="81" t="s">
        <v>2816</v>
      </c>
      <c r="C227" s="84" t="s">
        <v>2805</v>
      </c>
      <c r="D227" s="84">
        <v>10</v>
      </c>
      <c r="E227" s="84" t="s">
        <v>2812</v>
      </c>
      <c r="F227" s="84" t="s">
        <v>2812</v>
      </c>
      <c r="G227" s="84">
        <v>5</v>
      </c>
      <c r="H227" s="84">
        <v>1</v>
      </c>
      <c r="I227" s="84" t="s">
        <v>2812</v>
      </c>
      <c r="J227" s="84" t="s">
        <v>2805</v>
      </c>
    </row>
    <row r="228" spans="1:10" ht="12.75" customHeight="1">
      <c r="A228" s="83"/>
      <c r="B228" s="83" t="s">
        <v>2817</v>
      </c>
      <c r="C228" s="84" t="s">
        <v>2805</v>
      </c>
      <c r="D228" s="84">
        <v>5</v>
      </c>
      <c r="E228" s="84">
        <v>0</v>
      </c>
      <c r="F228" s="84" t="s">
        <v>2812</v>
      </c>
      <c r="G228" s="84">
        <v>4</v>
      </c>
      <c r="H228" s="84" t="s">
        <v>2812</v>
      </c>
      <c r="I228" s="84" t="s">
        <v>2812</v>
      </c>
      <c r="J228" s="84" t="s">
        <v>2805</v>
      </c>
    </row>
    <row r="229" spans="1:10" ht="12.75" customHeight="1">
      <c r="A229" s="83"/>
      <c r="B229" s="83" t="s">
        <v>2818</v>
      </c>
      <c r="C229" s="84" t="s">
        <v>2805</v>
      </c>
      <c r="D229" s="84">
        <v>3</v>
      </c>
      <c r="E229" s="84" t="s">
        <v>2805</v>
      </c>
      <c r="F229" s="84" t="s">
        <v>2805</v>
      </c>
      <c r="G229" s="84" t="s">
        <v>2805</v>
      </c>
      <c r="H229" s="84" t="s">
        <v>2805</v>
      </c>
      <c r="I229" s="84" t="s">
        <v>2805</v>
      </c>
      <c r="J229" s="84" t="s">
        <v>2805</v>
      </c>
    </row>
    <row r="230" spans="1:10" ht="12.75" customHeight="1">
      <c r="A230" s="83"/>
      <c r="B230" s="83" t="s">
        <v>2819</v>
      </c>
      <c r="C230" s="84" t="s">
        <v>2805</v>
      </c>
      <c r="D230" s="84">
        <v>1</v>
      </c>
      <c r="E230" s="84">
        <v>0</v>
      </c>
      <c r="F230" s="84">
        <v>0</v>
      </c>
      <c r="G230" s="84">
        <v>1</v>
      </c>
      <c r="H230" s="84" t="s">
        <v>2812</v>
      </c>
      <c r="I230" s="84">
        <v>0</v>
      </c>
      <c r="J230" s="84" t="s">
        <v>2805</v>
      </c>
    </row>
    <row r="231" spans="1:10" ht="12.75" customHeight="1">
      <c r="A231" s="83"/>
      <c r="B231" s="83" t="s">
        <v>2820</v>
      </c>
      <c r="C231" s="84" t="s">
        <v>2805</v>
      </c>
      <c r="D231" s="84">
        <v>1</v>
      </c>
      <c r="E231" s="84" t="s">
        <v>2805</v>
      </c>
      <c r="F231" s="84" t="s">
        <v>2812</v>
      </c>
      <c r="G231" s="84" t="s">
        <v>2812</v>
      </c>
      <c r="H231" s="84" t="s">
        <v>2812</v>
      </c>
      <c r="I231" s="84" t="s">
        <v>2805</v>
      </c>
      <c r="J231" s="84" t="s">
        <v>2805</v>
      </c>
    </row>
    <row r="232" spans="1:10" ht="12.75" customHeight="1">
      <c r="A232" s="83"/>
      <c r="B232" s="83" t="s">
        <v>2821</v>
      </c>
      <c r="C232" s="84" t="s">
        <v>2805</v>
      </c>
      <c r="D232" s="84" t="s">
        <v>2805</v>
      </c>
      <c r="E232" s="84">
        <v>0</v>
      </c>
      <c r="F232" s="84" t="s">
        <v>2812</v>
      </c>
      <c r="G232" s="84" t="s">
        <v>2812</v>
      </c>
      <c r="H232" s="84" t="s">
        <v>2812</v>
      </c>
      <c r="I232" s="84">
        <v>0</v>
      </c>
      <c r="J232" s="84" t="s">
        <v>2805</v>
      </c>
    </row>
    <row r="233" spans="1:10" ht="12.75" customHeight="1">
      <c r="A233" s="83"/>
      <c r="B233" s="83" t="s">
        <v>2822</v>
      </c>
      <c r="C233" s="84" t="s">
        <v>2805</v>
      </c>
      <c r="D233" s="84" t="s">
        <v>2812</v>
      </c>
      <c r="E233" s="84" t="s">
        <v>2812</v>
      </c>
      <c r="F233" s="84" t="s">
        <v>2812</v>
      </c>
      <c r="G233" s="84" t="s">
        <v>2812</v>
      </c>
      <c r="H233" s="84" t="s">
        <v>2812</v>
      </c>
      <c r="I233" s="84">
        <v>0</v>
      </c>
      <c r="J233" s="84" t="s">
        <v>2805</v>
      </c>
    </row>
    <row r="234" spans="1:10" ht="12.75" customHeight="1">
      <c r="A234" s="83"/>
      <c r="B234" s="81" t="s">
        <v>2823</v>
      </c>
      <c r="C234" s="84" t="s">
        <v>2826</v>
      </c>
      <c r="D234" s="84" t="s">
        <v>2812</v>
      </c>
      <c r="E234" s="84">
        <v>0</v>
      </c>
      <c r="F234" s="84">
        <v>0</v>
      </c>
      <c r="G234" s="84" t="s">
        <v>2812</v>
      </c>
      <c r="H234" s="84" t="s">
        <v>2812</v>
      </c>
      <c r="I234" s="84">
        <v>0</v>
      </c>
      <c r="J234" s="84" t="s">
        <v>2826</v>
      </c>
    </row>
    <row r="235" spans="1:10" ht="12.75" customHeight="1">
      <c r="A235" s="83"/>
      <c r="B235" s="83"/>
      <c r="C235" s="84"/>
      <c r="D235" s="84"/>
      <c r="E235" s="84"/>
      <c r="F235" s="84"/>
      <c r="G235" s="84"/>
      <c r="H235" s="84"/>
      <c r="I235" s="84"/>
      <c r="J235" s="84"/>
    </row>
    <row r="236" spans="1:10" s="71" customFormat="1" ht="12.75" customHeight="1">
      <c r="A236" s="81" t="s">
        <v>2843</v>
      </c>
      <c r="B236" s="81" t="s">
        <v>2844</v>
      </c>
      <c r="C236" s="86"/>
      <c r="D236" s="86"/>
      <c r="E236" s="86"/>
      <c r="F236" s="86"/>
      <c r="G236" s="86"/>
      <c r="H236" s="86"/>
      <c r="I236" s="86"/>
      <c r="J236" s="86"/>
    </row>
    <row r="237" spans="1:10" ht="12.75" customHeight="1">
      <c r="A237" s="83"/>
      <c r="B237" s="83"/>
      <c r="C237" s="84"/>
      <c r="D237" s="84"/>
      <c r="E237" s="84"/>
      <c r="F237" s="84"/>
      <c r="G237" s="84"/>
      <c r="H237" s="84"/>
      <c r="I237" s="84"/>
      <c r="J237" s="84"/>
    </row>
    <row r="238" spans="1:10" ht="12.75" customHeight="1">
      <c r="A238" s="83"/>
      <c r="B238" s="83"/>
      <c r="C238" s="84"/>
      <c r="D238" s="84"/>
      <c r="E238" s="84"/>
      <c r="F238" s="84"/>
      <c r="G238" s="84"/>
      <c r="H238" s="84"/>
      <c r="I238" s="84"/>
      <c r="J238" s="84"/>
    </row>
    <row r="239" spans="1:10" ht="12.75" customHeight="1">
      <c r="A239" s="83"/>
      <c r="B239" s="81" t="s">
        <v>2803</v>
      </c>
      <c r="C239" s="84">
        <v>7</v>
      </c>
      <c r="D239" s="84">
        <v>3</v>
      </c>
      <c r="E239" s="84" t="s">
        <v>2812</v>
      </c>
      <c r="F239" s="84" t="s">
        <v>2812</v>
      </c>
      <c r="G239" s="84">
        <v>4</v>
      </c>
      <c r="H239" s="84" t="s">
        <v>2812</v>
      </c>
      <c r="I239" s="84">
        <v>0</v>
      </c>
      <c r="J239" s="84" t="s">
        <v>2812</v>
      </c>
    </row>
    <row r="240" spans="1:10" ht="12.75" customHeight="1">
      <c r="A240" s="83"/>
      <c r="B240" s="81" t="s">
        <v>2804</v>
      </c>
      <c r="C240" s="84" t="s">
        <v>2805</v>
      </c>
      <c r="D240" s="84" t="s">
        <v>2812</v>
      </c>
      <c r="E240" s="84" t="s">
        <v>2812</v>
      </c>
      <c r="F240" s="84" t="s">
        <v>2812</v>
      </c>
      <c r="G240" s="84">
        <v>3</v>
      </c>
      <c r="H240" s="84" t="s">
        <v>2812</v>
      </c>
      <c r="I240" s="84">
        <v>0</v>
      </c>
      <c r="J240" s="84" t="s">
        <v>2805</v>
      </c>
    </row>
    <row r="241" spans="1:10" ht="12.75" customHeight="1">
      <c r="A241" s="83"/>
      <c r="B241" s="83" t="s">
        <v>2806</v>
      </c>
      <c r="C241" s="84" t="s">
        <v>2805</v>
      </c>
      <c r="D241" s="84" t="s">
        <v>2812</v>
      </c>
      <c r="E241" s="84" t="s">
        <v>2812</v>
      </c>
      <c r="F241" s="84" t="s">
        <v>2812</v>
      </c>
      <c r="G241" s="84">
        <v>2</v>
      </c>
      <c r="H241" s="84" t="s">
        <v>2812</v>
      </c>
      <c r="I241" s="84">
        <v>0</v>
      </c>
      <c r="J241" s="84" t="s">
        <v>2805</v>
      </c>
    </row>
    <row r="242" spans="1:10" ht="12.75" customHeight="1">
      <c r="A242" s="83"/>
      <c r="B242" s="83" t="s">
        <v>2807</v>
      </c>
      <c r="C242" s="84" t="s">
        <v>2805</v>
      </c>
      <c r="D242" s="84">
        <v>0</v>
      </c>
      <c r="E242" s="84">
        <v>0</v>
      </c>
      <c r="F242" s="84" t="s">
        <v>2812</v>
      </c>
      <c r="G242" s="84">
        <v>1</v>
      </c>
      <c r="H242" s="84" t="s">
        <v>2812</v>
      </c>
      <c r="I242" s="84">
        <v>0</v>
      </c>
      <c r="J242" s="84" t="s">
        <v>2805</v>
      </c>
    </row>
    <row r="243" spans="1:10" ht="12.75" customHeight="1">
      <c r="A243" s="83"/>
      <c r="B243" s="81" t="s">
        <v>2808</v>
      </c>
      <c r="C243" s="84" t="s">
        <v>2805</v>
      </c>
      <c r="D243" s="84">
        <v>2</v>
      </c>
      <c r="E243" s="84">
        <v>0</v>
      </c>
      <c r="F243" s="84" t="s">
        <v>2812</v>
      </c>
      <c r="G243" s="84">
        <v>1</v>
      </c>
      <c r="H243" s="84" t="s">
        <v>2812</v>
      </c>
      <c r="I243" s="84">
        <v>0</v>
      </c>
      <c r="J243" s="84" t="s">
        <v>2805</v>
      </c>
    </row>
    <row r="244" spans="1:10" ht="12.75" customHeight="1">
      <c r="A244" s="83"/>
      <c r="B244" s="83" t="s">
        <v>2810</v>
      </c>
      <c r="C244" s="84" t="s">
        <v>2805</v>
      </c>
      <c r="D244" s="84" t="s">
        <v>2812</v>
      </c>
      <c r="E244" s="84">
        <v>0</v>
      </c>
      <c r="F244" s="84">
        <v>0</v>
      </c>
      <c r="G244" s="84" t="s">
        <v>2812</v>
      </c>
      <c r="H244" s="84" t="s">
        <v>2812</v>
      </c>
      <c r="I244" s="84">
        <v>0</v>
      </c>
      <c r="J244" s="84" t="s">
        <v>2805</v>
      </c>
    </row>
    <row r="245" spans="1:10" ht="12.75" customHeight="1">
      <c r="A245" s="83"/>
      <c r="B245" s="83" t="s">
        <v>2811</v>
      </c>
      <c r="C245" s="84" t="s">
        <v>2805</v>
      </c>
      <c r="D245" s="84" t="s">
        <v>2812</v>
      </c>
      <c r="E245" s="84">
        <v>0</v>
      </c>
      <c r="F245" s="84">
        <v>0</v>
      </c>
      <c r="G245" s="84">
        <v>0</v>
      </c>
      <c r="H245" s="84">
        <v>0</v>
      </c>
      <c r="I245" s="84">
        <v>0</v>
      </c>
      <c r="J245" s="84" t="s">
        <v>2805</v>
      </c>
    </row>
    <row r="246" spans="1:10" ht="12.75" customHeight="1">
      <c r="A246" s="83"/>
      <c r="B246" s="83" t="s">
        <v>2813</v>
      </c>
      <c r="C246" s="84" t="s">
        <v>2805</v>
      </c>
      <c r="D246" s="84">
        <v>1</v>
      </c>
      <c r="E246" s="84">
        <v>0</v>
      </c>
      <c r="F246" s="84" t="s">
        <v>2812</v>
      </c>
      <c r="G246" s="84" t="s">
        <v>2812</v>
      </c>
      <c r="H246" s="84" t="s">
        <v>2812</v>
      </c>
      <c r="I246" s="84">
        <v>0</v>
      </c>
      <c r="J246" s="84" t="s">
        <v>2805</v>
      </c>
    </row>
    <row r="247" spans="1:10" ht="12.75" customHeight="1">
      <c r="A247" s="83"/>
      <c r="B247" s="83" t="s">
        <v>2814</v>
      </c>
      <c r="C247" s="84" t="s">
        <v>2805</v>
      </c>
      <c r="D247" s="84" t="s">
        <v>2812</v>
      </c>
      <c r="E247" s="84" t="s">
        <v>2805</v>
      </c>
      <c r="F247" s="84" t="s">
        <v>2805</v>
      </c>
      <c r="G247" s="84" t="s">
        <v>2805</v>
      </c>
      <c r="H247" s="84" t="s">
        <v>2805</v>
      </c>
      <c r="I247" s="84" t="s">
        <v>2805</v>
      </c>
      <c r="J247" s="84" t="s">
        <v>2805</v>
      </c>
    </row>
    <row r="248" spans="1:10" ht="12.75" customHeight="1">
      <c r="A248" s="83"/>
      <c r="B248" s="83" t="s">
        <v>2815</v>
      </c>
      <c r="C248" s="84" t="s">
        <v>2805</v>
      </c>
      <c r="D248" s="84" t="s">
        <v>2812</v>
      </c>
      <c r="E248" s="84">
        <v>0</v>
      </c>
      <c r="F248" s="84">
        <v>0</v>
      </c>
      <c r="G248" s="84" t="s">
        <v>2812</v>
      </c>
      <c r="H248" s="84">
        <v>0</v>
      </c>
      <c r="I248" s="84">
        <v>0</v>
      </c>
      <c r="J248" s="84" t="s">
        <v>2805</v>
      </c>
    </row>
    <row r="249" spans="1:10" ht="12.75" customHeight="1">
      <c r="A249" s="83"/>
      <c r="B249" s="81" t="s">
        <v>2816</v>
      </c>
      <c r="C249" s="84" t="s">
        <v>2805</v>
      </c>
      <c r="D249" s="84">
        <v>1</v>
      </c>
      <c r="E249" s="84">
        <v>0</v>
      </c>
      <c r="F249" s="84" t="s">
        <v>2812</v>
      </c>
      <c r="G249" s="84" t="s">
        <v>2812</v>
      </c>
      <c r="H249" s="84" t="s">
        <v>2812</v>
      </c>
      <c r="I249" s="84">
        <v>0</v>
      </c>
      <c r="J249" s="84" t="s">
        <v>2805</v>
      </c>
    </row>
    <row r="250" spans="1:10" ht="12.75" customHeight="1">
      <c r="A250" s="83"/>
      <c r="B250" s="83" t="s">
        <v>2817</v>
      </c>
      <c r="C250" s="84" t="s">
        <v>2805</v>
      </c>
      <c r="D250" s="84">
        <v>1</v>
      </c>
      <c r="E250" s="84">
        <v>0</v>
      </c>
      <c r="F250" s="84" t="s">
        <v>2812</v>
      </c>
      <c r="G250" s="84" t="s">
        <v>2812</v>
      </c>
      <c r="H250" s="84" t="s">
        <v>2812</v>
      </c>
      <c r="I250" s="84">
        <v>0</v>
      </c>
      <c r="J250" s="84" t="s">
        <v>2805</v>
      </c>
    </row>
    <row r="251" spans="1:10" ht="12.75" customHeight="1">
      <c r="A251" s="83"/>
      <c r="B251" s="83" t="s">
        <v>2818</v>
      </c>
      <c r="C251" s="84" t="s">
        <v>2805</v>
      </c>
      <c r="D251" s="84" t="s">
        <v>2812</v>
      </c>
      <c r="E251" s="84" t="s">
        <v>2805</v>
      </c>
      <c r="F251" s="84" t="s">
        <v>2805</v>
      </c>
      <c r="G251" s="84" t="s">
        <v>2805</v>
      </c>
      <c r="H251" s="84" t="s">
        <v>2805</v>
      </c>
      <c r="I251" s="84" t="s">
        <v>2805</v>
      </c>
      <c r="J251" s="84" t="s">
        <v>2805</v>
      </c>
    </row>
    <row r="252" spans="1:10" ht="12.75" customHeight="1">
      <c r="A252" s="83"/>
      <c r="B252" s="83" t="s">
        <v>2819</v>
      </c>
      <c r="C252" s="84" t="s">
        <v>2805</v>
      </c>
      <c r="D252" s="84" t="s">
        <v>2812</v>
      </c>
      <c r="E252" s="84">
        <v>0</v>
      </c>
      <c r="F252" s="84">
        <v>0</v>
      </c>
      <c r="G252" s="84" t="s">
        <v>2812</v>
      </c>
      <c r="H252" s="84" t="s">
        <v>2812</v>
      </c>
      <c r="I252" s="84">
        <v>0</v>
      </c>
      <c r="J252" s="84" t="s">
        <v>2805</v>
      </c>
    </row>
    <row r="253" spans="1:10" ht="12.75" customHeight="1">
      <c r="A253" s="83"/>
      <c r="B253" s="83" t="s">
        <v>2820</v>
      </c>
      <c r="C253" s="84" t="s">
        <v>2805</v>
      </c>
      <c r="D253" s="84" t="s">
        <v>2812</v>
      </c>
      <c r="E253" s="84" t="s">
        <v>2805</v>
      </c>
      <c r="F253" s="84" t="s">
        <v>2812</v>
      </c>
      <c r="G253" s="84" t="s">
        <v>2812</v>
      </c>
      <c r="H253" s="84" t="s">
        <v>2812</v>
      </c>
      <c r="I253" s="84" t="s">
        <v>2805</v>
      </c>
      <c r="J253" s="84" t="s">
        <v>2805</v>
      </c>
    </row>
    <row r="254" spans="1:10" ht="12.75" customHeight="1">
      <c r="A254" s="83"/>
      <c r="B254" s="83" t="s">
        <v>2821</v>
      </c>
      <c r="C254" s="84" t="s">
        <v>2805</v>
      </c>
      <c r="D254" s="84" t="s">
        <v>2805</v>
      </c>
      <c r="E254" s="84">
        <v>0</v>
      </c>
      <c r="F254" s="84" t="s">
        <v>2812</v>
      </c>
      <c r="G254" s="84">
        <v>0</v>
      </c>
      <c r="H254" s="84">
        <v>0</v>
      </c>
      <c r="I254" s="84">
        <v>0</v>
      </c>
      <c r="J254" s="84" t="s">
        <v>2805</v>
      </c>
    </row>
    <row r="255" spans="1:10" ht="12.75" customHeight="1">
      <c r="A255" s="83"/>
      <c r="B255" s="83" t="s">
        <v>2822</v>
      </c>
      <c r="C255" s="84" t="s">
        <v>2805</v>
      </c>
      <c r="D255" s="84" t="s">
        <v>2812</v>
      </c>
      <c r="E255" s="84">
        <v>0</v>
      </c>
      <c r="F255" s="84" t="s">
        <v>2812</v>
      </c>
      <c r="G255" s="84" t="s">
        <v>2812</v>
      </c>
      <c r="H255" s="84" t="s">
        <v>2812</v>
      </c>
      <c r="I255" s="84">
        <v>0</v>
      </c>
      <c r="J255" s="84" t="s">
        <v>2805</v>
      </c>
    </row>
    <row r="256" spans="1:10" ht="12.75" customHeight="1">
      <c r="A256" s="83"/>
      <c r="B256" s="81" t="s">
        <v>2823</v>
      </c>
      <c r="C256" s="84" t="s">
        <v>2812</v>
      </c>
      <c r="D256" s="84" t="s">
        <v>2812</v>
      </c>
      <c r="E256" s="84">
        <v>0</v>
      </c>
      <c r="F256" s="84">
        <v>0</v>
      </c>
      <c r="G256" s="84">
        <v>0</v>
      </c>
      <c r="H256" s="84">
        <v>0</v>
      </c>
      <c r="I256" s="84">
        <v>0</v>
      </c>
      <c r="J256" s="84" t="s">
        <v>2812</v>
      </c>
    </row>
    <row r="257" spans="1:10" ht="12.75" customHeight="1">
      <c r="A257" s="83"/>
      <c r="B257" s="83"/>
      <c r="C257" s="84"/>
      <c r="D257" s="84"/>
      <c r="E257" s="84"/>
      <c r="F257" s="84"/>
      <c r="G257" s="84"/>
      <c r="H257" s="84"/>
      <c r="I257" s="84"/>
      <c r="J257" s="84"/>
    </row>
    <row r="258" spans="1:10" s="71" customFormat="1" ht="12.75" customHeight="1">
      <c r="A258" s="81" t="s">
        <v>2845</v>
      </c>
      <c r="B258" s="81" t="s">
        <v>2846</v>
      </c>
      <c r="C258" s="86"/>
      <c r="D258" s="86"/>
      <c r="E258" s="86"/>
      <c r="F258" s="86"/>
      <c r="G258" s="86"/>
      <c r="H258" s="86"/>
      <c r="I258" s="86"/>
      <c r="J258" s="86"/>
    </row>
    <row r="259" spans="1:10" ht="12.75" customHeight="1">
      <c r="A259" s="83"/>
      <c r="B259" s="83"/>
      <c r="C259" s="84"/>
      <c r="D259" s="84"/>
      <c r="E259" s="84"/>
      <c r="F259" s="84"/>
      <c r="G259" s="84"/>
      <c r="H259" s="84"/>
      <c r="I259" s="84"/>
      <c r="J259" s="84"/>
    </row>
    <row r="260" spans="1:10" ht="12.75" customHeight="1">
      <c r="A260" s="83"/>
      <c r="B260" s="83"/>
      <c r="C260" s="84"/>
      <c r="D260" s="84"/>
      <c r="E260" s="84"/>
      <c r="F260" s="84"/>
      <c r="G260" s="84"/>
      <c r="H260" s="84"/>
      <c r="I260" s="84"/>
      <c r="J260" s="84"/>
    </row>
    <row r="261" spans="1:10" ht="12.75" customHeight="1">
      <c r="A261" s="83"/>
      <c r="B261" s="81" t="s">
        <v>2803</v>
      </c>
      <c r="C261" s="84">
        <v>64</v>
      </c>
      <c r="D261" s="84">
        <v>37</v>
      </c>
      <c r="E261" s="84" t="s">
        <v>2812</v>
      </c>
      <c r="F261" s="84" t="s">
        <v>2812</v>
      </c>
      <c r="G261" s="84">
        <v>23</v>
      </c>
      <c r="H261" s="84">
        <v>1</v>
      </c>
      <c r="I261" s="84">
        <v>1</v>
      </c>
      <c r="J261" s="84">
        <v>1</v>
      </c>
    </row>
    <row r="262" spans="1:10" ht="12.75" customHeight="1">
      <c r="A262" s="83"/>
      <c r="B262" s="81" t="s">
        <v>2804</v>
      </c>
      <c r="C262" s="84" t="s">
        <v>2805</v>
      </c>
      <c r="D262" s="84">
        <v>1</v>
      </c>
      <c r="E262" s="84" t="s">
        <v>2812</v>
      </c>
      <c r="F262" s="84" t="s">
        <v>2812</v>
      </c>
      <c r="G262" s="84">
        <v>11</v>
      </c>
      <c r="H262" s="84">
        <v>1</v>
      </c>
      <c r="I262" s="84">
        <v>1</v>
      </c>
      <c r="J262" s="84" t="s">
        <v>2805</v>
      </c>
    </row>
    <row r="263" spans="1:10" ht="12.75" customHeight="1">
      <c r="A263" s="83"/>
      <c r="B263" s="83" t="s">
        <v>2806</v>
      </c>
      <c r="C263" s="84" t="s">
        <v>2805</v>
      </c>
      <c r="D263" s="84">
        <v>1</v>
      </c>
      <c r="E263" s="84" t="s">
        <v>2812</v>
      </c>
      <c r="F263" s="84" t="s">
        <v>2812</v>
      </c>
      <c r="G263" s="84">
        <v>7</v>
      </c>
      <c r="H263" s="84" t="s">
        <v>2812</v>
      </c>
      <c r="I263" s="84">
        <v>1</v>
      </c>
      <c r="J263" s="84" t="s">
        <v>2805</v>
      </c>
    </row>
    <row r="264" spans="1:10" ht="12.75" customHeight="1">
      <c r="A264" s="83"/>
      <c r="B264" s="83" t="s">
        <v>2807</v>
      </c>
      <c r="C264" s="84" t="s">
        <v>2805</v>
      </c>
      <c r="D264" s="84">
        <v>0</v>
      </c>
      <c r="E264" s="84" t="s">
        <v>2812</v>
      </c>
      <c r="F264" s="84" t="s">
        <v>2812</v>
      </c>
      <c r="G264" s="84">
        <v>5</v>
      </c>
      <c r="H264" s="84" t="s">
        <v>2812</v>
      </c>
      <c r="I264" s="84">
        <v>1</v>
      </c>
      <c r="J264" s="84" t="s">
        <v>2805</v>
      </c>
    </row>
    <row r="265" spans="1:10" ht="12.75" customHeight="1">
      <c r="A265" s="83"/>
      <c r="B265" s="81" t="s">
        <v>2808</v>
      </c>
      <c r="C265" s="84" t="s">
        <v>2805</v>
      </c>
      <c r="D265" s="84">
        <v>27</v>
      </c>
      <c r="E265" s="84">
        <v>0</v>
      </c>
      <c r="F265" s="84" t="s">
        <v>2812</v>
      </c>
      <c r="G265" s="84">
        <v>9</v>
      </c>
      <c r="H265" s="84" t="s">
        <v>2812</v>
      </c>
      <c r="I265" s="84">
        <v>0</v>
      </c>
      <c r="J265" s="84" t="s">
        <v>2805</v>
      </c>
    </row>
    <row r="266" spans="1:10" ht="12.75" customHeight="1">
      <c r="A266" s="83"/>
      <c r="B266" s="83" t="s">
        <v>2810</v>
      </c>
      <c r="C266" s="84" t="s">
        <v>2805</v>
      </c>
      <c r="D266" s="84">
        <v>3</v>
      </c>
      <c r="E266" s="84">
        <v>0</v>
      </c>
      <c r="F266" s="84" t="s">
        <v>2812</v>
      </c>
      <c r="G266" s="84">
        <v>9</v>
      </c>
      <c r="H266" s="84" t="s">
        <v>2812</v>
      </c>
      <c r="I266" s="84">
        <v>0</v>
      </c>
      <c r="J266" s="84" t="s">
        <v>2805</v>
      </c>
    </row>
    <row r="267" spans="1:10" ht="12.75" customHeight="1">
      <c r="A267" s="83"/>
      <c r="B267" s="83" t="s">
        <v>2811</v>
      </c>
      <c r="C267" s="84" t="s">
        <v>2805</v>
      </c>
      <c r="D267" s="84">
        <v>2</v>
      </c>
      <c r="E267" s="84">
        <v>0</v>
      </c>
      <c r="F267" s="84">
        <v>0</v>
      </c>
      <c r="G267" s="84" t="s">
        <v>2812</v>
      </c>
      <c r="H267" s="84">
        <v>0</v>
      </c>
      <c r="I267" s="84">
        <v>0</v>
      </c>
      <c r="J267" s="84" t="s">
        <v>2805</v>
      </c>
    </row>
    <row r="268" spans="1:10" ht="12.75" customHeight="1">
      <c r="A268" s="83"/>
      <c r="B268" s="83" t="s">
        <v>2813</v>
      </c>
      <c r="C268" s="84" t="s">
        <v>2805</v>
      </c>
      <c r="D268" s="84">
        <v>21</v>
      </c>
      <c r="E268" s="84">
        <v>0</v>
      </c>
      <c r="F268" s="84" t="s">
        <v>2812</v>
      </c>
      <c r="G268" s="84">
        <v>1</v>
      </c>
      <c r="H268" s="84" t="s">
        <v>2812</v>
      </c>
      <c r="I268" s="84">
        <v>0</v>
      </c>
      <c r="J268" s="84" t="s">
        <v>2805</v>
      </c>
    </row>
    <row r="269" spans="1:10" ht="12.75" customHeight="1">
      <c r="A269" s="83"/>
      <c r="B269" s="83" t="s">
        <v>2814</v>
      </c>
      <c r="C269" s="84" t="s">
        <v>2805</v>
      </c>
      <c r="D269" s="84" t="s">
        <v>2812</v>
      </c>
      <c r="E269" s="84" t="s">
        <v>2805</v>
      </c>
      <c r="F269" s="84" t="s">
        <v>2805</v>
      </c>
      <c r="G269" s="84" t="s">
        <v>2805</v>
      </c>
      <c r="H269" s="84" t="s">
        <v>2805</v>
      </c>
      <c r="I269" s="84" t="s">
        <v>2805</v>
      </c>
      <c r="J269" s="84" t="s">
        <v>2805</v>
      </c>
    </row>
    <row r="270" spans="1:10" ht="12.75" customHeight="1">
      <c r="A270" s="83"/>
      <c r="B270" s="83" t="s">
        <v>2815</v>
      </c>
      <c r="C270" s="84" t="s">
        <v>2805</v>
      </c>
      <c r="D270" s="84">
        <v>1</v>
      </c>
      <c r="E270" s="84">
        <v>0</v>
      </c>
      <c r="F270" s="84">
        <v>0</v>
      </c>
      <c r="G270" s="84" t="s">
        <v>2812</v>
      </c>
      <c r="H270" s="84" t="s">
        <v>2812</v>
      </c>
      <c r="I270" s="84">
        <v>0</v>
      </c>
      <c r="J270" s="84" t="s">
        <v>2805</v>
      </c>
    </row>
    <row r="271" spans="1:10" ht="12.75" customHeight="1">
      <c r="A271" s="83"/>
      <c r="B271" s="81" t="s">
        <v>2816</v>
      </c>
      <c r="C271" s="84" t="s">
        <v>2805</v>
      </c>
      <c r="D271" s="84">
        <v>10</v>
      </c>
      <c r="E271" s="84">
        <v>0</v>
      </c>
      <c r="F271" s="84" t="s">
        <v>2812</v>
      </c>
      <c r="G271" s="84">
        <v>2</v>
      </c>
      <c r="H271" s="84" t="s">
        <v>2812</v>
      </c>
      <c r="I271" s="84">
        <v>0</v>
      </c>
      <c r="J271" s="84" t="s">
        <v>2805</v>
      </c>
    </row>
    <row r="272" spans="1:10" ht="12.75" customHeight="1">
      <c r="A272" s="83"/>
      <c r="B272" s="83" t="s">
        <v>2817</v>
      </c>
      <c r="C272" s="84" t="s">
        <v>2805</v>
      </c>
      <c r="D272" s="84">
        <v>6</v>
      </c>
      <c r="E272" s="84">
        <v>0</v>
      </c>
      <c r="F272" s="84" t="s">
        <v>2812</v>
      </c>
      <c r="G272" s="84">
        <v>2</v>
      </c>
      <c r="H272" s="84" t="s">
        <v>2812</v>
      </c>
      <c r="I272" s="84">
        <v>0</v>
      </c>
      <c r="J272" s="84" t="s">
        <v>2805</v>
      </c>
    </row>
    <row r="273" spans="1:10" ht="12.75" customHeight="1">
      <c r="A273" s="83"/>
      <c r="B273" s="83" t="s">
        <v>2818</v>
      </c>
      <c r="C273" s="84" t="s">
        <v>2805</v>
      </c>
      <c r="D273" s="84">
        <v>2</v>
      </c>
      <c r="E273" s="84" t="s">
        <v>2805</v>
      </c>
      <c r="F273" s="84" t="s">
        <v>2805</v>
      </c>
      <c r="G273" s="84" t="s">
        <v>2805</v>
      </c>
      <c r="H273" s="84" t="s">
        <v>2805</v>
      </c>
      <c r="I273" s="84" t="s">
        <v>2805</v>
      </c>
      <c r="J273" s="84" t="s">
        <v>2805</v>
      </c>
    </row>
    <row r="274" spans="1:10" ht="12.75" customHeight="1">
      <c r="A274" s="83"/>
      <c r="B274" s="83" t="s">
        <v>2819</v>
      </c>
      <c r="C274" s="84" t="s">
        <v>2805</v>
      </c>
      <c r="D274" s="84">
        <v>1</v>
      </c>
      <c r="E274" s="84">
        <v>0</v>
      </c>
      <c r="F274" s="84" t="s">
        <v>2812</v>
      </c>
      <c r="G274" s="84" t="s">
        <v>2812</v>
      </c>
      <c r="H274" s="84" t="s">
        <v>2812</v>
      </c>
      <c r="I274" s="84">
        <v>0</v>
      </c>
      <c r="J274" s="84" t="s">
        <v>2805</v>
      </c>
    </row>
    <row r="275" spans="1:10" ht="12.75" customHeight="1">
      <c r="A275" s="83"/>
      <c r="B275" s="83" t="s">
        <v>2820</v>
      </c>
      <c r="C275" s="84" t="s">
        <v>2805</v>
      </c>
      <c r="D275" s="84" t="s">
        <v>2812</v>
      </c>
      <c r="E275" s="84" t="s">
        <v>2805</v>
      </c>
      <c r="F275" s="84" t="s">
        <v>2812</v>
      </c>
      <c r="G275" s="84" t="s">
        <v>2812</v>
      </c>
      <c r="H275" s="84" t="s">
        <v>2812</v>
      </c>
      <c r="I275" s="84" t="s">
        <v>2805</v>
      </c>
      <c r="J275" s="84" t="s">
        <v>2805</v>
      </c>
    </row>
    <row r="276" spans="1:10" ht="12.75" customHeight="1">
      <c r="A276" s="83"/>
      <c r="B276" s="83" t="s">
        <v>2821</v>
      </c>
      <c r="C276" s="84" t="s">
        <v>2805</v>
      </c>
      <c r="D276" s="84" t="s">
        <v>2805</v>
      </c>
      <c r="E276" s="84">
        <v>0</v>
      </c>
      <c r="F276" s="84">
        <v>0</v>
      </c>
      <c r="G276" s="84" t="s">
        <v>2812</v>
      </c>
      <c r="H276" s="84">
        <v>0</v>
      </c>
      <c r="I276" s="84">
        <v>0</v>
      </c>
      <c r="J276" s="84" t="s">
        <v>2805</v>
      </c>
    </row>
    <row r="277" spans="1:10" ht="12.75" customHeight="1">
      <c r="A277" s="83"/>
      <c r="B277" s="83" t="s">
        <v>2822</v>
      </c>
      <c r="C277" s="84" t="s">
        <v>2805</v>
      </c>
      <c r="D277" s="84" t="s">
        <v>2812</v>
      </c>
      <c r="E277" s="84">
        <v>0</v>
      </c>
      <c r="F277" s="84" t="s">
        <v>2812</v>
      </c>
      <c r="G277" s="84">
        <v>0</v>
      </c>
      <c r="H277" s="84" t="s">
        <v>2812</v>
      </c>
      <c r="I277" s="84">
        <v>0</v>
      </c>
      <c r="J277" s="84" t="s">
        <v>2805</v>
      </c>
    </row>
    <row r="278" spans="1:10" ht="12.75" customHeight="1">
      <c r="A278" s="83"/>
      <c r="B278" s="81" t="s">
        <v>2823</v>
      </c>
      <c r="C278" s="84">
        <v>1</v>
      </c>
      <c r="D278" s="84" t="s">
        <v>2812</v>
      </c>
      <c r="E278" s="84">
        <v>0</v>
      </c>
      <c r="F278" s="84">
        <v>0</v>
      </c>
      <c r="G278" s="84">
        <v>0</v>
      </c>
      <c r="H278" s="84" t="s">
        <v>2812</v>
      </c>
      <c r="I278" s="84">
        <v>0</v>
      </c>
      <c r="J278" s="84">
        <v>1</v>
      </c>
    </row>
    <row r="279" spans="1:10" ht="12.75" customHeight="1">
      <c r="A279" s="83"/>
      <c r="B279" s="83"/>
      <c r="C279" s="84"/>
      <c r="D279" s="84"/>
      <c r="E279" s="84"/>
      <c r="F279" s="84"/>
      <c r="G279" s="84"/>
      <c r="H279" s="84"/>
      <c r="I279" s="84"/>
      <c r="J279" s="84"/>
    </row>
    <row r="280" spans="1:10" s="71" customFormat="1" ht="12.75" customHeight="1">
      <c r="A280" s="81" t="s">
        <v>2847</v>
      </c>
      <c r="B280" s="81" t="s">
        <v>2848</v>
      </c>
      <c r="C280" s="86"/>
      <c r="D280" s="86"/>
      <c r="E280" s="86"/>
      <c r="F280" s="86"/>
      <c r="G280" s="86"/>
      <c r="H280" s="86"/>
      <c r="I280" s="86"/>
      <c r="J280" s="86"/>
    </row>
    <row r="281" spans="1:10" ht="12.75" customHeight="1">
      <c r="A281" s="83"/>
      <c r="B281" s="83"/>
      <c r="C281" s="84"/>
      <c r="D281" s="84"/>
      <c r="E281" s="84"/>
      <c r="F281" s="84"/>
      <c r="G281" s="84"/>
      <c r="H281" s="84"/>
      <c r="I281" s="84"/>
      <c r="J281" s="84"/>
    </row>
    <row r="282" spans="1:10" ht="12.75" customHeight="1">
      <c r="A282" s="83"/>
      <c r="B282" s="83"/>
      <c r="C282" s="84"/>
      <c r="D282" s="84"/>
      <c r="E282" s="84"/>
      <c r="F282" s="84"/>
      <c r="G282" s="84"/>
      <c r="H282" s="84"/>
      <c r="I282" s="84"/>
      <c r="J282" s="84"/>
    </row>
    <row r="283" spans="1:10" ht="12.75" customHeight="1">
      <c r="A283" s="83"/>
      <c r="B283" s="81" t="s">
        <v>2803</v>
      </c>
      <c r="C283" s="84">
        <v>22</v>
      </c>
      <c r="D283" s="84">
        <v>10</v>
      </c>
      <c r="E283" s="84">
        <v>0</v>
      </c>
      <c r="F283" s="84" t="s">
        <v>2812</v>
      </c>
      <c r="G283" s="84">
        <v>11</v>
      </c>
      <c r="H283" s="84" t="s">
        <v>2812</v>
      </c>
      <c r="I283" s="84" t="s">
        <v>2812</v>
      </c>
      <c r="J283" s="84" t="s">
        <v>2812</v>
      </c>
    </row>
    <row r="284" spans="1:10" ht="12.75" customHeight="1">
      <c r="A284" s="83"/>
      <c r="B284" s="81" t="s">
        <v>2804</v>
      </c>
      <c r="C284" s="84" t="s">
        <v>2805</v>
      </c>
      <c r="D284" s="84" t="s">
        <v>2812</v>
      </c>
      <c r="E284" s="84">
        <v>0</v>
      </c>
      <c r="F284" s="84" t="s">
        <v>2812</v>
      </c>
      <c r="G284" s="84">
        <v>4</v>
      </c>
      <c r="H284" s="84" t="s">
        <v>2812</v>
      </c>
      <c r="I284" s="84">
        <v>0</v>
      </c>
      <c r="J284" s="84" t="s">
        <v>2805</v>
      </c>
    </row>
    <row r="285" spans="1:10" ht="12.75" customHeight="1">
      <c r="A285" s="83"/>
      <c r="B285" s="83" t="s">
        <v>2806</v>
      </c>
      <c r="C285" s="84" t="s">
        <v>2805</v>
      </c>
      <c r="D285" s="84" t="s">
        <v>2812</v>
      </c>
      <c r="E285" s="84">
        <v>0</v>
      </c>
      <c r="F285" s="84" t="s">
        <v>2812</v>
      </c>
      <c r="G285" s="84">
        <v>4</v>
      </c>
      <c r="H285" s="84" t="s">
        <v>2812</v>
      </c>
      <c r="I285" s="84">
        <v>0</v>
      </c>
      <c r="J285" s="84" t="s">
        <v>2805</v>
      </c>
    </row>
    <row r="286" spans="1:10" ht="12.75" customHeight="1">
      <c r="A286" s="83"/>
      <c r="B286" s="83" t="s">
        <v>2807</v>
      </c>
      <c r="C286" s="84" t="s">
        <v>2805</v>
      </c>
      <c r="D286" s="84">
        <v>0</v>
      </c>
      <c r="E286" s="84">
        <v>0</v>
      </c>
      <c r="F286" s="84" t="s">
        <v>2812</v>
      </c>
      <c r="G286" s="84" t="s">
        <v>2812</v>
      </c>
      <c r="H286" s="84">
        <v>0</v>
      </c>
      <c r="I286" s="84">
        <v>0</v>
      </c>
      <c r="J286" s="84" t="s">
        <v>2805</v>
      </c>
    </row>
    <row r="287" spans="1:10" ht="12.75" customHeight="1">
      <c r="A287" s="83"/>
      <c r="B287" s="81" t="s">
        <v>2808</v>
      </c>
      <c r="C287" s="84" t="s">
        <v>2805</v>
      </c>
      <c r="D287" s="84">
        <v>7</v>
      </c>
      <c r="E287" s="84">
        <v>0</v>
      </c>
      <c r="F287" s="84" t="s">
        <v>2812</v>
      </c>
      <c r="G287" s="84">
        <v>6</v>
      </c>
      <c r="H287" s="84" t="s">
        <v>2812</v>
      </c>
      <c r="I287" s="84" t="s">
        <v>2812</v>
      </c>
      <c r="J287" s="84" t="s">
        <v>2805</v>
      </c>
    </row>
    <row r="288" spans="1:10" ht="12.75" customHeight="1">
      <c r="A288" s="83"/>
      <c r="B288" s="83" t="s">
        <v>2810</v>
      </c>
      <c r="C288" s="84" t="s">
        <v>2805</v>
      </c>
      <c r="D288" s="84">
        <v>1</v>
      </c>
      <c r="E288" s="84">
        <v>0</v>
      </c>
      <c r="F288" s="84" t="s">
        <v>2812</v>
      </c>
      <c r="G288" s="84">
        <v>5</v>
      </c>
      <c r="H288" s="84" t="s">
        <v>2812</v>
      </c>
      <c r="I288" s="84" t="s">
        <v>2812</v>
      </c>
      <c r="J288" s="84" t="s">
        <v>2805</v>
      </c>
    </row>
    <row r="289" spans="1:10" ht="12.75" customHeight="1">
      <c r="A289" s="83"/>
      <c r="B289" s="83" t="s">
        <v>2811</v>
      </c>
      <c r="C289" s="84" t="s">
        <v>2805</v>
      </c>
      <c r="D289" s="84" t="s">
        <v>2812</v>
      </c>
      <c r="E289" s="84">
        <v>0</v>
      </c>
      <c r="F289" s="84">
        <v>0</v>
      </c>
      <c r="G289" s="84">
        <v>0</v>
      </c>
      <c r="H289" s="84">
        <v>0</v>
      </c>
      <c r="I289" s="84">
        <v>0</v>
      </c>
      <c r="J289" s="84" t="s">
        <v>2805</v>
      </c>
    </row>
    <row r="290" spans="1:10" ht="12.75" customHeight="1">
      <c r="A290" s="83"/>
      <c r="B290" s="83" t="s">
        <v>2813</v>
      </c>
      <c r="C290" s="84" t="s">
        <v>2805</v>
      </c>
      <c r="D290" s="84">
        <v>6</v>
      </c>
      <c r="E290" s="84">
        <v>0</v>
      </c>
      <c r="F290" s="84">
        <v>0</v>
      </c>
      <c r="G290" s="84" t="s">
        <v>2826</v>
      </c>
      <c r="H290" s="84" t="s">
        <v>2812</v>
      </c>
      <c r="I290" s="84">
        <v>0</v>
      </c>
      <c r="J290" s="84" t="s">
        <v>2805</v>
      </c>
    </row>
    <row r="291" spans="1:10" ht="12.75" customHeight="1">
      <c r="A291" s="83"/>
      <c r="B291" s="83" t="s">
        <v>2814</v>
      </c>
      <c r="C291" s="84" t="s">
        <v>2805</v>
      </c>
      <c r="D291" s="84" t="s">
        <v>2812</v>
      </c>
      <c r="E291" s="84" t="s">
        <v>2805</v>
      </c>
      <c r="F291" s="84" t="s">
        <v>2805</v>
      </c>
      <c r="G291" s="84" t="s">
        <v>2805</v>
      </c>
      <c r="H291" s="84" t="s">
        <v>2805</v>
      </c>
      <c r="I291" s="84" t="s">
        <v>2805</v>
      </c>
      <c r="J291" s="84" t="s">
        <v>2805</v>
      </c>
    </row>
    <row r="292" spans="1:10" ht="12.75" customHeight="1">
      <c r="A292" s="83"/>
      <c r="B292" s="83" t="s">
        <v>2815</v>
      </c>
      <c r="C292" s="84" t="s">
        <v>2805</v>
      </c>
      <c r="D292" s="84" t="s">
        <v>2812</v>
      </c>
      <c r="E292" s="84">
        <v>0</v>
      </c>
      <c r="F292" s="84" t="s">
        <v>2812</v>
      </c>
      <c r="G292" s="84">
        <v>0</v>
      </c>
      <c r="H292" s="84">
        <v>0</v>
      </c>
      <c r="I292" s="84">
        <v>0</v>
      </c>
      <c r="J292" s="84" t="s">
        <v>2805</v>
      </c>
    </row>
    <row r="293" spans="1:10" ht="12.75" customHeight="1">
      <c r="A293" s="83"/>
      <c r="B293" s="81" t="s">
        <v>2816</v>
      </c>
      <c r="C293" s="84" t="s">
        <v>2805</v>
      </c>
      <c r="D293" s="84">
        <v>2</v>
      </c>
      <c r="E293" s="84">
        <v>0</v>
      </c>
      <c r="F293" s="84" t="s">
        <v>2812</v>
      </c>
      <c r="G293" s="84">
        <v>1</v>
      </c>
      <c r="H293" s="84" t="s">
        <v>2812</v>
      </c>
      <c r="I293" s="84">
        <v>0</v>
      </c>
      <c r="J293" s="84" t="s">
        <v>2805</v>
      </c>
    </row>
    <row r="294" spans="1:10" ht="12.75" customHeight="1">
      <c r="A294" s="83"/>
      <c r="B294" s="83" t="s">
        <v>2817</v>
      </c>
      <c r="C294" s="84" t="s">
        <v>2805</v>
      </c>
      <c r="D294" s="84">
        <v>1</v>
      </c>
      <c r="E294" s="84">
        <v>0</v>
      </c>
      <c r="F294" s="84" t="s">
        <v>2812</v>
      </c>
      <c r="G294" s="84">
        <v>1</v>
      </c>
      <c r="H294" s="84" t="s">
        <v>2812</v>
      </c>
      <c r="I294" s="84">
        <v>0</v>
      </c>
      <c r="J294" s="84" t="s">
        <v>2805</v>
      </c>
    </row>
    <row r="295" spans="1:10" ht="12.75" customHeight="1">
      <c r="A295" s="83"/>
      <c r="B295" s="83" t="s">
        <v>2818</v>
      </c>
      <c r="C295" s="84" t="s">
        <v>2805</v>
      </c>
      <c r="D295" s="84">
        <v>1</v>
      </c>
      <c r="E295" s="84" t="s">
        <v>2805</v>
      </c>
      <c r="F295" s="84" t="s">
        <v>2805</v>
      </c>
      <c r="G295" s="84" t="s">
        <v>2805</v>
      </c>
      <c r="H295" s="84" t="s">
        <v>2805</v>
      </c>
      <c r="I295" s="84" t="s">
        <v>2805</v>
      </c>
      <c r="J295" s="84" t="s">
        <v>2805</v>
      </c>
    </row>
    <row r="296" spans="1:10" ht="12.75" customHeight="1">
      <c r="A296" s="83"/>
      <c r="B296" s="83" t="s">
        <v>2819</v>
      </c>
      <c r="C296" s="84" t="s">
        <v>2805</v>
      </c>
      <c r="D296" s="84" t="s">
        <v>2812</v>
      </c>
      <c r="E296" s="84">
        <v>0</v>
      </c>
      <c r="F296" s="84" t="s">
        <v>2812</v>
      </c>
      <c r="G296" s="84" t="s">
        <v>2812</v>
      </c>
      <c r="H296" s="84">
        <v>0</v>
      </c>
      <c r="I296" s="84">
        <v>0</v>
      </c>
      <c r="J296" s="84" t="s">
        <v>2805</v>
      </c>
    </row>
    <row r="297" spans="1:10" ht="12.75" customHeight="1">
      <c r="A297" s="83"/>
      <c r="B297" s="83" t="s">
        <v>2820</v>
      </c>
      <c r="C297" s="84" t="s">
        <v>2805</v>
      </c>
      <c r="D297" s="84" t="s">
        <v>2812</v>
      </c>
      <c r="E297" s="84" t="s">
        <v>2805</v>
      </c>
      <c r="F297" s="84" t="s">
        <v>2812</v>
      </c>
      <c r="G297" s="84">
        <v>0</v>
      </c>
      <c r="H297" s="84" t="s">
        <v>2812</v>
      </c>
      <c r="I297" s="84" t="s">
        <v>2805</v>
      </c>
      <c r="J297" s="84" t="s">
        <v>2805</v>
      </c>
    </row>
    <row r="298" spans="1:10" ht="12.75" customHeight="1">
      <c r="A298" s="83"/>
      <c r="B298" s="83" t="s">
        <v>2821</v>
      </c>
      <c r="C298" s="84" t="s">
        <v>2805</v>
      </c>
      <c r="D298" s="84" t="s">
        <v>2805</v>
      </c>
      <c r="E298" s="84">
        <v>0</v>
      </c>
      <c r="F298" s="84">
        <v>0</v>
      </c>
      <c r="G298" s="84">
        <v>0</v>
      </c>
      <c r="H298" s="84">
        <v>0</v>
      </c>
      <c r="I298" s="84">
        <v>0</v>
      </c>
      <c r="J298" s="84" t="s">
        <v>2805</v>
      </c>
    </row>
    <row r="299" spans="1:10" ht="12.75" customHeight="1">
      <c r="A299" s="83"/>
      <c r="B299" s="83" t="s">
        <v>2822</v>
      </c>
      <c r="C299" s="84" t="s">
        <v>2805</v>
      </c>
      <c r="D299" s="84" t="s">
        <v>2812</v>
      </c>
      <c r="E299" s="84">
        <v>0</v>
      </c>
      <c r="F299" s="84">
        <v>0</v>
      </c>
      <c r="G299" s="84">
        <v>0</v>
      </c>
      <c r="H299" s="84">
        <v>0</v>
      </c>
      <c r="I299" s="84">
        <v>0</v>
      </c>
      <c r="J299" s="84" t="s">
        <v>2805</v>
      </c>
    </row>
    <row r="300" spans="1:10" ht="12.75" customHeight="1">
      <c r="A300" s="83"/>
      <c r="B300" s="81" t="s">
        <v>2823</v>
      </c>
      <c r="C300" s="84" t="s">
        <v>2812</v>
      </c>
      <c r="D300" s="84" t="s">
        <v>2812</v>
      </c>
      <c r="E300" s="84">
        <v>0</v>
      </c>
      <c r="F300" s="84">
        <v>0</v>
      </c>
      <c r="G300" s="84" t="s">
        <v>2812</v>
      </c>
      <c r="H300" s="84" t="s">
        <v>2812</v>
      </c>
      <c r="I300" s="84">
        <v>0</v>
      </c>
      <c r="J300" s="84" t="s">
        <v>2812</v>
      </c>
    </row>
    <row r="301" spans="1:10" ht="12.75" customHeight="1">
      <c r="A301" s="83"/>
      <c r="B301" s="83"/>
      <c r="C301" s="84"/>
      <c r="D301" s="84"/>
      <c r="E301" s="84"/>
      <c r="F301" s="84"/>
      <c r="G301" s="84"/>
      <c r="H301" s="84"/>
      <c r="I301" s="84"/>
      <c r="J301" s="84"/>
    </row>
    <row r="302" spans="1:10" s="71" customFormat="1" ht="12.75" customHeight="1">
      <c r="A302" s="81" t="s">
        <v>2849</v>
      </c>
      <c r="B302" s="81" t="s">
        <v>2850</v>
      </c>
      <c r="C302" s="86"/>
      <c r="D302" s="86"/>
      <c r="E302" s="86"/>
      <c r="F302" s="86"/>
      <c r="G302" s="86"/>
      <c r="H302" s="86"/>
      <c r="I302" s="86"/>
      <c r="J302" s="86"/>
    </row>
    <row r="303" spans="1:10" s="71" customFormat="1" ht="12.75" customHeight="1">
      <c r="A303" s="81"/>
      <c r="B303" s="81"/>
      <c r="C303" s="86"/>
      <c r="D303" s="86"/>
      <c r="E303" s="86"/>
      <c r="F303" s="86"/>
      <c r="G303" s="86"/>
      <c r="H303" s="86"/>
      <c r="I303" s="86"/>
      <c r="J303" s="86"/>
    </row>
    <row r="304" spans="1:10" s="71" customFormat="1" ht="12.75" customHeight="1">
      <c r="A304" s="81"/>
      <c r="B304" s="81"/>
      <c r="C304" s="86"/>
      <c r="D304" s="86"/>
      <c r="E304" s="86"/>
      <c r="F304" s="86"/>
      <c r="G304" s="86"/>
      <c r="H304" s="86"/>
      <c r="I304" s="86"/>
      <c r="J304" s="86"/>
    </row>
    <row r="305" spans="1:10" ht="12.75" customHeight="1">
      <c r="A305" s="83"/>
      <c r="B305" s="81" t="s">
        <v>2803</v>
      </c>
      <c r="C305" s="84">
        <v>4</v>
      </c>
      <c r="D305" s="84">
        <v>2</v>
      </c>
      <c r="E305" s="84">
        <v>0</v>
      </c>
      <c r="F305" s="84" t="s">
        <v>2812</v>
      </c>
      <c r="G305" s="84">
        <v>2</v>
      </c>
      <c r="H305" s="84" t="s">
        <v>2812</v>
      </c>
      <c r="I305" s="84" t="s">
        <v>2812</v>
      </c>
      <c r="J305" s="84" t="s">
        <v>2812</v>
      </c>
    </row>
    <row r="306" spans="1:10" ht="12.75" customHeight="1">
      <c r="A306" s="83"/>
      <c r="B306" s="81" t="s">
        <v>2804</v>
      </c>
      <c r="C306" s="84" t="s">
        <v>2805</v>
      </c>
      <c r="D306" s="84" t="s">
        <v>2812</v>
      </c>
      <c r="E306" s="84">
        <v>0</v>
      </c>
      <c r="F306" s="84">
        <v>0</v>
      </c>
      <c r="G306" s="84">
        <v>1</v>
      </c>
      <c r="H306" s="84" t="s">
        <v>2812</v>
      </c>
      <c r="I306" s="84">
        <v>0</v>
      </c>
      <c r="J306" s="84" t="s">
        <v>2805</v>
      </c>
    </row>
    <row r="307" spans="1:10" ht="12.75" customHeight="1">
      <c r="A307" s="83"/>
      <c r="B307" s="83" t="s">
        <v>2806</v>
      </c>
      <c r="C307" s="84" t="s">
        <v>2805</v>
      </c>
      <c r="D307" s="84" t="s">
        <v>2812</v>
      </c>
      <c r="E307" s="84">
        <v>0</v>
      </c>
      <c r="F307" s="84">
        <v>0</v>
      </c>
      <c r="G307" s="84" t="s">
        <v>2812</v>
      </c>
      <c r="H307" s="84" t="s">
        <v>2812</v>
      </c>
      <c r="I307" s="84">
        <v>0</v>
      </c>
      <c r="J307" s="84" t="s">
        <v>2805</v>
      </c>
    </row>
    <row r="308" spans="1:10" ht="12.75" customHeight="1">
      <c r="A308" s="83"/>
      <c r="B308" s="83" t="s">
        <v>2807</v>
      </c>
      <c r="C308" s="84" t="s">
        <v>2805</v>
      </c>
      <c r="D308" s="84">
        <v>0</v>
      </c>
      <c r="E308" s="84">
        <v>0</v>
      </c>
      <c r="F308" s="84">
        <v>0</v>
      </c>
      <c r="G308" s="84" t="s">
        <v>2812</v>
      </c>
      <c r="H308" s="84" t="s">
        <v>2812</v>
      </c>
      <c r="I308" s="84">
        <v>0</v>
      </c>
      <c r="J308" s="84" t="s">
        <v>2805</v>
      </c>
    </row>
    <row r="309" spans="1:10" ht="12.75" customHeight="1">
      <c r="A309" s="83"/>
      <c r="B309" s="81" t="s">
        <v>2808</v>
      </c>
      <c r="C309" s="84" t="s">
        <v>2805</v>
      </c>
      <c r="D309" s="84">
        <v>1</v>
      </c>
      <c r="E309" s="84">
        <v>0</v>
      </c>
      <c r="F309" s="84" t="s">
        <v>2812</v>
      </c>
      <c r="G309" s="84">
        <v>1</v>
      </c>
      <c r="H309" s="84" t="s">
        <v>2812</v>
      </c>
      <c r="I309" s="84">
        <v>0</v>
      </c>
      <c r="J309" s="84" t="s">
        <v>2805</v>
      </c>
    </row>
    <row r="310" spans="1:10" ht="12.75" customHeight="1">
      <c r="A310" s="83"/>
      <c r="B310" s="83" t="s">
        <v>2810</v>
      </c>
      <c r="C310" s="84" t="s">
        <v>2805</v>
      </c>
      <c r="D310" s="84" t="s">
        <v>2812</v>
      </c>
      <c r="E310" s="84">
        <v>0</v>
      </c>
      <c r="F310" s="84">
        <v>0</v>
      </c>
      <c r="G310" s="84" t="s">
        <v>2812</v>
      </c>
      <c r="H310" s="84" t="s">
        <v>2812</v>
      </c>
      <c r="I310" s="84">
        <v>0</v>
      </c>
      <c r="J310" s="84" t="s">
        <v>2805</v>
      </c>
    </row>
    <row r="311" spans="1:10" ht="12.75" customHeight="1">
      <c r="A311" s="83"/>
      <c r="B311" s="83" t="s">
        <v>2811</v>
      </c>
      <c r="C311" s="84" t="s">
        <v>2805</v>
      </c>
      <c r="D311" s="84" t="s">
        <v>2812</v>
      </c>
      <c r="E311" s="84">
        <v>0</v>
      </c>
      <c r="F311" s="84">
        <v>0</v>
      </c>
      <c r="G311" s="84" t="s">
        <v>2812</v>
      </c>
      <c r="H311" s="84">
        <v>0</v>
      </c>
      <c r="I311" s="84">
        <v>0</v>
      </c>
      <c r="J311" s="84" t="s">
        <v>2805</v>
      </c>
    </row>
    <row r="312" spans="1:10" ht="12.75" customHeight="1">
      <c r="A312" s="83"/>
      <c r="B312" s="83" t="s">
        <v>2813</v>
      </c>
      <c r="C312" s="84" t="s">
        <v>2805</v>
      </c>
      <c r="D312" s="84">
        <v>1</v>
      </c>
      <c r="E312" s="84">
        <v>0</v>
      </c>
      <c r="F312" s="84">
        <v>0</v>
      </c>
      <c r="G312" s="84" t="s">
        <v>2812</v>
      </c>
      <c r="H312" s="84">
        <v>0</v>
      </c>
      <c r="I312" s="84">
        <v>0</v>
      </c>
      <c r="J312" s="84" t="s">
        <v>2805</v>
      </c>
    </row>
    <row r="313" spans="1:10" ht="12.75" customHeight="1">
      <c r="A313" s="83"/>
      <c r="B313" s="83" t="s">
        <v>2814</v>
      </c>
      <c r="C313" s="84" t="s">
        <v>2805</v>
      </c>
      <c r="D313" s="84" t="s">
        <v>2812</v>
      </c>
      <c r="E313" s="84" t="s">
        <v>2805</v>
      </c>
      <c r="F313" s="84" t="s">
        <v>2805</v>
      </c>
      <c r="G313" s="84" t="s">
        <v>2805</v>
      </c>
      <c r="H313" s="84" t="s">
        <v>2805</v>
      </c>
      <c r="I313" s="84" t="s">
        <v>2805</v>
      </c>
      <c r="J313" s="84" t="s">
        <v>2805</v>
      </c>
    </row>
    <row r="314" spans="1:10" ht="12.75" customHeight="1">
      <c r="A314" s="83"/>
      <c r="B314" s="83" t="s">
        <v>2815</v>
      </c>
      <c r="C314" s="84" t="s">
        <v>2805</v>
      </c>
      <c r="D314" s="84" t="s">
        <v>2812</v>
      </c>
      <c r="E314" s="84">
        <v>0</v>
      </c>
      <c r="F314" s="84" t="s">
        <v>2812</v>
      </c>
      <c r="G314" s="84">
        <v>0</v>
      </c>
      <c r="H314" s="84">
        <v>0</v>
      </c>
      <c r="I314" s="84">
        <v>0</v>
      </c>
      <c r="J314" s="84" t="s">
        <v>2805</v>
      </c>
    </row>
    <row r="315" spans="1:10" ht="12.75" customHeight="1">
      <c r="A315" s="83"/>
      <c r="B315" s="81" t="s">
        <v>2816</v>
      </c>
      <c r="C315" s="84" t="s">
        <v>2805</v>
      </c>
      <c r="D315" s="84">
        <v>1</v>
      </c>
      <c r="E315" s="84">
        <v>0</v>
      </c>
      <c r="F315" s="84">
        <v>0</v>
      </c>
      <c r="G315" s="84" t="s">
        <v>2812</v>
      </c>
      <c r="H315" s="84" t="s">
        <v>2812</v>
      </c>
      <c r="I315" s="84" t="s">
        <v>2812</v>
      </c>
      <c r="J315" s="84" t="s">
        <v>2805</v>
      </c>
    </row>
    <row r="316" spans="1:10" ht="12.75" customHeight="1">
      <c r="A316" s="83"/>
      <c r="B316" s="83" t="s">
        <v>2817</v>
      </c>
      <c r="C316" s="84" t="s">
        <v>2805</v>
      </c>
      <c r="D316" s="84">
        <v>1</v>
      </c>
      <c r="E316" s="84">
        <v>0</v>
      </c>
      <c r="F316" s="84">
        <v>0</v>
      </c>
      <c r="G316" s="84" t="s">
        <v>2812</v>
      </c>
      <c r="H316" s="84" t="s">
        <v>2812</v>
      </c>
      <c r="I316" s="84" t="s">
        <v>2812</v>
      </c>
      <c r="J316" s="84" t="s">
        <v>2805</v>
      </c>
    </row>
    <row r="317" spans="1:10" ht="12.75" customHeight="1">
      <c r="A317" s="83"/>
      <c r="B317" s="83" t="s">
        <v>2818</v>
      </c>
      <c r="C317" s="84" t="s">
        <v>2805</v>
      </c>
      <c r="D317" s="84" t="s">
        <v>2812</v>
      </c>
      <c r="E317" s="84" t="s">
        <v>2805</v>
      </c>
      <c r="F317" s="84" t="s">
        <v>2805</v>
      </c>
      <c r="G317" s="84" t="s">
        <v>2805</v>
      </c>
      <c r="H317" s="84" t="s">
        <v>2805</v>
      </c>
      <c r="I317" s="84" t="s">
        <v>2805</v>
      </c>
      <c r="J317" s="84" t="s">
        <v>2805</v>
      </c>
    </row>
    <row r="318" spans="1:10" ht="12.75" customHeight="1">
      <c r="A318" s="83"/>
      <c r="B318" s="83" t="s">
        <v>2819</v>
      </c>
      <c r="C318" s="84" t="s">
        <v>2805</v>
      </c>
      <c r="D318" s="84" t="s">
        <v>2812</v>
      </c>
      <c r="E318" s="84">
        <v>0</v>
      </c>
      <c r="F318" s="84">
        <v>0</v>
      </c>
      <c r="G318" s="84" t="s">
        <v>2812</v>
      </c>
      <c r="H318" s="84">
        <v>0</v>
      </c>
      <c r="I318" s="84">
        <v>0</v>
      </c>
      <c r="J318" s="84" t="s">
        <v>2805</v>
      </c>
    </row>
    <row r="319" spans="1:10" ht="12.75" customHeight="1">
      <c r="A319" s="83"/>
      <c r="B319" s="83" t="s">
        <v>2820</v>
      </c>
      <c r="C319" s="84" t="s">
        <v>2805</v>
      </c>
      <c r="D319" s="84" t="s">
        <v>2812</v>
      </c>
      <c r="E319" s="84" t="s">
        <v>2805</v>
      </c>
      <c r="F319" s="84">
        <v>0</v>
      </c>
      <c r="G319" s="84">
        <v>0</v>
      </c>
      <c r="H319" s="84" t="s">
        <v>2812</v>
      </c>
      <c r="I319" s="84" t="s">
        <v>2805</v>
      </c>
      <c r="J319" s="84" t="s">
        <v>2805</v>
      </c>
    </row>
    <row r="320" spans="1:10" ht="12.75" customHeight="1">
      <c r="A320" s="83"/>
      <c r="B320" s="83" t="s">
        <v>2821</v>
      </c>
      <c r="C320" s="84" t="s">
        <v>2805</v>
      </c>
      <c r="D320" s="84" t="s">
        <v>2805</v>
      </c>
      <c r="E320" s="84">
        <v>0</v>
      </c>
      <c r="F320" s="84">
        <v>0</v>
      </c>
      <c r="G320" s="84">
        <v>0</v>
      </c>
      <c r="H320" s="84">
        <v>0</v>
      </c>
      <c r="I320" s="84">
        <v>0</v>
      </c>
      <c r="J320" s="84" t="s">
        <v>2805</v>
      </c>
    </row>
    <row r="321" spans="1:10" ht="12.75" customHeight="1">
      <c r="A321" s="83"/>
      <c r="B321" s="83" t="s">
        <v>2822</v>
      </c>
      <c r="C321" s="84" t="s">
        <v>2805</v>
      </c>
      <c r="D321" s="84" t="s">
        <v>2812</v>
      </c>
      <c r="E321" s="84">
        <v>0</v>
      </c>
      <c r="F321" s="84">
        <v>0</v>
      </c>
      <c r="G321" s="84" t="s">
        <v>2812</v>
      </c>
      <c r="H321" s="84" t="s">
        <v>2812</v>
      </c>
      <c r="I321" s="84">
        <v>0</v>
      </c>
      <c r="J321" s="84" t="s">
        <v>2805</v>
      </c>
    </row>
    <row r="322" spans="1:10" ht="12.75" customHeight="1">
      <c r="A322" s="83"/>
      <c r="B322" s="81" t="s">
        <v>2823</v>
      </c>
      <c r="C322" s="84" t="s">
        <v>2812</v>
      </c>
      <c r="D322" s="84" t="s">
        <v>2812</v>
      </c>
      <c r="E322" s="84">
        <v>0</v>
      </c>
      <c r="F322" s="84">
        <v>0</v>
      </c>
      <c r="G322" s="84" t="s">
        <v>2812</v>
      </c>
      <c r="H322" s="84" t="s">
        <v>2812</v>
      </c>
      <c r="I322" s="84">
        <v>0</v>
      </c>
      <c r="J322" s="84" t="s">
        <v>2812</v>
      </c>
    </row>
    <row r="323" spans="1:10" ht="12.75" customHeight="1">
      <c r="A323" s="83"/>
      <c r="B323" s="81"/>
      <c r="C323" s="84"/>
      <c r="D323" s="84"/>
      <c r="E323" s="84"/>
      <c r="F323" s="84"/>
      <c r="G323" s="84"/>
      <c r="H323" s="84"/>
      <c r="I323" s="84"/>
      <c r="J323" s="84"/>
    </row>
    <row r="324" spans="1:10" s="71" customFormat="1" ht="12.75" customHeight="1">
      <c r="A324" s="81" t="s">
        <v>2851</v>
      </c>
      <c r="B324" s="81" t="s">
        <v>2852</v>
      </c>
      <c r="C324" s="86"/>
      <c r="D324" s="86"/>
      <c r="E324" s="86"/>
      <c r="F324" s="86"/>
      <c r="G324" s="86"/>
      <c r="H324" s="86"/>
      <c r="I324" s="86"/>
      <c r="J324" s="86"/>
    </row>
    <row r="325" spans="1:10" s="71" customFormat="1" ht="12.75" customHeight="1">
      <c r="A325" s="81"/>
      <c r="B325" s="81"/>
      <c r="C325" s="86"/>
      <c r="D325" s="86"/>
      <c r="E325" s="86"/>
      <c r="F325" s="86"/>
      <c r="G325" s="86"/>
      <c r="H325" s="86"/>
      <c r="I325" s="86"/>
      <c r="J325" s="86"/>
    </row>
    <row r="326" spans="1:10" s="71" customFormat="1" ht="12.75" customHeight="1">
      <c r="A326" s="81"/>
      <c r="B326" s="81"/>
      <c r="C326" s="86"/>
      <c r="D326" s="86"/>
      <c r="E326" s="86"/>
      <c r="F326" s="86"/>
      <c r="G326" s="86"/>
      <c r="H326" s="86"/>
      <c r="I326" s="86"/>
      <c r="J326" s="86"/>
    </row>
    <row r="327" spans="1:10" ht="12.75" customHeight="1">
      <c r="A327" s="83"/>
      <c r="B327" s="81" t="s">
        <v>2803</v>
      </c>
      <c r="C327" s="84">
        <v>2</v>
      </c>
      <c r="D327" s="84">
        <v>1</v>
      </c>
      <c r="E327" s="84">
        <v>0</v>
      </c>
      <c r="F327" s="84" t="s">
        <v>2812</v>
      </c>
      <c r="G327" s="84">
        <v>1</v>
      </c>
      <c r="H327" s="84" t="s">
        <v>2812</v>
      </c>
      <c r="I327" s="84">
        <v>0</v>
      </c>
      <c r="J327" s="84" t="s">
        <v>2812</v>
      </c>
    </row>
    <row r="328" spans="1:10" ht="12.75" customHeight="1">
      <c r="A328" s="83"/>
      <c r="B328" s="81" t="s">
        <v>2804</v>
      </c>
      <c r="C328" s="84" t="s">
        <v>2805</v>
      </c>
      <c r="D328" s="84" t="s">
        <v>2812</v>
      </c>
      <c r="E328" s="84">
        <v>0</v>
      </c>
      <c r="F328" s="84" t="s">
        <v>2812</v>
      </c>
      <c r="G328" s="84" t="s">
        <v>2812</v>
      </c>
      <c r="H328" s="84" t="s">
        <v>2812</v>
      </c>
      <c r="I328" s="84">
        <v>0</v>
      </c>
      <c r="J328" s="84" t="s">
        <v>2805</v>
      </c>
    </row>
    <row r="329" spans="1:10" ht="12.75" customHeight="1">
      <c r="A329" s="83"/>
      <c r="B329" s="83" t="s">
        <v>2806</v>
      </c>
      <c r="C329" s="84" t="s">
        <v>2805</v>
      </c>
      <c r="D329" s="84" t="s">
        <v>2812</v>
      </c>
      <c r="E329" s="84">
        <v>0</v>
      </c>
      <c r="F329" s="84" t="s">
        <v>2812</v>
      </c>
      <c r="G329" s="84" t="s">
        <v>2812</v>
      </c>
      <c r="H329" s="84">
        <v>0</v>
      </c>
      <c r="I329" s="84">
        <v>0</v>
      </c>
      <c r="J329" s="84" t="s">
        <v>2805</v>
      </c>
    </row>
    <row r="330" spans="1:10" ht="12.75" customHeight="1">
      <c r="A330" s="83"/>
      <c r="B330" s="83" t="s">
        <v>2807</v>
      </c>
      <c r="C330" s="84" t="s">
        <v>2805</v>
      </c>
      <c r="D330" s="84">
        <v>0</v>
      </c>
      <c r="E330" s="84">
        <v>0</v>
      </c>
      <c r="F330" s="84" t="s">
        <v>2812</v>
      </c>
      <c r="G330" s="84" t="s">
        <v>2812</v>
      </c>
      <c r="H330" s="84" t="s">
        <v>2812</v>
      </c>
      <c r="I330" s="84">
        <v>0</v>
      </c>
      <c r="J330" s="84" t="s">
        <v>2805</v>
      </c>
    </row>
    <row r="331" spans="1:10" ht="12.75" customHeight="1">
      <c r="A331" s="83"/>
      <c r="B331" s="81" t="s">
        <v>2808</v>
      </c>
      <c r="C331" s="84" t="s">
        <v>2805</v>
      </c>
      <c r="D331" s="84" t="s">
        <v>2812</v>
      </c>
      <c r="E331" s="84">
        <v>0</v>
      </c>
      <c r="F331" s="84">
        <v>0</v>
      </c>
      <c r="G331" s="84" t="s">
        <v>2812</v>
      </c>
      <c r="H331" s="84" t="s">
        <v>2812</v>
      </c>
      <c r="I331" s="84">
        <v>0</v>
      </c>
      <c r="J331" s="84" t="s">
        <v>2805</v>
      </c>
    </row>
    <row r="332" spans="1:10" ht="12.75" customHeight="1">
      <c r="A332" s="83"/>
      <c r="B332" s="83" t="s">
        <v>2810</v>
      </c>
      <c r="C332" s="84" t="s">
        <v>2805</v>
      </c>
      <c r="D332" s="84" t="s">
        <v>2812</v>
      </c>
      <c r="E332" s="84">
        <v>0</v>
      </c>
      <c r="F332" s="84">
        <v>0</v>
      </c>
      <c r="G332" s="84" t="s">
        <v>2812</v>
      </c>
      <c r="H332" s="84" t="s">
        <v>2812</v>
      </c>
      <c r="I332" s="84">
        <v>0</v>
      </c>
      <c r="J332" s="84" t="s">
        <v>2805</v>
      </c>
    </row>
    <row r="333" spans="1:10" ht="12.75" customHeight="1">
      <c r="A333" s="83"/>
      <c r="B333" s="83" t="s">
        <v>2811</v>
      </c>
      <c r="C333" s="84" t="s">
        <v>2805</v>
      </c>
      <c r="D333" s="84" t="s">
        <v>2812</v>
      </c>
      <c r="E333" s="84">
        <v>0</v>
      </c>
      <c r="F333" s="84">
        <v>0</v>
      </c>
      <c r="G333" s="84" t="s">
        <v>2812</v>
      </c>
      <c r="H333" s="84">
        <v>0</v>
      </c>
      <c r="I333" s="84">
        <v>0</v>
      </c>
      <c r="J333" s="84" t="s">
        <v>2805</v>
      </c>
    </row>
    <row r="334" spans="1:10" ht="12.75" customHeight="1">
      <c r="A334" s="83"/>
      <c r="B334" s="83" t="s">
        <v>2813</v>
      </c>
      <c r="C334" s="84" t="s">
        <v>2805</v>
      </c>
      <c r="D334" s="84" t="s">
        <v>2812</v>
      </c>
      <c r="E334" s="84">
        <v>0</v>
      </c>
      <c r="F334" s="84">
        <v>0</v>
      </c>
      <c r="G334" s="84" t="s">
        <v>2812</v>
      </c>
      <c r="H334" s="84" t="s">
        <v>2812</v>
      </c>
      <c r="I334" s="84">
        <v>0</v>
      </c>
      <c r="J334" s="84" t="s">
        <v>2805</v>
      </c>
    </row>
    <row r="335" spans="1:10" ht="12.75" customHeight="1">
      <c r="A335" s="83"/>
      <c r="B335" s="83" t="s">
        <v>2814</v>
      </c>
      <c r="C335" s="84" t="s">
        <v>2805</v>
      </c>
      <c r="D335" s="84" t="s">
        <v>2812</v>
      </c>
      <c r="E335" s="84" t="s">
        <v>2805</v>
      </c>
      <c r="F335" s="84" t="s">
        <v>2805</v>
      </c>
      <c r="G335" s="84" t="s">
        <v>2805</v>
      </c>
      <c r="H335" s="84" t="s">
        <v>2805</v>
      </c>
      <c r="I335" s="84" t="s">
        <v>2805</v>
      </c>
      <c r="J335" s="84" t="s">
        <v>2805</v>
      </c>
    </row>
    <row r="336" spans="1:10" ht="12.75" customHeight="1">
      <c r="A336" s="83"/>
      <c r="B336" s="83" t="s">
        <v>2815</v>
      </c>
      <c r="C336" s="84" t="s">
        <v>2805</v>
      </c>
      <c r="D336" s="84" t="s">
        <v>2812</v>
      </c>
      <c r="E336" s="84">
        <v>0</v>
      </c>
      <c r="F336" s="84">
        <v>0</v>
      </c>
      <c r="G336" s="84" t="s">
        <v>2812</v>
      </c>
      <c r="H336" s="84">
        <v>0</v>
      </c>
      <c r="I336" s="84">
        <v>0</v>
      </c>
      <c r="J336" s="84" t="s">
        <v>2805</v>
      </c>
    </row>
    <row r="337" spans="1:10" ht="12.75" customHeight="1">
      <c r="A337" s="83"/>
      <c r="B337" s="81" t="s">
        <v>2816</v>
      </c>
      <c r="C337" s="84" t="s">
        <v>2805</v>
      </c>
      <c r="D337" s="84" t="s">
        <v>2812</v>
      </c>
      <c r="E337" s="84">
        <v>0</v>
      </c>
      <c r="F337" s="84" t="s">
        <v>2812</v>
      </c>
      <c r="G337" s="84" t="s">
        <v>2812</v>
      </c>
      <c r="H337" s="84" t="s">
        <v>2812</v>
      </c>
      <c r="I337" s="84">
        <v>0</v>
      </c>
      <c r="J337" s="84" t="s">
        <v>2805</v>
      </c>
    </row>
    <row r="338" spans="1:10" ht="12.75" customHeight="1">
      <c r="A338" s="83"/>
      <c r="B338" s="83" t="s">
        <v>2817</v>
      </c>
      <c r="C338" s="84" t="s">
        <v>2805</v>
      </c>
      <c r="D338" s="84" t="s">
        <v>2812</v>
      </c>
      <c r="E338" s="84">
        <v>0</v>
      </c>
      <c r="F338" s="84" t="s">
        <v>2812</v>
      </c>
      <c r="G338" s="84" t="s">
        <v>2812</v>
      </c>
      <c r="H338" s="84" t="s">
        <v>2812</v>
      </c>
      <c r="I338" s="84">
        <v>0</v>
      </c>
      <c r="J338" s="84" t="s">
        <v>2805</v>
      </c>
    </row>
    <row r="339" spans="1:10" ht="12.75" customHeight="1">
      <c r="A339" s="83"/>
      <c r="B339" s="83" t="s">
        <v>2818</v>
      </c>
      <c r="C339" s="84" t="s">
        <v>2805</v>
      </c>
      <c r="D339" s="84" t="s">
        <v>2812</v>
      </c>
      <c r="E339" s="84" t="s">
        <v>2805</v>
      </c>
      <c r="F339" s="84" t="s">
        <v>2805</v>
      </c>
      <c r="G339" s="84" t="s">
        <v>2805</v>
      </c>
      <c r="H339" s="84" t="s">
        <v>2805</v>
      </c>
      <c r="I339" s="84" t="s">
        <v>2805</v>
      </c>
      <c r="J339" s="84" t="s">
        <v>2805</v>
      </c>
    </row>
    <row r="340" spans="1:10" ht="12.75" customHeight="1">
      <c r="A340" s="83"/>
      <c r="B340" s="83" t="s">
        <v>2819</v>
      </c>
      <c r="C340" s="84" t="s">
        <v>2805</v>
      </c>
      <c r="D340" s="84" t="s">
        <v>2812</v>
      </c>
      <c r="E340" s="84">
        <v>0</v>
      </c>
      <c r="F340" s="84">
        <v>0</v>
      </c>
      <c r="G340" s="84" t="s">
        <v>2812</v>
      </c>
      <c r="H340" s="84" t="s">
        <v>2812</v>
      </c>
      <c r="I340" s="84">
        <v>0</v>
      </c>
      <c r="J340" s="84" t="s">
        <v>2805</v>
      </c>
    </row>
    <row r="341" spans="1:10" ht="12.75" customHeight="1">
      <c r="A341" s="83"/>
      <c r="B341" s="83" t="s">
        <v>2820</v>
      </c>
      <c r="C341" s="84" t="s">
        <v>2805</v>
      </c>
      <c r="D341" s="84" t="s">
        <v>2812</v>
      </c>
      <c r="E341" s="84" t="s">
        <v>2805</v>
      </c>
      <c r="F341" s="84" t="s">
        <v>2812</v>
      </c>
      <c r="G341" s="84">
        <v>0</v>
      </c>
      <c r="H341" s="84" t="s">
        <v>2812</v>
      </c>
      <c r="I341" s="84" t="s">
        <v>2805</v>
      </c>
      <c r="J341" s="84" t="s">
        <v>2805</v>
      </c>
    </row>
    <row r="342" spans="1:10" ht="12.75" customHeight="1">
      <c r="A342" s="83"/>
      <c r="B342" s="83" t="s">
        <v>2821</v>
      </c>
      <c r="C342" s="84" t="s">
        <v>2805</v>
      </c>
      <c r="D342" s="84" t="s">
        <v>2805</v>
      </c>
      <c r="E342" s="84">
        <v>0</v>
      </c>
      <c r="F342" s="84" t="s">
        <v>2812</v>
      </c>
      <c r="G342" s="84">
        <v>0</v>
      </c>
      <c r="H342" s="84">
        <v>0</v>
      </c>
      <c r="I342" s="84">
        <v>0</v>
      </c>
      <c r="J342" s="84" t="s">
        <v>2805</v>
      </c>
    </row>
    <row r="343" spans="1:10" ht="12.75" customHeight="1">
      <c r="A343" s="83"/>
      <c r="B343" s="83" t="s">
        <v>2822</v>
      </c>
      <c r="C343" s="84" t="s">
        <v>2805</v>
      </c>
      <c r="D343" s="84" t="s">
        <v>2812</v>
      </c>
      <c r="E343" s="84">
        <v>0</v>
      </c>
      <c r="F343" s="84" t="s">
        <v>2812</v>
      </c>
      <c r="G343" s="84" t="s">
        <v>2812</v>
      </c>
      <c r="H343" s="84">
        <v>0</v>
      </c>
      <c r="I343" s="84">
        <v>0</v>
      </c>
      <c r="J343" s="84" t="s">
        <v>2805</v>
      </c>
    </row>
    <row r="344" spans="1:10" ht="12.75" customHeight="1">
      <c r="A344" s="83"/>
      <c r="B344" s="81" t="s">
        <v>2823</v>
      </c>
      <c r="C344" s="84" t="s">
        <v>2812</v>
      </c>
      <c r="D344" s="84" t="s">
        <v>2812</v>
      </c>
      <c r="E344" s="84">
        <v>0</v>
      </c>
      <c r="F344" s="84">
        <v>0</v>
      </c>
      <c r="G344" s="84" t="s">
        <v>2812</v>
      </c>
      <c r="H344" s="84" t="s">
        <v>2812</v>
      </c>
      <c r="I344" s="84">
        <v>0</v>
      </c>
      <c r="J344" s="84" t="s">
        <v>2812</v>
      </c>
    </row>
    <row r="345" spans="1:10" ht="12.75" customHeight="1">
      <c r="A345" s="83"/>
      <c r="B345" s="81"/>
      <c r="C345" s="84"/>
      <c r="D345" s="84"/>
      <c r="E345" s="84"/>
      <c r="F345" s="84"/>
      <c r="G345" s="84"/>
      <c r="H345" s="84"/>
      <c r="I345" s="84"/>
      <c r="J345" s="84"/>
    </row>
    <row r="346" spans="1:10" s="71" customFormat="1" ht="12.75" customHeight="1">
      <c r="A346" s="81" t="s">
        <v>2853</v>
      </c>
      <c r="B346" s="81" t="s">
        <v>2854</v>
      </c>
      <c r="C346" s="86"/>
      <c r="D346" s="86"/>
      <c r="E346" s="86"/>
      <c r="F346" s="86"/>
      <c r="G346" s="86"/>
      <c r="H346" s="86"/>
      <c r="I346" s="86"/>
      <c r="J346" s="86"/>
    </row>
    <row r="347" spans="1:10" s="71" customFormat="1" ht="12.75" customHeight="1">
      <c r="A347" s="81"/>
      <c r="B347" s="81"/>
      <c r="C347" s="86"/>
      <c r="D347" s="86"/>
      <c r="E347" s="86"/>
      <c r="F347" s="86"/>
      <c r="G347" s="86"/>
      <c r="H347" s="86"/>
      <c r="I347" s="86"/>
      <c r="J347" s="86"/>
    </row>
    <row r="348" spans="1:10" s="71" customFormat="1" ht="12.75" customHeight="1">
      <c r="A348" s="81"/>
      <c r="B348" s="81"/>
      <c r="C348" s="86"/>
      <c r="D348" s="86"/>
      <c r="E348" s="86"/>
      <c r="F348" s="86"/>
      <c r="G348" s="86"/>
      <c r="H348" s="86"/>
      <c r="I348" s="86"/>
      <c r="J348" s="86"/>
    </row>
    <row r="349" spans="1:10" ht="12.75" customHeight="1">
      <c r="A349" s="83"/>
      <c r="B349" s="81" t="s">
        <v>2803</v>
      </c>
      <c r="C349" s="84">
        <v>387</v>
      </c>
      <c r="D349" s="84">
        <v>71</v>
      </c>
      <c r="E349" s="84" t="s">
        <v>2812</v>
      </c>
      <c r="F349" s="84">
        <v>11</v>
      </c>
      <c r="G349" s="84">
        <v>67</v>
      </c>
      <c r="H349" s="84">
        <v>4</v>
      </c>
      <c r="I349" s="84" t="s">
        <v>2812</v>
      </c>
      <c r="J349" s="84">
        <v>233</v>
      </c>
    </row>
    <row r="350" spans="1:10" ht="12.75" customHeight="1">
      <c r="A350" s="83"/>
      <c r="B350" s="81" t="s">
        <v>2804</v>
      </c>
      <c r="C350" s="84" t="s">
        <v>2805</v>
      </c>
      <c r="D350" s="84">
        <v>1</v>
      </c>
      <c r="E350" s="84" t="s">
        <v>2812</v>
      </c>
      <c r="F350" s="84" t="s">
        <v>2812</v>
      </c>
      <c r="G350" s="84">
        <v>19</v>
      </c>
      <c r="H350" s="84" t="s">
        <v>2812</v>
      </c>
      <c r="I350" s="84" t="s">
        <v>2812</v>
      </c>
      <c r="J350" s="84" t="s">
        <v>2805</v>
      </c>
    </row>
    <row r="351" spans="1:10" ht="12.75" customHeight="1">
      <c r="A351" s="83"/>
      <c r="B351" s="83" t="s">
        <v>2806</v>
      </c>
      <c r="C351" s="84" t="s">
        <v>2805</v>
      </c>
      <c r="D351" s="84">
        <v>1</v>
      </c>
      <c r="E351" s="84">
        <v>0</v>
      </c>
      <c r="F351" s="84" t="s">
        <v>2812</v>
      </c>
      <c r="G351" s="84">
        <v>4</v>
      </c>
      <c r="H351" s="84" t="s">
        <v>2812</v>
      </c>
      <c r="I351" s="84">
        <v>0</v>
      </c>
      <c r="J351" s="84" t="s">
        <v>2805</v>
      </c>
    </row>
    <row r="352" spans="1:10" ht="12.75" customHeight="1">
      <c r="A352" s="83"/>
      <c r="B352" s="83" t="s">
        <v>2807</v>
      </c>
      <c r="C352" s="84" t="s">
        <v>2805</v>
      </c>
      <c r="D352" s="84">
        <v>0</v>
      </c>
      <c r="E352" s="84" t="s">
        <v>2812</v>
      </c>
      <c r="F352" s="84" t="s">
        <v>2812</v>
      </c>
      <c r="G352" s="84">
        <v>15</v>
      </c>
      <c r="H352" s="84" t="s">
        <v>2812</v>
      </c>
      <c r="I352" s="84" t="s">
        <v>2812</v>
      </c>
      <c r="J352" s="84" t="s">
        <v>2805</v>
      </c>
    </row>
    <row r="353" spans="1:10" ht="12.75" customHeight="1">
      <c r="A353" s="83"/>
      <c r="B353" s="81" t="s">
        <v>2808</v>
      </c>
      <c r="C353" s="84" t="s">
        <v>2805</v>
      </c>
      <c r="D353" s="84">
        <v>58</v>
      </c>
      <c r="E353" s="84" t="s">
        <v>2812</v>
      </c>
      <c r="F353" s="84" t="s">
        <v>2826</v>
      </c>
      <c r="G353" s="84">
        <v>40</v>
      </c>
      <c r="H353" s="84">
        <v>1</v>
      </c>
      <c r="I353" s="84" t="s">
        <v>2812</v>
      </c>
      <c r="J353" s="84" t="s">
        <v>2805</v>
      </c>
    </row>
    <row r="354" spans="1:10" ht="12.75" customHeight="1">
      <c r="A354" s="83"/>
      <c r="B354" s="83" t="s">
        <v>2810</v>
      </c>
      <c r="C354" s="84" t="s">
        <v>2805</v>
      </c>
      <c r="D354" s="84">
        <v>3</v>
      </c>
      <c r="E354" s="84" t="s">
        <v>2812</v>
      </c>
      <c r="F354" s="84" t="s">
        <v>2812</v>
      </c>
      <c r="G354" s="84">
        <v>34</v>
      </c>
      <c r="H354" s="84" t="s">
        <v>2812</v>
      </c>
      <c r="I354" s="84" t="s">
        <v>2812</v>
      </c>
      <c r="J354" s="84" t="s">
        <v>2805</v>
      </c>
    </row>
    <row r="355" spans="1:10" ht="12.75" customHeight="1">
      <c r="A355" s="83"/>
      <c r="B355" s="83" t="s">
        <v>2811</v>
      </c>
      <c r="C355" s="84" t="s">
        <v>2805</v>
      </c>
      <c r="D355" s="84">
        <v>1</v>
      </c>
      <c r="E355" s="84">
        <v>0</v>
      </c>
      <c r="F355" s="84" t="s">
        <v>2812</v>
      </c>
      <c r="G355" s="84" t="s">
        <v>2812</v>
      </c>
      <c r="H355" s="84" t="s">
        <v>2812</v>
      </c>
      <c r="I355" s="84">
        <v>0</v>
      </c>
      <c r="J355" s="84" t="s">
        <v>2805</v>
      </c>
    </row>
    <row r="356" spans="1:10" ht="12.75" customHeight="1">
      <c r="A356" s="83"/>
      <c r="B356" s="83" t="s">
        <v>2813</v>
      </c>
      <c r="C356" s="84" t="s">
        <v>2805</v>
      </c>
      <c r="D356" s="84">
        <v>53</v>
      </c>
      <c r="E356" s="84" t="s">
        <v>2812</v>
      </c>
      <c r="F356" s="84">
        <v>1</v>
      </c>
      <c r="G356" s="84">
        <v>2</v>
      </c>
      <c r="H356" s="84" t="s">
        <v>2812</v>
      </c>
      <c r="I356" s="84">
        <v>0</v>
      </c>
      <c r="J356" s="84" t="s">
        <v>2805</v>
      </c>
    </row>
    <row r="357" spans="1:10" ht="12.75" customHeight="1">
      <c r="A357" s="83"/>
      <c r="B357" s="83" t="s">
        <v>2814</v>
      </c>
      <c r="C357" s="84" t="s">
        <v>2805</v>
      </c>
      <c r="D357" s="84" t="s">
        <v>2812</v>
      </c>
      <c r="E357" s="84" t="s">
        <v>2805</v>
      </c>
      <c r="F357" s="84" t="s">
        <v>2805</v>
      </c>
      <c r="G357" s="84" t="s">
        <v>2805</v>
      </c>
      <c r="H357" s="84" t="s">
        <v>2805</v>
      </c>
      <c r="I357" s="84" t="s">
        <v>2805</v>
      </c>
      <c r="J357" s="84" t="s">
        <v>2805</v>
      </c>
    </row>
    <row r="358" spans="1:10" ht="12.75" customHeight="1">
      <c r="A358" s="83"/>
      <c r="B358" s="83" t="s">
        <v>2815</v>
      </c>
      <c r="C358" s="84" t="s">
        <v>2805</v>
      </c>
      <c r="D358" s="84" t="s">
        <v>2812</v>
      </c>
      <c r="E358" s="84">
        <v>0</v>
      </c>
      <c r="F358" s="84" t="s">
        <v>2826</v>
      </c>
      <c r="G358" s="84">
        <v>4</v>
      </c>
      <c r="H358" s="84" t="s">
        <v>2812</v>
      </c>
      <c r="I358" s="84">
        <v>0</v>
      </c>
      <c r="J358" s="84" t="s">
        <v>2805</v>
      </c>
    </row>
    <row r="359" spans="1:10" ht="12.75" customHeight="1">
      <c r="A359" s="83"/>
      <c r="B359" s="81" t="s">
        <v>2816</v>
      </c>
      <c r="C359" s="84" t="s">
        <v>2805</v>
      </c>
      <c r="D359" s="84">
        <v>11</v>
      </c>
      <c r="E359" s="84" t="s">
        <v>2812</v>
      </c>
      <c r="F359" s="84">
        <v>6</v>
      </c>
      <c r="G359" s="84">
        <v>8</v>
      </c>
      <c r="H359" s="84">
        <v>3</v>
      </c>
      <c r="I359" s="84" t="s">
        <v>2812</v>
      </c>
      <c r="J359" s="84" t="s">
        <v>2805</v>
      </c>
    </row>
    <row r="360" spans="1:10" ht="12.75" customHeight="1">
      <c r="A360" s="83"/>
      <c r="B360" s="83" t="s">
        <v>2817</v>
      </c>
      <c r="C360" s="84" t="s">
        <v>2805</v>
      </c>
      <c r="D360" s="84">
        <v>5</v>
      </c>
      <c r="E360" s="84" t="s">
        <v>2812</v>
      </c>
      <c r="F360" s="84" t="s">
        <v>2812</v>
      </c>
      <c r="G360" s="84">
        <v>6</v>
      </c>
      <c r="H360" s="84" t="s">
        <v>2812</v>
      </c>
      <c r="I360" s="84" t="s">
        <v>2812</v>
      </c>
      <c r="J360" s="84" t="s">
        <v>2805</v>
      </c>
    </row>
    <row r="361" spans="1:10" ht="12.75" customHeight="1">
      <c r="A361" s="83"/>
      <c r="B361" s="83" t="s">
        <v>2818</v>
      </c>
      <c r="C361" s="84" t="s">
        <v>2805</v>
      </c>
      <c r="D361" s="84">
        <v>5</v>
      </c>
      <c r="E361" s="84" t="s">
        <v>2805</v>
      </c>
      <c r="F361" s="84" t="s">
        <v>2805</v>
      </c>
      <c r="G361" s="84" t="s">
        <v>2805</v>
      </c>
      <c r="H361" s="84" t="s">
        <v>2805</v>
      </c>
      <c r="I361" s="84" t="s">
        <v>2805</v>
      </c>
      <c r="J361" s="84" t="s">
        <v>2805</v>
      </c>
    </row>
    <row r="362" spans="1:10" ht="12.75" customHeight="1">
      <c r="A362" s="83"/>
      <c r="B362" s="83" t="s">
        <v>2819</v>
      </c>
      <c r="C362" s="84" t="s">
        <v>2805</v>
      </c>
      <c r="D362" s="84">
        <v>1</v>
      </c>
      <c r="E362" s="84">
        <v>0</v>
      </c>
      <c r="F362" s="84" t="s">
        <v>2812</v>
      </c>
      <c r="G362" s="84" t="s">
        <v>2812</v>
      </c>
      <c r="H362" s="84" t="s">
        <v>2812</v>
      </c>
      <c r="I362" s="84">
        <v>0</v>
      </c>
      <c r="J362" s="84" t="s">
        <v>2805</v>
      </c>
    </row>
    <row r="363" spans="1:10" ht="12.75" customHeight="1">
      <c r="A363" s="83"/>
      <c r="B363" s="83" t="s">
        <v>2820</v>
      </c>
      <c r="C363" s="84" t="s">
        <v>2805</v>
      </c>
      <c r="D363" s="84" t="s">
        <v>2812</v>
      </c>
      <c r="E363" s="84" t="s">
        <v>2805</v>
      </c>
      <c r="F363" s="84">
        <v>6</v>
      </c>
      <c r="G363" s="84" t="s">
        <v>2812</v>
      </c>
      <c r="H363" s="84">
        <v>3</v>
      </c>
      <c r="I363" s="84" t="s">
        <v>2805</v>
      </c>
      <c r="J363" s="84" t="s">
        <v>2805</v>
      </c>
    </row>
    <row r="364" spans="1:10" ht="12.75" customHeight="1">
      <c r="A364" s="83"/>
      <c r="B364" s="83" t="s">
        <v>2821</v>
      </c>
      <c r="C364" s="84" t="s">
        <v>2805</v>
      </c>
      <c r="D364" s="84" t="s">
        <v>2805</v>
      </c>
      <c r="E364" s="84">
        <v>0</v>
      </c>
      <c r="F364" s="84" t="s">
        <v>2812</v>
      </c>
      <c r="G364" s="84" t="s">
        <v>2812</v>
      </c>
      <c r="H364" s="84" t="s">
        <v>2812</v>
      </c>
      <c r="I364" s="84">
        <v>0</v>
      </c>
      <c r="J364" s="84" t="s">
        <v>2805</v>
      </c>
    </row>
    <row r="365" spans="1:10" ht="12.75" customHeight="1">
      <c r="A365" s="83"/>
      <c r="B365" s="83" t="s">
        <v>2822</v>
      </c>
      <c r="C365" s="84" t="s">
        <v>2805</v>
      </c>
      <c r="D365" s="84" t="s">
        <v>2812</v>
      </c>
      <c r="E365" s="84">
        <v>0</v>
      </c>
      <c r="F365" s="84" t="s">
        <v>2812</v>
      </c>
      <c r="G365" s="84">
        <v>1</v>
      </c>
      <c r="H365" s="84" t="s">
        <v>2812</v>
      </c>
      <c r="I365" s="84">
        <v>0</v>
      </c>
      <c r="J365" s="84" t="s">
        <v>2805</v>
      </c>
    </row>
    <row r="366" spans="1:10" ht="12.75" customHeight="1">
      <c r="A366" s="83"/>
      <c r="B366" s="81" t="s">
        <v>2823</v>
      </c>
      <c r="C366" s="84">
        <v>235</v>
      </c>
      <c r="D366" s="84">
        <v>1</v>
      </c>
      <c r="E366" s="84">
        <v>0</v>
      </c>
      <c r="F366" s="84">
        <v>0</v>
      </c>
      <c r="G366" s="84" t="s">
        <v>2812</v>
      </c>
      <c r="H366" s="84" t="s">
        <v>2812</v>
      </c>
      <c r="I366" s="84">
        <v>0</v>
      </c>
      <c r="J366" s="84">
        <v>233</v>
      </c>
    </row>
    <row r="367" spans="1:10" ht="12.75" customHeight="1">
      <c r="A367" s="83"/>
      <c r="B367" s="81"/>
      <c r="C367" s="84"/>
      <c r="D367" s="84"/>
      <c r="E367" s="84"/>
      <c r="F367" s="84"/>
      <c r="G367" s="84"/>
      <c r="H367" s="84"/>
      <c r="I367" s="84"/>
      <c r="J367" s="84"/>
    </row>
    <row r="368" spans="1:10" s="71" customFormat="1" ht="12.75" customHeight="1">
      <c r="A368" s="81" t="s">
        <v>2855</v>
      </c>
      <c r="B368" s="81" t="s">
        <v>2856</v>
      </c>
      <c r="C368" s="86"/>
      <c r="D368" s="86"/>
      <c r="E368" s="86"/>
      <c r="F368" s="86"/>
      <c r="G368" s="86"/>
      <c r="H368" s="86"/>
      <c r="I368" s="86"/>
      <c r="J368" s="86"/>
    </row>
    <row r="369" spans="1:10" s="71" customFormat="1" ht="12.75" customHeight="1">
      <c r="A369" s="81"/>
      <c r="B369" s="81"/>
      <c r="C369" s="86"/>
      <c r="D369" s="86"/>
      <c r="E369" s="86"/>
      <c r="F369" s="86"/>
      <c r="G369" s="86"/>
      <c r="H369" s="86"/>
      <c r="I369" s="86"/>
      <c r="J369" s="86"/>
    </row>
    <row r="370" spans="1:10" s="71" customFormat="1" ht="12.75" customHeight="1">
      <c r="A370" s="81"/>
      <c r="B370" s="81"/>
      <c r="C370" s="86"/>
      <c r="D370" s="86"/>
      <c r="E370" s="86"/>
      <c r="F370" s="86"/>
      <c r="G370" s="86"/>
      <c r="H370" s="86"/>
      <c r="I370" s="86"/>
      <c r="J370" s="86"/>
    </row>
    <row r="371" spans="1:10" ht="12.75" customHeight="1">
      <c r="A371" s="83"/>
      <c r="B371" s="81" t="s">
        <v>2803</v>
      </c>
      <c r="C371" s="84">
        <v>161</v>
      </c>
      <c r="D371" s="84">
        <v>25</v>
      </c>
      <c r="E371" s="84" t="s">
        <v>2812</v>
      </c>
      <c r="F371" s="84">
        <v>5</v>
      </c>
      <c r="G371" s="84">
        <v>18</v>
      </c>
      <c r="H371" s="84" t="s">
        <v>2812</v>
      </c>
      <c r="I371" s="84">
        <v>0</v>
      </c>
      <c r="J371" s="84">
        <v>114</v>
      </c>
    </row>
    <row r="372" spans="1:10" ht="12.75" customHeight="1">
      <c r="A372" s="83"/>
      <c r="B372" s="81" t="s">
        <v>2804</v>
      </c>
      <c r="C372" s="84" t="s">
        <v>2805</v>
      </c>
      <c r="D372" s="84" t="s">
        <v>2812</v>
      </c>
      <c r="E372" s="84" t="s">
        <v>2812</v>
      </c>
      <c r="F372" s="84" t="s">
        <v>2812</v>
      </c>
      <c r="G372" s="84">
        <v>6</v>
      </c>
      <c r="H372" s="84" t="s">
        <v>2812</v>
      </c>
      <c r="I372" s="84">
        <v>0</v>
      </c>
      <c r="J372" s="84" t="s">
        <v>2805</v>
      </c>
    </row>
    <row r="373" spans="1:10" ht="12.75" customHeight="1">
      <c r="A373" s="83"/>
      <c r="B373" s="83" t="s">
        <v>2806</v>
      </c>
      <c r="C373" s="84" t="s">
        <v>2805</v>
      </c>
      <c r="D373" s="84" t="s">
        <v>2812</v>
      </c>
      <c r="E373" s="84">
        <v>0</v>
      </c>
      <c r="F373" s="84" t="s">
        <v>2812</v>
      </c>
      <c r="G373" s="84">
        <v>1</v>
      </c>
      <c r="H373" s="84" t="s">
        <v>2812</v>
      </c>
      <c r="I373" s="84">
        <v>0</v>
      </c>
      <c r="J373" s="84" t="s">
        <v>2805</v>
      </c>
    </row>
    <row r="374" spans="1:10" ht="12.75" customHeight="1">
      <c r="A374" s="83"/>
      <c r="B374" s="83" t="s">
        <v>2807</v>
      </c>
      <c r="C374" s="84" t="s">
        <v>2805</v>
      </c>
      <c r="D374" s="84">
        <v>0</v>
      </c>
      <c r="E374" s="84" t="s">
        <v>2812</v>
      </c>
      <c r="F374" s="84" t="s">
        <v>2812</v>
      </c>
      <c r="G374" s="84">
        <v>5</v>
      </c>
      <c r="H374" s="84" t="s">
        <v>2812</v>
      </c>
      <c r="I374" s="84">
        <v>0</v>
      </c>
      <c r="J374" s="84" t="s">
        <v>2805</v>
      </c>
    </row>
    <row r="375" spans="1:10" ht="12.75" customHeight="1">
      <c r="A375" s="83"/>
      <c r="B375" s="81" t="s">
        <v>2808</v>
      </c>
      <c r="C375" s="84" t="s">
        <v>2805</v>
      </c>
      <c r="D375" s="84">
        <v>21</v>
      </c>
      <c r="E375" s="84">
        <v>0</v>
      </c>
      <c r="F375" s="84">
        <v>1</v>
      </c>
      <c r="G375" s="84" t="s">
        <v>2826</v>
      </c>
      <c r="H375" s="84" t="s">
        <v>2812</v>
      </c>
      <c r="I375" s="84">
        <v>0</v>
      </c>
      <c r="J375" s="84" t="s">
        <v>2805</v>
      </c>
    </row>
    <row r="376" spans="1:10" ht="12.75" customHeight="1">
      <c r="A376" s="83"/>
      <c r="B376" s="83" t="s">
        <v>2810</v>
      </c>
      <c r="C376" s="84" t="s">
        <v>2805</v>
      </c>
      <c r="D376" s="84">
        <v>1</v>
      </c>
      <c r="E376" s="84">
        <v>0</v>
      </c>
      <c r="F376" s="84" t="s">
        <v>2812</v>
      </c>
      <c r="G376" s="84" t="s">
        <v>2826</v>
      </c>
      <c r="H376" s="84" t="s">
        <v>2812</v>
      </c>
      <c r="I376" s="84">
        <v>0</v>
      </c>
      <c r="J376" s="84" t="s">
        <v>2805</v>
      </c>
    </row>
    <row r="377" spans="1:10" ht="12.75" customHeight="1">
      <c r="A377" s="83"/>
      <c r="B377" s="83" t="s">
        <v>2811</v>
      </c>
      <c r="C377" s="84" t="s">
        <v>2805</v>
      </c>
      <c r="D377" s="84" t="s">
        <v>2812</v>
      </c>
      <c r="E377" s="84">
        <v>0</v>
      </c>
      <c r="F377" s="84" t="s">
        <v>2812</v>
      </c>
      <c r="G377" s="84" t="s">
        <v>2812</v>
      </c>
      <c r="H377" s="84">
        <v>0</v>
      </c>
      <c r="I377" s="84">
        <v>0</v>
      </c>
      <c r="J377" s="84" t="s">
        <v>2805</v>
      </c>
    </row>
    <row r="378" spans="1:10" ht="12.75" customHeight="1">
      <c r="A378" s="83"/>
      <c r="B378" s="83" t="s">
        <v>2813</v>
      </c>
      <c r="C378" s="84" t="s">
        <v>2805</v>
      </c>
      <c r="D378" s="84">
        <v>20</v>
      </c>
      <c r="E378" s="84">
        <v>0</v>
      </c>
      <c r="F378" s="84">
        <v>1</v>
      </c>
      <c r="G378" s="84" t="s">
        <v>2812</v>
      </c>
      <c r="H378" s="84" t="s">
        <v>2812</v>
      </c>
      <c r="I378" s="84">
        <v>0</v>
      </c>
      <c r="J378" s="84" t="s">
        <v>2805</v>
      </c>
    </row>
    <row r="379" spans="1:10" ht="12.75" customHeight="1">
      <c r="A379" s="83"/>
      <c r="B379" s="83" t="s">
        <v>2814</v>
      </c>
      <c r="C379" s="84" t="s">
        <v>2805</v>
      </c>
      <c r="D379" s="84" t="s">
        <v>2812</v>
      </c>
      <c r="E379" s="84" t="s">
        <v>2805</v>
      </c>
      <c r="F379" s="84" t="s">
        <v>2805</v>
      </c>
      <c r="G379" s="84" t="s">
        <v>2805</v>
      </c>
      <c r="H379" s="84" t="s">
        <v>2805</v>
      </c>
      <c r="I379" s="84" t="s">
        <v>2805</v>
      </c>
      <c r="J379" s="84" t="s">
        <v>2805</v>
      </c>
    </row>
    <row r="380" spans="1:10" ht="12.75" customHeight="1">
      <c r="A380" s="83"/>
      <c r="B380" s="83" t="s">
        <v>2815</v>
      </c>
      <c r="C380" s="84" t="s">
        <v>2805</v>
      </c>
      <c r="D380" s="84" t="s">
        <v>2812</v>
      </c>
      <c r="E380" s="84">
        <v>0</v>
      </c>
      <c r="F380" s="84" t="s">
        <v>2812</v>
      </c>
      <c r="G380" s="84">
        <v>0</v>
      </c>
      <c r="H380" s="84" t="s">
        <v>2812</v>
      </c>
      <c r="I380" s="84">
        <v>0</v>
      </c>
      <c r="J380" s="84" t="s">
        <v>2805</v>
      </c>
    </row>
    <row r="381" spans="1:10" ht="12.75" customHeight="1">
      <c r="A381" s="83"/>
      <c r="B381" s="81" t="s">
        <v>2816</v>
      </c>
      <c r="C381" s="84" t="s">
        <v>2805</v>
      </c>
      <c r="D381" s="84">
        <v>3</v>
      </c>
      <c r="E381" s="84" t="s">
        <v>2812</v>
      </c>
      <c r="F381" s="84">
        <v>4</v>
      </c>
      <c r="G381" s="84">
        <v>1</v>
      </c>
      <c r="H381" s="84" t="s">
        <v>2812</v>
      </c>
      <c r="I381" s="84">
        <v>0</v>
      </c>
      <c r="J381" s="84" t="s">
        <v>2805</v>
      </c>
    </row>
    <row r="382" spans="1:10" ht="12.75" customHeight="1">
      <c r="A382" s="83"/>
      <c r="B382" s="83" t="s">
        <v>2817</v>
      </c>
      <c r="C382" s="84" t="s">
        <v>2805</v>
      </c>
      <c r="D382" s="84">
        <v>1</v>
      </c>
      <c r="E382" s="84" t="s">
        <v>2812</v>
      </c>
      <c r="F382" s="84" t="s">
        <v>2812</v>
      </c>
      <c r="G382" s="84">
        <v>1</v>
      </c>
      <c r="H382" s="84" t="s">
        <v>2812</v>
      </c>
      <c r="I382" s="84">
        <v>0</v>
      </c>
      <c r="J382" s="84" t="s">
        <v>2805</v>
      </c>
    </row>
    <row r="383" spans="1:10" ht="12.75" customHeight="1">
      <c r="A383" s="83"/>
      <c r="B383" s="83" t="s">
        <v>2818</v>
      </c>
      <c r="C383" s="84" t="s">
        <v>2805</v>
      </c>
      <c r="D383" s="84">
        <v>1</v>
      </c>
      <c r="E383" s="84" t="s">
        <v>2805</v>
      </c>
      <c r="F383" s="84" t="s">
        <v>2805</v>
      </c>
      <c r="G383" s="84" t="s">
        <v>2805</v>
      </c>
      <c r="H383" s="84" t="s">
        <v>2805</v>
      </c>
      <c r="I383" s="84" t="s">
        <v>2805</v>
      </c>
      <c r="J383" s="84" t="s">
        <v>2805</v>
      </c>
    </row>
    <row r="384" spans="1:10" ht="12.75" customHeight="1">
      <c r="A384" s="83"/>
      <c r="B384" s="83" t="s">
        <v>2819</v>
      </c>
      <c r="C384" s="84" t="s">
        <v>2805</v>
      </c>
      <c r="D384" s="84">
        <v>1</v>
      </c>
      <c r="E384" s="84">
        <v>0</v>
      </c>
      <c r="F384" s="84" t="s">
        <v>2812</v>
      </c>
      <c r="G384" s="84" t="s">
        <v>2812</v>
      </c>
      <c r="H384" s="84" t="s">
        <v>2812</v>
      </c>
      <c r="I384" s="84">
        <v>0</v>
      </c>
      <c r="J384" s="84" t="s">
        <v>2805</v>
      </c>
    </row>
    <row r="385" spans="1:10" ht="12.75" customHeight="1">
      <c r="A385" s="83"/>
      <c r="B385" s="83" t="s">
        <v>2820</v>
      </c>
      <c r="C385" s="84" t="s">
        <v>2805</v>
      </c>
      <c r="D385" s="84" t="s">
        <v>2812</v>
      </c>
      <c r="E385" s="84" t="s">
        <v>2805</v>
      </c>
      <c r="F385" s="84">
        <v>4</v>
      </c>
      <c r="G385" s="84" t="s">
        <v>2812</v>
      </c>
      <c r="H385" s="84" t="s">
        <v>2812</v>
      </c>
      <c r="I385" s="84" t="s">
        <v>2805</v>
      </c>
      <c r="J385" s="84" t="s">
        <v>2805</v>
      </c>
    </row>
    <row r="386" spans="1:10" ht="12.75" customHeight="1">
      <c r="A386" s="83"/>
      <c r="B386" s="83" t="s">
        <v>2821</v>
      </c>
      <c r="C386" s="84" t="s">
        <v>2805</v>
      </c>
      <c r="D386" s="84" t="s">
        <v>2805</v>
      </c>
      <c r="E386" s="84">
        <v>0</v>
      </c>
      <c r="F386" s="84" t="s">
        <v>2812</v>
      </c>
      <c r="G386" s="84" t="s">
        <v>2812</v>
      </c>
      <c r="H386" s="84" t="s">
        <v>2812</v>
      </c>
      <c r="I386" s="84">
        <v>0</v>
      </c>
      <c r="J386" s="84" t="s">
        <v>2805</v>
      </c>
    </row>
    <row r="387" spans="1:10" ht="12.75" customHeight="1">
      <c r="A387" s="83"/>
      <c r="B387" s="83" t="s">
        <v>2822</v>
      </c>
      <c r="C387" s="84" t="s">
        <v>2805</v>
      </c>
      <c r="D387" s="84" t="s">
        <v>2812</v>
      </c>
      <c r="E387" s="84">
        <v>0</v>
      </c>
      <c r="F387" s="84" t="s">
        <v>2812</v>
      </c>
      <c r="G387" s="84">
        <v>0</v>
      </c>
      <c r="H387" s="84" t="s">
        <v>2812</v>
      </c>
      <c r="I387" s="84">
        <v>0</v>
      </c>
      <c r="J387" s="84" t="s">
        <v>2805</v>
      </c>
    </row>
    <row r="388" spans="1:10" ht="12.75" customHeight="1">
      <c r="A388" s="83"/>
      <c r="B388" s="81" t="s">
        <v>2823</v>
      </c>
      <c r="C388" s="84">
        <v>114</v>
      </c>
      <c r="D388" s="84" t="s">
        <v>2812</v>
      </c>
      <c r="E388" s="84">
        <v>0</v>
      </c>
      <c r="F388" s="84">
        <v>0</v>
      </c>
      <c r="G388" s="84" t="s">
        <v>2812</v>
      </c>
      <c r="H388" s="84" t="s">
        <v>2812</v>
      </c>
      <c r="I388" s="84">
        <v>0</v>
      </c>
      <c r="J388" s="84">
        <v>114</v>
      </c>
    </row>
    <row r="389" spans="1:10" ht="12.75" customHeight="1">
      <c r="A389" s="83"/>
      <c r="B389" s="81"/>
      <c r="C389" s="84"/>
      <c r="D389" s="84"/>
      <c r="E389" s="84"/>
      <c r="F389" s="84"/>
      <c r="G389" s="84"/>
      <c r="H389" s="84"/>
      <c r="I389" s="84"/>
      <c r="J389" s="84"/>
    </row>
    <row r="390" spans="1:10" s="71" customFormat="1" ht="12.75" customHeight="1">
      <c r="A390" s="81" t="s">
        <v>2857</v>
      </c>
      <c r="B390" s="81" t="s">
        <v>2858</v>
      </c>
      <c r="C390" s="86"/>
      <c r="D390" s="86"/>
      <c r="E390" s="86"/>
      <c r="F390" s="86"/>
      <c r="G390" s="86"/>
      <c r="H390" s="86"/>
      <c r="I390" s="86"/>
      <c r="J390" s="86"/>
    </row>
    <row r="391" spans="1:10" s="71" customFormat="1" ht="12.75" customHeight="1">
      <c r="A391" s="81"/>
      <c r="B391" s="81"/>
      <c r="C391" s="86"/>
      <c r="D391" s="86"/>
      <c r="E391" s="86"/>
      <c r="F391" s="86"/>
      <c r="G391" s="86"/>
      <c r="H391" s="86"/>
      <c r="I391" s="86"/>
      <c r="J391" s="86"/>
    </row>
    <row r="392" spans="1:10" s="71" customFormat="1" ht="12.75" customHeight="1">
      <c r="A392" s="81"/>
      <c r="B392" s="81"/>
      <c r="C392" s="86"/>
      <c r="D392" s="86"/>
      <c r="E392" s="86"/>
      <c r="F392" s="86"/>
      <c r="G392" s="86"/>
      <c r="H392" s="86"/>
      <c r="I392" s="86"/>
      <c r="J392" s="86"/>
    </row>
    <row r="393" spans="1:10" ht="12.75" customHeight="1">
      <c r="A393" s="83"/>
      <c r="B393" s="81" t="s">
        <v>2803</v>
      </c>
      <c r="C393" s="84">
        <v>139</v>
      </c>
      <c r="D393" s="84">
        <v>23</v>
      </c>
      <c r="E393" s="84" t="s">
        <v>2812</v>
      </c>
      <c r="F393" s="84">
        <v>1</v>
      </c>
      <c r="G393" s="84">
        <v>32</v>
      </c>
      <c r="H393" s="84">
        <v>1</v>
      </c>
      <c r="I393" s="84" t="s">
        <v>2812</v>
      </c>
      <c r="J393" s="84">
        <v>83</v>
      </c>
    </row>
    <row r="394" spans="1:10" ht="12.75" customHeight="1">
      <c r="A394" s="83"/>
      <c r="B394" s="81" t="s">
        <v>2804</v>
      </c>
      <c r="C394" s="84" t="s">
        <v>2805</v>
      </c>
      <c r="D394" s="84" t="s">
        <v>2812</v>
      </c>
      <c r="E394" s="84">
        <v>0</v>
      </c>
      <c r="F394" s="84" t="s">
        <v>2812</v>
      </c>
      <c r="G394" s="84">
        <v>9</v>
      </c>
      <c r="H394" s="84" t="s">
        <v>2812</v>
      </c>
      <c r="I394" s="84" t="s">
        <v>2812</v>
      </c>
      <c r="J394" s="84" t="s">
        <v>2805</v>
      </c>
    </row>
    <row r="395" spans="1:10" ht="12.75" customHeight="1">
      <c r="A395" s="83"/>
      <c r="B395" s="83" t="s">
        <v>2806</v>
      </c>
      <c r="C395" s="84" t="s">
        <v>2805</v>
      </c>
      <c r="D395" s="84" t="s">
        <v>2812</v>
      </c>
      <c r="E395" s="84">
        <v>0</v>
      </c>
      <c r="F395" s="84" t="s">
        <v>2812</v>
      </c>
      <c r="G395" s="84">
        <v>3</v>
      </c>
      <c r="H395" s="84" t="s">
        <v>2812</v>
      </c>
      <c r="I395" s="84">
        <v>0</v>
      </c>
      <c r="J395" s="84" t="s">
        <v>2805</v>
      </c>
    </row>
    <row r="396" spans="1:10" ht="12.75" customHeight="1">
      <c r="A396" s="83"/>
      <c r="B396" s="83" t="s">
        <v>2807</v>
      </c>
      <c r="C396" s="84" t="s">
        <v>2805</v>
      </c>
      <c r="D396" s="84">
        <v>0</v>
      </c>
      <c r="E396" s="84">
        <v>0</v>
      </c>
      <c r="F396" s="84" t="s">
        <v>2812</v>
      </c>
      <c r="G396" s="84">
        <v>7</v>
      </c>
      <c r="H396" s="84" t="s">
        <v>2812</v>
      </c>
      <c r="I396" s="84" t="s">
        <v>2812</v>
      </c>
      <c r="J396" s="84" t="s">
        <v>2805</v>
      </c>
    </row>
    <row r="397" spans="1:10" ht="12.75" customHeight="1">
      <c r="A397" s="83"/>
      <c r="B397" s="81" t="s">
        <v>2808</v>
      </c>
      <c r="C397" s="84" t="s">
        <v>2805</v>
      </c>
      <c r="D397" s="84">
        <v>19</v>
      </c>
      <c r="E397" s="84" t="s">
        <v>2812</v>
      </c>
      <c r="F397" s="84" t="s">
        <v>2812</v>
      </c>
      <c r="G397" s="84">
        <v>20</v>
      </c>
      <c r="H397" s="84" t="s">
        <v>2812</v>
      </c>
      <c r="I397" s="84">
        <v>0</v>
      </c>
      <c r="J397" s="84" t="s">
        <v>2805</v>
      </c>
    </row>
    <row r="398" spans="1:10" ht="12.75" customHeight="1">
      <c r="A398" s="83"/>
      <c r="B398" s="83" t="s">
        <v>2810</v>
      </c>
      <c r="C398" s="84" t="s">
        <v>2805</v>
      </c>
      <c r="D398" s="84">
        <v>1</v>
      </c>
      <c r="E398" s="84" t="s">
        <v>2812</v>
      </c>
      <c r="F398" s="84" t="s">
        <v>2812</v>
      </c>
      <c r="G398" s="84">
        <v>15</v>
      </c>
      <c r="H398" s="84" t="s">
        <v>2812</v>
      </c>
      <c r="I398" s="84">
        <v>0</v>
      </c>
      <c r="J398" s="84" t="s">
        <v>2805</v>
      </c>
    </row>
    <row r="399" spans="1:10" ht="12.75" customHeight="1">
      <c r="A399" s="83"/>
      <c r="B399" s="83" t="s">
        <v>2811</v>
      </c>
      <c r="C399" s="84" t="s">
        <v>2805</v>
      </c>
      <c r="D399" s="84" t="s">
        <v>2812</v>
      </c>
      <c r="E399" s="84">
        <v>0</v>
      </c>
      <c r="F399" s="84">
        <v>0</v>
      </c>
      <c r="G399" s="84" t="s">
        <v>2812</v>
      </c>
      <c r="H399" s="84">
        <v>0</v>
      </c>
      <c r="I399" s="84">
        <v>0</v>
      </c>
      <c r="J399" s="84" t="s">
        <v>2805</v>
      </c>
    </row>
    <row r="400" spans="1:10" ht="12.75" customHeight="1">
      <c r="A400" s="83"/>
      <c r="B400" s="83" t="s">
        <v>2813</v>
      </c>
      <c r="C400" s="84" t="s">
        <v>2805</v>
      </c>
      <c r="D400" s="84">
        <v>18</v>
      </c>
      <c r="E400" s="84" t="s">
        <v>2812</v>
      </c>
      <c r="F400" s="84" t="s">
        <v>2812</v>
      </c>
      <c r="G400" s="84">
        <v>1</v>
      </c>
      <c r="H400" s="84" t="s">
        <v>2812</v>
      </c>
      <c r="I400" s="84">
        <v>0</v>
      </c>
      <c r="J400" s="84" t="s">
        <v>2805</v>
      </c>
    </row>
    <row r="401" spans="1:10" ht="12.75" customHeight="1">
      <c r="A401" s="83"/>
      <c r="B401" s="83" t="s">
        <v>2814</v>
      </c>
      <c r="C401" s="84" t="s">
        <v>2805</v>
      </c>
      <c r="D401" s="84" t="s">
        <v>2812</v>
      </c>
      <c r="E401" s="84" t="s">
        <v>2805</v>
      </c>
      <c r="F401" s="84" t="s">
        <v>2805</v>
      </c>
      <c r="G401" s="84" t="s">
        <v>2805</v>
      </c>
      <c r="H401" s="84" t="s">
        <v>2805</v>
      </c>
      <c r="I401" s="84" t="s">
        <v>2805</v>
      </c>
      <c r="J401" s="84" t="s">
        <v>2805</v>
      </c>
    </row>
    <row r="402" spans="1:10" ht="12.75" customHeight="1">
      <c r="A402" s="83"/>
      <c r="B402" s="83" t="s">
        <v>2815</v>
      </c>
      <c r="C402" s="84" t="s">
        <v>2805</v>
      </c>
      <c r="D402" s="84" t="s">
        <v>2812</v>
      </c>
      <c r="E402" s="84">
        <v>0</v>
      </c>
      <c r="F402" s="84" t="s">
        <v>2812</v>
      </c>
      <c r="G402" s="84">
        <v>4</v>
      </c>
      <c r="H402" s="84" t="s">
        <v>2812</v>
      </c>
      <c r="I402" s="84">
        <v>0</v>
      </c>
      <c r="J402" s="84" t="s">
        <v>2805</v>
      </c>
    </row>
    <row r="403" spans="1:10" ht="12.75" customHeight="1">
      <c r="A403" s="83"/>
      <c r="B403" s="81" t="s">
        <v>2816</v>
      </c>
      <c r="C403" s="84" t="s">
        <v>2805</v>
      </c>
      <c r="D403" s="84">
        <v>3</v>
      </c>
      <c r="E403" s="84">
        <v>0</v>
      </c>
      <c r="F403" s="84">
        <v>1</v>
      </c>
      <c r="G403" s="84">
        <v>2</v>
      </c>
      <c r="H403" s="84">
        <v>1</v>
      </c>
      <c r="I403" s="84">
        <v>0</v>
      </c>
      <c r="J403" s="84" t="s">
        <v>2805</v>
      </c>
    </row>
    <row r="404" spans="1:10" ht="12.75" customHeight="1">
      <c r="A404" s="83"/>
      <c r="B404" s="83" t="s">
        <v>2817</v>
      </c>
      <c r="C404" s="84" t="s">
        <v>2805</v>
      </c>
      <c r="D404" s="84">
        <v>1</v>
      </c>
      <c r="E404" s="84">
        <v>0</v>
      </c>
      <c r="F404" s="84" t="s">
        <v>2812</v>
      </c>
      <c r="G404" s="84">
        <v>1</v>
      </c>
      <c r="H404" s="84" t="s">
        <v>2812</v>
      </c>
      <c r="I404" s="84">
        <v>0</v>
      </c>
      <c r="J404" s="84" t="s">
        <v>2805</v>
      </c>
    </row>
    <row r="405" spans="1:10" ht="12.75" customHeight="1">
      <c r="A405" s="83"/>
      <c r="B405" s="83" t="s">
        <v>2818</v>
      </c>
      <c r="C405" s="84" t="s">
        <v>2805</v>
      </c>
      <c r="D405" s="84">
        <v>1</v>
      </c>
      <c r="E405" s="84" t="s">
        <v>2805</v>
      </c>
      <c r="F405" s="84" t="s">
        <v>2805</v>
      </c>
      <c r="G405" s="84" t="s">
        <v>2805</v>
      </c>
      <c r="H405" s="84" t="s">
        <v>2805</v>
      </c>
      <c r="I405" s="84" t="s">
        <v>2805</v>
      </c>
      <c r="J405" s="84" t="s">
        <v>2805</v>
      </c>
    </row>
    <row r="406" spans="1:10" ht="12.75" customHeight="1">
      <c r="A406" s="83"/>
      <c r="B406" s="83" t="s">
        <v>2819</v>
      </c>
      <c r="C406" s="84" t="s">
        <v>2805</v>
      </c>
      <c r="D406" s="84" t="s">
        <v>2812</v>
      </c>
      <c r="E406" s="84">
        <v>0</v>
      </c>
      <c r="F406" s="84" t="s">
        <v>2812</v>
      </c>
      <c r="G406" s="84" t="s">
        <v>2812</v>
      </c>
      <c r="H406" s="84" t="s">
        <v>2812</v>
      </c>
      <c r="I406" s="84">
        <v>0</v>
      </c>
      <c r="J406" s="84" t="s">
        <v>2805</v>
      </c>
    </row>
    <row r="407" spans="1:10" ht="12.75" customHeight="1">
      <c r="A407" s="83"/>
      <c r="B407" s="83" t="s">
        <v>2820</v>
      </c>
      <c r="C407" s="84" t="s">
        <v>2805</v>
      </c>
      <c r="D407" s="84" t="s">
        <v>2812</v>
      </c>
      <c r="E407" s="84" t="s">
        <v>2805</v>
      </c>
      <c r="F407" s="84">
        <v>1</v>
      </c>
      <c r="G407" s="84" t="s">
        <v>2812</v>
      </c>
      <c r="H407" s="84">
        <v>1</v>
      </c>
      <c r="I407" s="84" t="s">
        <v>2805</v>
      </c>
      <c r="J407" s="84" t="s">
        <v>2805</v>
      </c>
    </row>
    <row r="408" spans="1:10" ht="12.75" customHeight="1">
      <c r="A408" s="83"/>
      <c r="B408" s="83" t="s">
        <v>2821</v>
      </c>
      <c r="C408" s="84" t="s">
        <v>2805</v>
      </c>
      <c r="D408" s="84" t="s">
        <v>2805</v>
      </c>
      <c r="E408" s="84">
        <v>0</v>
      </c>
      <c r="F408" s="84" t="s">
        <v>2812</v>
      </c>
      <c r="G408" s="84" t="s">
        <v>2812</v>
      </c>
      <c r="H408" s="84" t="s">
        <v>2812</v>
      </c>
      <c r="I408" s="84">
        <v>0</v>
      </c>
      <c r="J408" s="84" t="s">
        <v>2805</v>
      </c>
    </row>
    <row r="409" spans="1:10" ht="12.75" customHeight="1">
      <c r="A409" s="83"/>
      <c r="B409" s="83" t="s">
        <v>2822</v>
      </c>
      <c r="C409" s="84" t="s">
        <v>2805</v>
      </c>
      <c r="D409" s="84" t="s">
        <v>2812</v>
      </c>
      <c r="E409" s="84">
        <v>0</v>
      </c>
      <c r="F409" s="84" t="s">
        <v>2812</v>
      </c>
      <c r="G409" s="84">
        <v>1</v>
      </c>
      <c r="H409" s="84" t="s">
        <v>2812</v>
      </c>
      <c r="I409" s="84">
        <v>0</v>
      </c>
      <c r="J409" s="84" t="s">
        <v>2805</v>
      </c>
    </row>
    <row r="410" spans="1:10" ht="12.75" customHeight="1">
      <c r="A410" s="83"/>
      <c r="B410" s="81" t="s">
        <v>2823</v>
      </c>
      <c r="C410" s="84">
        <v>83</v>
      </c>
      <c r="D410" s="84" t="s">
        <v>2812</v>
      </c>
      <c r="E410" s="84">
        <v>0</v>
      </c>
      <c r="F410" s="84">
        <v>0</v>
      </c>
      <c r="G410" s="84" t="s">
        <v>2812</v>
      </c>
      <c r="H410" s="84" t="s">
        <v>2812</v>
      </c>
      <c r="I410" s="84">
        <v>0</v>
      </c>
      <c r="J410" s="84">
        <v>83</v>
      </c>
    </row>
    <row r="411" spans="1:10" ht="12.75" customHeight="1">
      <c r="A411" s="83"/>
      <c r="B411" s="81"/>
      <c r="C411" s="84"/>
      <c r="D411" s="84"/>
      <c r="E411" s="84"/>
      <c r="F411" s="84"/>
      <c r="G411" s="84"/>
      <c r="H411" s="84"/>
      <c r="I411" s="84"/>
      <c r="J411" s="84"/>
    </row>
    <row r="412" spans="1:10" s="71" customFormat="1" ht="12.75" customHeight="1">
      <c r="A412" s="81" t="s">
        <v>2859</v>
      </c>
      <c r="B412" s="81" t="s">
        <v>2860</v>
      </c>
      <c r="C412" s="86"/>
      <c r="D412" s="86"/>
      <c r="E412" s="86"/>
      <c r="F412" s="86"/>
      <c r="G412" s="86"/>
      <c r="H412" s="86"/>
      <c r="I412" s="86"/>
      <c r="J412" s="86"/>
    </row>
    <row r="413" spans="1:10" s="71" customFormat="1" ht="12.75" customHeight="1">
      <c r="A413" s="81"/>
      <c r="B413" s="81"/>
      <c r="C413" s="86"/>
      <c r="D413" s="86"/>
      <c r="E413" s="86"/>
      <c r="F413" s="86"/>
      <c r="G413" s="86"/>
      <c r="H413" s="86"/>
      <c r="I413" s="86"/>
      <c r="J413" s="86"/>
    </row>
    <row r="414" spans="1:10" s="71" customFormat="1" ht="12.75" customHeight="1">
      <c r="A414" s="81"/>
      <c r="B414" s="81"/>
      <c r="C414" s="86"/>
      <c r="D414" s="86"/>
      <c r="E414" s="86"/>
      <c r="F414" s="86"/>
      <c r="G414" s="86"/>
      <c r="H414" s="86"/>
      <c r="I414" s="86"/>
      <c r="J414" s="86"/>
    </row>
    <row r="415" spans="1:10" ht="12.75" customHeight="1">
      <c r="A415" s="83"/>
      <c r="B415" s="81" t="s">
        <v>2803</v>
      </c>
      <c r="C415" s="84">
        <v>78</v>
      </c>
      <c r="D415" s="84">
        <v>15</v>
      </c>
      <c r="E415" s="84" t="s">
        <v>2812</v>
      </c>
      <c r="F415" s="84" t="s">
        <v>2812</v>
      </c>
      <c r="G415" s="84">
        <v>20</v>
      </c>
      <c r="H415" s="84" t="s">
        <v>2812</v>
      </c>
      <c r="I415" s="84">
        <v>0</v>
      </c>
      <c r="J415" s="84">
        <v>42</v>
      </c>
    </row>
    <row r="416" spans="1:10" ht="12.75" customHeight="1">
      <c r="A416" s="83"/>
      <c r="B416" s="81" t="s">
        <v>2804</v>
      </c>
      <c r="C416" s="84" t="s">
        <v>2805</v>
      </c>
      <c r="D416" s="84" t="s">
        <v>2812</v>
      </c>
      <c r="E416" s="84">
        <v>0</v>
      </c>
      <c r="F416" s="84" t="s">
        <v>2812</v>
      </c>
      <c r="G416" s="84">
        <v>5</v>
      </c>
      <c r="H416" s="84" t="s">
        <v>2812</v>
      </c>
      <c r="I416" s="84">
        <v>0</v>
      </c>
      <c r="J416" s="84" t="s">
        <v>2805</v>
      </c>
    </row>
    <row r="417" spans="1:10" ht="12.75" customHeight="1">
      <c r="A417" s="83"/>
      <c r="B417" s="83" t="s">
        <v>2806</v>
      </c>
      <c r="C417" s="84" t="s">
        <v>2805</v>
      </c>
      <c r="D417" s="84" t="s">
        <v>2812</v>
      </c>
      <c r="E417" s="84">
        <v>0</v>
      </c>
      <c r="F417" s="84" t="s">
        <v>2812</v>
      </c>
      <c r="G417" s="84">
        <v>2</v>
      </c>
      <c r="H417" s="84" t="s">
        <v>2812</v>
      </c>
      <c r="I417" s="84">
        <v>0</v>
      </c>
      <c r="J417" s="84" t="s">
        <v>2805</v>
      </c>
    </row>
    <row r="418" spans="1:10" ht="12.75" customHeight="1">
      <c r="A418" s="83"/>
      <c r="B418" s="83" t="s">
        <v>2807</v>
      </c>
      <c r="C418" s="84" t="s">
        <v>2805</v>
      </c>
      <c r="D418" s="84">
        <v>0</v>
      </c>
      <c r="E418" s="84">
        <v>0</v>
      </c>
      <c r="F418" s="84">
        <v>0</v>
      </c>
      <c r="G418" s="84">
        <v>3</v>
      </c>
      <c r="H418" s="84" t="s">
        <v>2812</v>
      </c>
      <c r="I418" s="84">
        <v>0</v>
      </c>
      <c r="J418" s="84" t="s">
        <v>2805</v>
      </c>
    </row>
    <row r="419" spans="1:10" ht="12.75" customHeight="1">
      <c r="A419" s="83"/>
      <c r="B419" s="81" t="s">
        <v>2808</v>
      </c>
      <c r="C419" s="84" t="s">
        <v>2805</v>
      </c>
      <c r="D419" s="84">
        <v>13</v>
      </c>
      <c r="E419" s="84" t="s">
        <v>2812</v>
      </c>
      <c r="F419" s="84" t="s">
        <v>2812</v>
      </c>
      <c r="G419" s="84">
        <v>14</v>
      </c>
      <c r="H419" s="84" t="s">
        <v>2812</v>
      </c>
      <c r="I419" s="84">
        <v>0</v>
      </c>
      <c r="J419" s="84" t="s">
        <v>2805</v>
      </c>
    </row>
    <row r="420" spans="1:10" ht="12.75" customHeight="1">
      <c r="A420" s="83"/>
      <c r="B420" s="83" t="s">
        <v>2810</v>
      </c>
      <c r="C420" s="84" t="s">
        <v>2805</v>
      </c>
      <c r="D420" s="84" t="s">
        <v>2812</v>
      </c>
      <c r="E420" s="84" t="s">
        <v>2812</v>
      </c>
      <c r="F420" s="84" t="s">
        <v>2812</v>
      </c>
      <c r="G420" s="84">
        <v>10</v>
      </c>
      <c r="H420" s="84" t="s">
        <v>2812</v>
      </c>
      <c r="I420" s="84">
        <v>0</v>
      </c>
      <c r="J420" s="84" t="s">
        <v>2805</v>
      </c>
    </row>
    <row r="421" spans="1:10" ht="12.75" customHeight="1">
      <c r="A421" s="83"/>
      <c r="B421" s="83" t="s">
        <v>2811</v>
      </c>
      <c r="C421" s="84" t="s">
        <v>2805</v>
      </c>
      <c r="D421" s="84" t="s">
        <v>2812</v>
      </c>
      <c r="E421" s="84">
        <v>0</v>
      </c>
      <c r="F421" s="84">
        <v>0</v>
      </c>
      <c r="G421" s="84">
        <v>0</v>
      </c>
      <c r="H421" s="84">
        <v>0</v>
      </c>
      <c r="I421" s="84">
        <v>0</v>
      </c>
      <c r="J421" s="84" t="s">
        <v>2805</v>
      </c>
    </row>
    <row r="422" spans="1:10" ht="12.75" customHeight="1">
      <c r="A422" s="83"/>
      <c r="B422" s="83" t="s">
        <v>2813</v>
      </c>
      <c r="C422" s="84" t="s">
        <v>2805</v>
      </c>
      <c r="D422" s="84">
        <v>12</v>
      </c>
      <c r="E422" s="84" t="s">
        <v>2812</v>
      </c>
      <c r="F422" s="84" t="s">
        <v>2812</v>
      </c>
      <c r="G422" s="84">
        <v>1</v>
      </c>
      <c r="H422" s="84" t="s">
        <v>2812</v>
      </c>
      <c r="I422" s="84">
        <v>0</v>
      </c>
      <c r="J422" s="84" t="s">
        <v>2805</v>
      </c>
    </row>
    <row r="423" spans="1:10" ht="12.75" customHeight="1">
      <c r="A423" s="83"/>
      <c r="B423" s="83" t="s">
        <v>2814</v>
      </c>
      <c r="C423" s="84" t="s">
        <v>2805</v>
      </c>
      <c r="D423" s="84" t="s">
        <v>2812</v>
      </c>
      <c r="E423" s="84" t="s">
        <v>2805</v>
      </c>
      <c r="F423" s="84" t="s">
        <v>2805</v>
      </c>
      <c r="G423" s="84" t="s">
        <v>2805</v>
      </c>
      <c r="H423" s="84" t="s">
        <v>2805</v>
      </c>
      <c r="I423" s="84" t="s">
        <v>2805</v>
      </c>
      <c r="J423" s="84" t="s">
        <v>2805</v>
      </c>
    </row>
    <row r="424" spans="1:10" ht="12.75" customHeight="1">
      <c r="A424" s="83"/>
      <c r="B424" s="83" t="s">
        <v>2815</v>
      </c>
      <c r="C424" s="84" t="s">
        <v>2805</v>
      </c>
      <c r="D424" s="84" t="s">
        <v>2812</v>
      </c>
      <c r="E424" s="84">
        <v>0</v>
      </c>
      <c r="F424" s="84">
        <v>0</v>
      </c>
      <c r="G424" s="84">
        <v>4</v>
      </c>
      <c r="H424" s="84">
        <v>0</v>
      </c>
      <c r="I424" s="84">
        <v>0</v>
      </c>
      <c r="J424" s="84" t="s">
        <v>2805</v>
      </c>
    </row>
    <row r="425" spans="1:10" ht="12.75" customHeight="1">
      <c r="A425" s="83"/>
      <c r="B425" s="81" t="s">
        <v>2816</v>
      </c>
      <c r="C425" s="84" t="s">
        <v>2805</v>
      </c>
      <c r="D425" s="84">
        <v>2</v>
      </c>
      <c r="E425" s="84">
        <v>0</v>
      </c>
      <c r="F425" s="84" t="s">
        <v>2812</v>
      </c>
      <c r="G425" s="84">
        <v>1</v>
      </c>
      <c r="H425" s="84" t="s">
        <v>2812</v>
      </c>
      <c r="I425" s="84">
        <v>0</v>
      </c>
      <c r="J425" s="84" t="s">
        <v>2805</v>
      </c>
    </row>
    <row r="426" spans="1:10" ht="12.75" customHeight="1">
      <c r="A426" s="83"/>
      <c r="B426" s="83" t="s">
        <v>2817</v>
      </c>
      <c r="C426" s="84" t="s">
        <v>2805</v>
      </c>
      <c r="D426" s="84">
        <v>1</v>
      </c>
      <c r="E426" s="84">
        <v>0</v>
      </c>
      <c r="F426" s="84" t="s">
        <v>2812</v>
      </c>
      <c r="G426" s="84" t="s">
        <v>2812</v>
      </c>
      <c r="H426" s="84" t="s">
        <v>2812</v>
      </c>
      <c r="I426" s="84">
        <v>0</v>
      </c>
      <c r="J426" s="84" t="s">
        <v>2805</v>
      </c>
    </row>
    <row r="427" spans="1:10" ht="12.75" customHeight="1">
      <c r="A427" s="83"/>
      <c r="B427" s="83" t="s">
        <v>2818</v>
      </c>
      <c r="C427" s="84" t="s">
        <v>2805</v>
      </c>
      <c r="D427" s="84">
        <v>1</v>
      </c>
      <c r="E427" s="84" t="s">
        <v>2805</v>
      </c>
      <c r="F427" s="84" t="s">
        <v>2805</v>
      </c>
      <c r="G427" s="84" t="s">
        <v>2805</v>
      </c>
      <c r="H427" s="84" t="s">
        <v>2805</v>
      </c>
      <c r="I427" s="84" t="s">
        <v>2805</v>
      </c>
      <c r="J427" s="84" t="s">
        <v>2805</v>
      </c>
    </row>
    <row r="428" spans="1:10" ht="12.75" customHeight="1">
      <c r="A428" s="83"/>
      <c r="B428" s="83" t="s">
        <v>2819</v>
      </c>
      <c r="C428" s="84" t="s">
        <v>2805</v>
      </c>
      <c r="D428" s="84" t="s">
        <v>2812</v>
      </c>
      <c r="E428" s="84">
        <v>0</v>
      </c>
      <c r="F428" s="84" t="s">
        <v>2812</v>
      </c>
      <c r="G428" s="84" t="s">
        <v>2812</v>
      </c>
      <c r="H428" s="84" t="s">
        <v>2812</v>
      </c>
      <c r="I428" s="84">
        <v>0</v>
      </c>
      <c r="J428" s="84" t="s">
        <v>2805</v>
      </c>
    </row>
    <row r="429" spans="1:10" ht="12.75" customHeight="1">
      <c r="A429" s="83"/>
      <c r="B429" s="83" t="s">
        <v>2820</v>
      </c>
      <c r="C429" s="84" t="s">
        <v>2805</v>
      </c>
      <c r="D429" s="84" t="s">
        <v>2812</v>
      </c>
      <c r="E429" s="84" t="s">
        <v>2805</v>
      </c>
      <c r="F429" s="84" t="s">
        <v>2812</v>
      </c>
      <c r="G429" s="84">
        <v>0</v>
      </c>
      <c r="H429" s="84" t="s">
        <v>2812</v>
      </c>
      <c r="I429" s="84" t="s">
        <v>2805</v>
      </c>
      <c r="J429" s="84" t="s">
        <v>2805</v>
      </c>
    </row>
    <row r="430" spans="1:10" ht="12.75" customHeight="1">
      <c r="A430" s="83"/>
      <c r="B430" s="83" t="s">
        <v>2821</v>
      </c>
      <c r="C430" s="84" t="s">
        <v>2805</v>
      </c>
      <c r="D430" s="84" t="s">
        <v>2805</v>
      </c>
      <c r="E430" s="84">
        <v>0</v>
      </c>
      <c r="F430" s="84" t="s">
        <v>2812</v>
      </c>
      <c r="G430" s="84" t="s">
        <v>2812</v>
      </c>
      <c r="H430" s="84">
        <v>0</v>
      </c>
      <c r="I430" s="84">
        <v>0</v>
      </c>
      <c r="J430" s="84" t="s">
        <v>2805</v>
      </c>
    </row>
    <row r="431" spans="1:10" ht="12.75" customHeight="1">
      <c r="A431" s="83"/>
      <c r="B431" s="83" t="s">
        <v>2822</v>
      </c>
      <c r="C431" s="84" t="s">
        <v>2805</v>
      </c>
      <c r="D431" s="84" t="s">
        <v>2812</v>
      </c>
      <c r="E431" s="84">
        <v>0</v>
      </c>
      <c r="F431" s="84">
        <v>0</v>
      </c>
      <c r="G431" s="84">
        <v>1</v>
      </c>
      <c r="H431" s="84" t="s">
        <v>2812</v>
      </c>
      <c r="I431" s="84">
        <v>0</v>
      </c>
      <c r="J431" s="84" t="s">
        <v>2805</v>
      </c>
    </row>
    <row r="432" spans="1:10" ht="12.75" customHeight="1">
      <c r="A432" s="83"/>
      <c r="B432" s="81" t="s">
        <v>2823</v>
      </c>
      <c r="C432" s="84">
        <v>42</v>
      </c>
      <c r="D432" s="84">
        <v>0</v>
      </c>
      <c r="E432" s="84">
        <v>0</v>
      </c>
      <c r="F432" s="84">
        <v>0</v>
      </c>
      <c r="G432" s="84">
        <v>0</v>
      </c>
      <c r="H432" s="84">
        <v>0</v>
      </c>
      <c r="I432" s="84">
        <v>0</v>
      </c>
      <c r="J432" s="84">
        <v>42</v>
      </c>
    </row>
    <row r="433" spans="1:10" ht="12.75" customHeight="1">
      <c r="A433" s="83"/>
      <c r="B433" s="81"/>
      <c r="C433" s="84"/>
      <c r="D433" s="84"/>
      <c r="E433" s="84"/>
      <c r="F433" s="84"/>
      <c r="G433" s="84"/>
      <c r="H433" s="84"/>
      <c r="I433" s="84"/>
      <c r="J433" s="84"/>
    </row>
    <row r="434" spans="1:10" s="71" customFormat="1" ht="12.75" customHeight="1">
      <c r="A434" s="81" t="s">
        <v>2861</v>
      </c>
      <c r="B434" s="81" t="s">
        <v>2862</v>
      </c>
      <c r="C434" s="86"/>
      <c r="D434" s="86"/>
      <c r="E434" s="86"/>
      <c r="F434" s="86"/>
      <c r="G434" s="86"/>
      <c r="H434" s="86"/>
      <c r="I434" s="86"/>
      <c r="J434" s="86"/>
    </row>
    <row r="435" spans="1:10" s="71" customFormat="1" ht="12.75" customHeight="1">
      <c r="A435" s="81"/>
      <c r="B435" s="81"/>
      <c r="C435" s="86"/>
      <c r="D435" s="86"/>
      <c r="E435" s="86"/>
      <c r="F435" s="86"/>
      <c r="G435" s="86"/>
      <c r="H435" s="86"/>
      <c r="I435" s="86"/>
      <c r="J435" s="86"/>
    </row>
    <row r="436" spans="1:10" s="71" customFormat="1" ht="12.75" customHeight="1">
      <c r="A436" s="81"/>
      <c r="B436" s="81"/>
      <c r="C436" s="86"/>
      <c r="D436" s="86"/>
      <c r="E436" s="86"/>
      <c r="F436" s="86"/>
      <c r="G436" s="86"/>
      <c r="H436" s="86"/>
      <c r="I436" s="86"/>
      <c r="J436" s="86"/>
    </row>
    <row r="437" spans="1:10" ht="12.75" customHeight="1">
      <c r="A437" s="83"/>
      <c r="B437" s="81" t="s">
        <v>2803</v>
      </c>
      <c r="C437" s="84">
        <v>78</v>
      </c>
      <c r="D437" s="84">
        <v>22</v>
      </c>
      <c r="E437" s="84" t="s">
        <v>2812</v>
      </c>
      <c r="F437" s="84" t="s">
        <v>2826</v>
      </c>
      <c r="G437" s="84">
        <v>15</v>
      </c>
      <c r="H437" s="84">
        <v>1</v>
      </c>
      <c r="I437" s="84" t="s">
        <v>2812</v>
      </c>
      <c r="J437" s="84">
        <v>35</v>
      </c>
    </row>
    <row r="438" spans="1:10" ht="12.75" customHeight="1">
      <c r="A438" s="83"/>
      <c r="B438" s="81" t="s">
        <v>2804</v>
      </c>
      <c r="C438" s="84" t="s">
        <v>2805</v>
      </c>
      <c r="D438" s="84">
        <v>1</v>
      </c>
      <c r="E438" s="84">
        <v>0</v>
      </c>
      <c r="F438" s="84" t="s">
        <v>2812</v>
      </c>
      <c r="G438" s="84">
        <v>2</v>
      </c>
      <c r="H438" s="84" t="s">
        <v>2812</v>
      </c>
      <c r="I438" s="84">
        <v>0</v>
      </c>
      <c r="J438" s="84" t="s">
        <v>2805</v>
      </c>
    </row>
    <row r="439" spans="1:10" ht="12.75" customHeight="1">
      <c r="A439" s="83"/>
      <c r="B439" s="83" t="s">
        <v>2806</v>
      </c>
      <c r="C439" s="84" t="s">
        <v>2805</v>
      </c>
      <c r="D439" s="84">
        <v>1</v>
      </c>
      <c r="E439" s="84">
        <v>0</v>
      </c>
      <c r="F439" s="84" t="s">
        <v>2812</v>
      </c>
      <c r="G439" s="84">
        <v>1</v>
      </c>
      <c r="H439" s="84" t="s">
        <v>2812</v>
      </c>
      <c r="I439" s="84">
        <v>0</v>
      </c>
      <c r="J439" s="84" t="s">
        <v>2805</v>
      </c>
    </row>
    <row r="440" spans="1:10" ht="12.75" customHeight="1">
      <c r="A440" s="83"/>
      <c r="B440" s="83" t="s">
        <v>2807</v>
      </c>
      <c r="C440" s="84" t="s">
        <v>2805</v>
      </c>
      <c r="D440" s="84">
        <v>0</v>
      </c>
      <c r="E440" s="84">
        <v>0</v>
      </c>
      <c r="F440" s="84" t="s">
        <v>2812</v>
      </c>
      <c r="G440" s="84">
        <v>2</v>
      </c>
      <c r="H440" s="84" t="s">
        <v>2812</v>
      </c>
      <c r="I440" s="84">
        <v>0</v>
      </c>
      <c r="J440" s="84" t="s">
        <v>2805</v>
      </c>
    </row>
    <row r="441" spans="1:10" ht="12.75" customHeight="1">
      <c r="A441" s="83"/>
      <c r="B441" s="81" t="s">
        <v>2808</v>
      </c>
      <c r="C441" s="84" t="s">
        <v>2805</v>
      </c>
      <c r="D441" s="84">
        <v>16</v>
      </c>
      <c r="E441" s="84">
        <v>0</v>
      </c>
      <c r="F441" s="84" t="s">
        <v>2826</v>
      </c>
      <c r="G441" s="84">
        <v>8</v>
      </c>
      <c r="H441" s="84" t="s">
        <v>2812</v>
      </c>
      <c r="I441" s="84" t="s">
        <v>2812</v>
      </c>
      <c r="J441" s="84" t="s">
        <v>2805</v>
      </c>
    </row>
    <row r="442" spans="1:10" ht="12.75" customHeight="1">
      <c r="A442" s="83"/>
      <c r="B442" s="83" t="s">
        <v>2810</v>
      </c>
      <c r="C442" s="84" t="s">
        <v>2805</v>
      </c>
      <c r="D442" s="84">
        <v>1</v>
      </c>
      <c r="E442" s="84">
        <v>0</v>
      </c>
      <c r="F442" s="84" t="s">
        <v>2812</v>
      </c>
      <c r="G442" s="84">
        <v>7</v>
      </c>
      <c r="H442" s="84" t="s">
        <v>2812</v>
      </c>
      <c r="I442" s="84" t="s">
        <v>2812</v>
      </c>
      <c r="J442" s="84" t="s">
        <v>2805</v>
      </c>
    </row>
    <row r="443" spans="1:10" ht="12.75" customHeight="1">
      <c r="A443" s="83"/>
      <c r="B443" s="83" t="s">
        <v>2811</v>
      </c>
      <c r="C443" s="84" t="s">
        <v>2805</v>
      </c>
      <c r="D443" s="84" t="s">
        <v>2812</v>
      </c>
      <c r="E443" s="84">
        <v>0</v>
      </c>
      <c r="F443" s="84" t="s">
        <v>2812</v>
      </c>
      <c r="G443" s="84" t="s">
        <v>2812</v>
      </c>
      <c r="H443" s="84" t="s">
        <v>2812</v>
      </c>
      <c r="I443" s="84">
        <v>0</v>
      </c>
      <c r="J443" s="84" t="s">
        <v>2805</v>
      </c>
    </row>
    <row r="444" spans="1:10" ht="12.75" customHeight="1">
      <c r="A444" s="83"/>
      <c r="B444" s="83" t="s">
        <v>2813</v>
      </c>
      <c r="C444" s="84" t="s">
        <v>2805</v>
      </c>
      <c r="D444" s="84">
        <v>14</v>
      </c>
      <c r="E444" s="84">
        <v>0</v>
      </c>
      <c r="F444" s="84" t="s">
        <v>2812</v>
      </c>
      <c r="G444" s="84" t="s">
        <v>2826</v>
      </c>
      <c r="H444" s="84" t="s">
        <v>2812</v>
      </c>
      <c r="I444" s="84">
        <v>0</v>
      </c>
      <c r="J444" s="84" t="s">
        <v>2805</v>
      </c>
    </row>
    <row r="445" spans="1:10" ht="12.75" customHeight="1">
      <c r="A445" s="83"/>
      <c r="B445" s="83" t="s">
        <v>2814</v>
      </c>
      <c r="C445" s="84" t="s">
        <v>2805</v>
      </c>
      <c r="D445" s="84" t="s">
        <v>2812</v>
      </c>
      <c r="E445" s="84" t="s">
        <v>2805</v>
      </c>
      <c r="F445" s="84" t="s">
        <v>2805</v>
      </c>
      <c r="G445" s="84" t="s">
        <v>2805</v>
      </c>
      <c r="H445" s="84" t="s">
        <v>2805</v>
      </c>
      <c r="I445" s="84" t="s">
        <v>2805</v>
      </c>
      <c r="J445" s="84" t="s">
        <v>2805</v>
      </c>
    </row>
    <row r="446" spans="1:10" ht="12.75" customHeight="1">
      <c r="A446" s="83"/>
      <c r="B446" s="83" t="s">
        <v>2815</v>
      </c>
      <c r="C446" s="84" t="s">
        <v>2805</v>
      </c>
      <c r="D446" s="84" t="s">
        <v>2812</v>
      </c>
      <c r="E446" s="84">
        <v>0</v>
      </c>
      <c r="F446" s="84" t="s">
        <v>2826</v>
      </c>
      <c r="G446" s="84" t="s">
        <v>2812</v>
      </c>
      <c r="H446" s="84" t="s">
        <v>2812</v>
      </c>
      <c r="I446" s="84">
        <v>0</v>
      </c>
      <c r="J446" s="84" t="s">
        <v>2805</v>
      </c>
    </row>
    <row r="447" spans="1:10" ht="12.75" customHeight="1">
      <c r="A447" s="83"/>
      <c r="B447" s="81" t="s">
        <v>2816</v>
      </c>
      <c r="C447" s="84" t="s">
        <v>2805</v>
      </c>
      <c r="D447" s="84">
        <v>5</v>
      </c>
      <c r="E447" s="84" t="s">
        <v>2812</v>
      </c>
      <c r="F447" s="84">
        <v>1</v>
      </c>
      <c r="G447" s="84">
        <v>5</v>
      </c>
      <c r="H447" s="84">
        <v>1</v>
      </c>
      <c r="I447" s="84" t="s">
        <v>2812</v>
      </c>
      <c r="J447" s="84" t="s">
        <v>2805</v>
      </c>
    </row>
    <row r="448" spans="1:10" ht="12.75" customHeight="1">
      <c r="A448" s="83"/>
      <c r="B448" s="83" t="s">
        <v>2817</v>
      </c>
      <c r="C448" s="84" t="s">
        <v>2805</v>
      </c>
      <c r="D448" s="84">
        <v>2</v>
      </c>
      <c r="E448" s="84" t="s">
        <v>2812</v>
      </c>
      <c r="F448" s="84" t="s">
        <v>2812</v>
      </c>
      <c r="G448" s="84">
        <v>4</v>
      </c>
      <c r="H448" s="84" t="s">
        <v>2812</v>
      </c>
      <c r="I448" s="84" t="s">
        <v>2812</v>
      </c>
      <c r="J448" s="84" t="s">
        <v>2805</v>
      </c>
    </row>
    <row r="449" spans="1:10" ht="12.75" customHeight="1">
      <c r="A449" s="83"/>
      <c r="B449" s="83" t="s">
        <v>2818</v>
      </c>
      <c r="C449" s="84" t="s">
        <v>2805</v>
      </c>
      <c r="D449" s="84">
        <v>2</v>
      </c>
      <c r="E449" s="84" t="s">
        <v>2805</v>
      </c>
      <c r="F449" s="84" t="s">
        <v>2805</v>
      </c>
      <c r="G449" s="84" t="s">
        <v>2805</v>
      </c>
      <c r="H449" s="84" t="s">
        <v>2805</v>
      </c>
      <c r="I449" s="84" t="s">
        <v>2805</v>
      </c>
      <c r="J449" s="84" t="s">
        <v>2805</v>
      </c>
    </row>
    <row r="450" spans="1:10" ht="12.75" customHeight="1">
      <c r="A450" s="83"/>
      <c r="B450" s="83" t="s">
        <v>2819</v>
      </c>
      <c r="C450" s="84" t="s">
        <v>2805</v>
      </c>
      <c r="D450" s="84">
        <v>1</v>
      </c>
      <c r="E450" s="84">
        <v>0</v>
      </c>
      <c r="F450" s="84">
        <v>0</v>
      </c>
      <c r="G450" s="84" t="s">
        <v>2812</v>
      </c>
      <c r="H450" s="84" t="s">
        <v>2812</v>
      </c>
      <c r="I450" s="84">
        <v>0</v>
      </c>
      <c r="J450" s="84" t="s">
        <v>2805</v>
      </c>
    </row>
    <row r="451" spans="1:10" ht="12.75" customHeight="1">
      <c r="A451" s="83"/>
      <c r="B451" s="83" t="s">
        <v>2820</v>
      </c>
      <c r="C451" s="84" t="s">
        <v>2805</v>
      </c>
      <c r="D451" s="84" t="s">
        <v>2812</v>
      </c>
      <c r="E451" s="84" t="s">
        <v>2805</v>
      </c>
      <c r="F451" s="84">
        <v>1</v>
      </c>
      <c r="G451" s="84" t="s">
        <v>2812</v>
      </c>
      <c r="H451" s="84">
        <v>1</v>
      </c>
      <c r="I451" s="84" t="s">
        <v>2805</v>
      </c>
      <c r="J451" s="84" t="s">
        <v>2805</v>
      </c>
    </row>
    <row r="452" spans="1:10" ht="12.75" customHeight="1">
      <c r="A452" s="83"/>
      <c r="B452" s="83" t="s">
        <v>2821</v>
      </c>
      <c r="C452" s="84" t="s">
        <v>2805</v>
      </c>
      <c r="D452" s="84" t="s">
        <v>2805</v>
      </c>
      <c r="E452" s="84">
        <v>0</v>
      </c>
      <c r="F452" s="84" t="s">
        <v>2812</v>
      </c>
      <c r="G452" s="84" t="s">
        <v>2812</v>
      </c>
      <c r="H452" s="84">
        <v>0</v>
      </c>
      <c r="I452" s="84">
        <v>0</v>
      </c>
      <c r="J452" s="84" t="s">
        <v>2805</v>
      </c>
    </row>
    <row r="453" spans="1:10" ht="12.75" customHeight="1">
      <c r="A453" s="83"/>
      <c r="B453" s="83" t="s">
        <v>2822</v>
      </c>
      <c r="C453" s="84" t="s">
        <v>2805</v>
      </c>
      <c r="D453" s="84" t="s">
        <v>2812</v>
      </c>
      <c r="E453" s="84">
        <v>0</v>
      </c>
      <c r="F453" s="84" t="s">
        <v>2812</v>
      </c>
      <c r="G453" s="84" t="s">
        <v>2812</v>
      </c>
      <c r="H453" s="84" t="s">
        <v>2812</v>
      </c>
      <c r="I453" s="84">
        <v>0</v>
      </c>
      <c r="J453" s="84" t="s">
        <v>2805</v>
      </c>
    </row>
    <row r="454" spans="1:10" ht="12.75" customHeight="1">
      <c r="A454" s="83"/>
      <c r="B454" s="81" t="s">
        <v>2823</v>
      </c>
      <c r="C454" s="84">
        <v>35</v>
      </c>
      <c r="D454" s="84" t="s">
        <v>2812</v>
      </c>
      <c r="E454" s="84">
        <v>0</v>
      </c>
      <c r="F454" s="84">
        <v>0</v>
      </c>
      <c r="G454" s="84" t="s">
        <v>2812</v>
      </c>
      <c r="H454" s="84" t="s">
        <v>2812</v>
      </c>
      <c r="I454" s="84">
        <v>0</v>
      </c>
      <c r="J454" s="84">
        <v>35</v>
      </c>
    </row>
    <row r="455" spans="1:10" ht="12.75" customHeight="1">
      <c r="A455" s="83"/>
      <c r="B455" s="81"/>
      <c r="C455" s="84"/>
      <c r="D455" s="84"/>
      <c r="E455" s="84"/>
      <c r="F455" s="84"/>
      <c r="G455" s="84"/>
      <c r="H455" s="84"/>
      <c r="I455" s="84"/>
      <c r="J455" s="84"/>
    </row>
    <row r="456" spans="1:10" s="71" customFormat="1" ht="12.75" customHeight="1">
      <c r="A456" s="81" t="s">
        <v>2863</v>
      </c>
      <c r="B456" s="81" t="s">
        <v>2864</v>
      </c>
      <c r="C456" s="86"/>
      <c r="D456" s="86"/>
      <c r="E456" s="86"/>
      <c r="F456" s="86"/>
      <c r="G456" s="86"/>
      <c r="H456" s="86"/>
      <c r="I456" s="86"/>
      <c r="J456" s="86"/>
    </row>
    <row r="457" spans="1:10" s="71" customFormat="1" ht="12.75" customHeight="1">
      <c r="A457" s="81"/>
      <c r="B457" s="81"/>
      <c r="C457" s="86"/>
      <c r="D457" s="86"/>
      <c r="E457" s="86"/>
      <c r="F457" s="86"/>
      <c r="G457" s="86"/>
      <c r="H457" s="86"/>
      <c r="I457" s="86"/>
      <c r="J457" s="86"/>
    </row>
    <row r="458" spans="1:10" s="71" customFormat="1" ht="12.75" customHeight="1">
      <c r="A458" s="81"/>
      <c r="B458" s="81"/>
      <c r="C458" s="86"/>
      <c r="D458" s="86"/>
      <c r="E458" s="86"/>
      <c r="F458" s="86"/>
      <c r="G458" s="86"/>
      <c r="H458" s="86"/>
      <c r="I458" s="86"/>
      <c r="J458" s="86"/>
    </row>
    <row r="459" spans="1:10" ht="12.75" customHeight="1">
      <c r="A459" s="83"/>
      <c r="B459" s="81" t="s">
        <v>2803</v>
      </c>
      <c r="C459" s="84">
        <v>2039</v>
      </c>
      <c r="D459" s="84">
        <v>174</v>
      </c>
      <c r="E459" s="84">
        <v>9</v>
      </c>
      <c r="F459" s="84">
        <v>4</v>
      </c>
      <c r="G459" s="84">
        <v>572</v>
      </c>
      <c r="H459" s="84">
        <v>3</v>
      </c>
      <c r="I459" s="84">
        <v>54</v>
      </c>
      <c r="J459" s="84">
        <v>1223</v>
      </c>
    </row>
    <row r="460" spans="1:10" ht="12.75" customHeight="1">
      <c r="A460" s="83"/>
      <c r="B460" s="81" t="s">
        <v>2804</v>
      </c>
      <c r="C460" s="84" t="s">
        <v>2805</v>
      </c>
      <c r="D460" s="84">
        <v>5</v>
      </c>
      <c r="E460" s="84">
        <v>7</v>
      </c>
      <c r="F460" s="84">
        <v>2</v>
      </c>
      <c r="G460" s="84">
        <v>386</v>
      </c>
      <c r="H460" s="84" t="s">
        <v>2812</v>
      </c>
      <c r="I460" s="84">
        <v>52</v>
      </c>
      <c r="J460" s="84" t="s">
        <v>2805</v>
      </c>
    </row>
    <row r="461" spans="1:10" ht="12.75" customHeight="1">
      <c r="A461" s="83"/>
      <c r="B461" s="83" t="s">
        <v>2806</v>
      </c>
      <c r="C461" s="84" t="s">
        <v>2805</v>
      </c>
      <c r="D461" s="84">
        <v>5</v>
      </c>
      <c r="E461" s="84">
        <v>1</v>
      </c>
      <c r="F461" s="84" t="s">
        <v>2812</v>
      </c>
      <c r="G461" s="84">
        <v>65</v>
      </c>
      <c r="H461" s="84" t="s">
        <v>2812</v>
      </c>
      <c r="I461" s="84">
        <v>1</v>
      </c>
      <c r="J461" s="84" t="s">
        <v>2805</v>
      </c>
    </row>
    <row r="462" spans="1:10" ht="12.75" customHeight="1">
      <c r="A462" s="83"/>
      <c r="B462" s="83" t="s">
        <v>2807</v>
      </c>
      <c r="C462" s="84" t="s">
        <v>2805</v>
      </c>
      <c r="D462" s="84">
        <v>0</v>
      </c>
      <c r="E462" s="84">
        <v>5</v>
      </c>
      <c r="F462" s="84">
        <v>2</v>
      </c>
      <c r="G462" s="84">
        <v>321</v>
      </c>
      <c r="H462" s="84" t="s">
        <v>2812</v>
      </c>
      <c r="I462" s="84">
        <v>51</v>
      </c>
      <c r="J462" s="84" t="s">
        <v>2805</v>
      </c>
    </row>
    <row r="463" spans="1:10" ht="12.75" customHeight="1">
      <c r="A463" s="83"/>
      <c r="B463" s="81" t="s">
        <v>2808</v>
      </c>
      <c r="C463" s="84" t="s">
        <v>2805</v>
      </c>
      <c r="D463" s="84">
        <v>146</v>
      </c>
      <c r="E463" s="84">
        <v>2</v>
      </c>
      <c r="F463" s="84" t="s">
        <v>2812</v>
      </c>
      <c r="G463" s="84">
        <v>158</v>
      </c>
      <c r="H463" s="84" t="s">
        <v>2812</v>
      </c>
      <c r="I463" s="84">
        <v>1</v>
      </c>
      <c r="J463" s="84" t="s">
        <v>2805</v>
      </c>
    </row>
    <row r="464" spans="1:10" ht="12.75" customHeight="1">
      <c r="A464" s="83"/>
      <c r="B464" s="83" t="s">
        <v>2810</v>
      </c>
      <c r="C464" s="84" t="s">
        <v>2805</v>
      </c>
      <c r="D464" s="84">
        <v>5</v>
      </c>
      <c r="E464" s="84">
        <v>2</v>
      </c>
      <c r="F464" s="84" t="s">
        <v>2812</v>
      </c>
      <c r="G464" s="84">
        <v>143</v>
      </c>
      <c r="H464" s="84" t="s">
        <v>2812</v>
      </c>
      <c r="I464" s="84">
        <v>0</v>
      </c>
      <c r="J464" s="84" t="s">
        <v>2805</v>
      </c>
    </row>
    <row r="465" spans="1:10" ht="12.75" customHeight="1">
      <c r="A465" s="83"/>
      <c r="B465" s="83" t="s">
        <v>2811</v>
      </c>
      <c r="C465" s="84" t="s">
        <v>2805</v>
      </c>
      <c r="D465" s="84">
        <v>5</v>
      </c>
      <c r="E465" s="84">
        <v>0</v>
      </c>
      <c r="F465" s="84">
        <v>0</v>
      </c>
      <c r="G465" s="84" t="s">
        <v>2812</v>
      </c>
      <c r="H465" s="84" t="s">
        <v>2812</v>
      </c>
      <c r="I465" s="84">
        <v>0</v>
      </c>
      <c r="J465" s="84" t="s">
        <v>2805</v>
      </c>
    </row>
    <row r="466" spans="1:10" ht="12.75" customHeight="1">
      <c r="A466" s="83"/>
      <c r="B466" s="83" t="s">
        <v>2813</v>
      </c>
      <c r="C466" s="84" t="s">
        <v>2805</v>
      </c>
      <c r="D466" s="84">
        <v>133</v>
      </c>
      <c r="E466" s="84">
        <v>0</v>
      </c>
      <c r="F466" s="84" t="s">
        <v>2812</v>
      </c>
      <c r="G466" s="84">
        <v>7</v>
      </c>
      <c r="H466" s="84" t="s">
        <v>2812</v>
      </c>
      <c r="I466" s="84">
        <v>1</v>
      </c>
      <c r="J466" s="84" t="s">
        <v>2805</v>
      </c>
    </row>
    <row r="467" spans="1:10" ht="12.75" customHeight="1">
      <c r="A467" s="83"/>
      <c r="B467" s="83" t="s">
        <v>2814</v>
      </c>
      <c r="C467" s="84" t="s">
        <v>2805</v>
      </c>
      <c r="D467" s="84">
        <v>2</v>
      </c>
      <c r="E467" s="84" t="s">
        <v>2805</v>
      </c>
      <c r="F467" s="84" t="s">
        <v>2805</v>
      </c>
      <c r="G467" s="84" t="s">
        <v>2805</v>
      </c>
      <c r="H467" s="84" t="s">
        <v>2805</v>
      </c>
      <c r="I467" s="84" t="s">
        <v>2805</v>
      </c>
      <c r="J467" s="84" t="s">
        <v>2805</v>
      </c>
    </row>
    <row r="468" spans="1:10" ht="12.75" customHeight="1">
      <c r="A468" s="83"/>
      <c r="B468" s="83" t="s">
        <v>2815</v>
      </c>
      <c r="C468" s="84" t="s">
        <v>2805</v>
      </c>
      <c r="D468" s="84">
        <v>1</v>
      </c>
      <c r="E468" s="84">
        <v>0</v>
      </c>
      <c r="F468" s="84" t="s">
        <v>2812</v>
      </c>
      <c r="G468" s="84">
        <v>7</v>
      </c>
      <c r="H468" s="84" t="s">
        <v>2812</v>
      </c>
      <c r="I468" s="84" t="s">
        <v>2812</v>
      </c>
      <c r="J468" s="84" t="s">
        <v>2805</v>
      </c>
    </row>
    <row r="469" spans="1:10" ht="12.75" customHeight="1">
      <c r="A469" s="83"/>
      <c r="B469" s="81" t="s">
        <v>2816</v>
      </c>
      <c r="C469" s="84" t="s">
        <v>2805</v>
      </c>
      <c r="D469" s="84">
        <v>22</v>
      </c>
      <c r="E469" s="84" t="s">
        <v>2812</v>
      </c>
      <c r="F469" s="84">
        <v>2</v>
      </c>
      <c r="G469" s="84">
        <v>27</v>
      </c>
      <c r="H469" s="84">
        <v>2</v>
      </c>
      <c r="I469" s="84">
        <v>0</v>
      </c>
      <c r="J469" s="84" t="s">
        <v>2805</v>
      </c>
    </row>
    <row r="470" spans="1:10" ht="12.75" customHeight="1">
      <c r="A470" s="83"/>
      <c r="B470" s="83" t="s">
        <v>2817</v>
      </c>
      <c r="C470" s="84" t="s">
        <v>2805</v>
      </c>
      <c r="D470" s="84">
        <v>10</v>
      </c>
      <c r="E470" s="84" t="s">
        <v>2812</v>
      </c>
      <c r="F470" s="84" t="s">
        <v>2812</v>
      </c>
      <c r="G470" s="84">
        <v>18</v>
      </c>
      <c r="H470" s="84" t="s">
        <v>2812</v>
      </c>
      <c r="I470" s="84">
        <v>0</v>
      </c>
      <c r="J470" s="84" t="s">
        <v>2805</v>
      </c>
    </row>
    <row r="471" spans="1:10" ht="12.75" customHeight="1">
      <c r="A471" s="83"/>
      <c r="B471" s="83" t="s">
        <v>2818</v>
      </c>
      <c r="C471" s="84" t="s">
        <v>2805</v>
      </c>
      <c r="D471" s="84">
        <v>9</v>
      </c>
      <c r="E471" s="84" t="s">
        <v>2805</v>
      </c>
      <c r="F471" s="84" t="s">
        <v>2805</v>
      </c>
      <c r="G471" s="84" t="s">
        <v>2805</v>
      </c>
      <c r="H471" s="84" t="s">
        <v>2805</v>
      </c>
      <c r="I471" s="84" t="s">
        <v>2805</v>
      </c>
      <c r="J471" s="84" t="s">
        <v>2805</v>
      </c>
    </row>
    <row r="472" spans="1:10" ht="12.75" customHeight="1">
      <c r="A472" s="83"/>
      <c r="B472" s="83" t="s">
        <v>2819</v>
      </c>
      <c r="C472" s="84" t="s">
        <v>2805</v>
      </c>
      <c r="D472" s="84">
        <v>3</v>
      </c>
      <c r="E472" s="84">
        <v>0</v>
      </c>
      <c r="F472" s="84" t="s">
        <v>2812</v>
      </c>
      <c r="G472" s="84">
        <v>2</v>
      </c>
      <c r="H472" s="84" t="s">
        <v>2812</v>
      </c>
      <c r="I472" s="84">
        <v>0</v>
      </c>
      <c r="J472" s="84" t="s">
        <v>2805</v>
      </c>
    </row>
    <row r="473" spans="1:10" ht="12.75" customHeight="1">
      <c r="A473" s="83"/>
      <c r="B473" s="83" t="s">
        <v>2820</v>
      </c>
      <c r="C473" s="84" t="s">
        <v>2805</v>
      </c>
      <c r="D473" s="84">
        <v>1</v>
      </c>
      <c r="E473" s="84" t="s">
        <v>2805</v>
      </c>
      <c r="F473" s="84">
        <v>2</v>
      </c>
      <c r="G473" s="84" t="s">
        <v>2812</v>
      </c>
      <c r="H473" s="84">
        <v>2</v>
      </c>
      <c r="I473" s="84" t="s">
        <v>2805</v>
      </c>
      <c r="J473" s="84" t="s">
        <v>2805</v>
      </c>
    </row>
    <row r="474" spans="1:10" ht="12.75" customHeight="1">
      <c r="A474" s="83"/>
      <c r="B474" s="83" t="s">
        <v>2821</v>
      </c>
      <c r="C474" s="84" t="s">
        <v>2805</v>
      </c>
      <c r="D474" s="84" t="s">
        <v>2805</v>
      </c>
      <c r="E474" s="84" t="s">
        <v>2812</v>
      </c>
      <c r="F474" s="84" t="s">
        <v>2812</v>
      </c>
      <c r="G474" s="84">
        <v>6</v>
      </c>
      <c r="H474" s="84" t="s">
        <v>2812</v>
      </c>
      <c r="I474" s="84">
        <v>0</v>
      </c>
      <c r="J474" s="84" t="s">
        <v>2805</v>
      </c>
    </row>
    <row r="475" spans="1:10" ht="12.75" customHeight="1">
      <c r="A475" s="83"/>
      <c r="B475" s="83" t="s">
        <v>2822</v>
      </c>
      <c r="C475" s="84" t="s">
        <v>2805</v>
      </c>
      <c r="D475" s="84" t="s">
        <v>2812</v>
      </c>
      <c r="E475" s="84">
        <v>0</v>
      </c>
      <c r="F475" s="84" t="s">
        <v>2812</v>
      </c>
      <c r="G475" s="84" t="s">
        <v>2812</v>
      </c>
      <c r="H475" s="84" t="s">
        <v>2812</v>
      </c>
      <c r="I475" s="84">
        <v>0</v>
      </c>
      <c r="J475" s="84" t="s">
        <v>2805</v>
      </c>
    </row>
    <row r="476" spans="1:10" ht="12.75" customHeight="1">
      <c r="A476" s="83"/>
      <c r="B476" s="81" t="s">
        <v>2823</v>
      </c>
      <c r="C476" s="84">
        <v>1226</v>
      </c>
      <c r="D476" s="84" t="s">
        <v>2826</v>
      </c>
      <c r="E476" s="84" t="s">
        <v>2812</v>
      </c>
      <c r="F476" s="84" t="s">
        <v>2812</v>
      </c>
      <c r="G476" s="84" t="s">
        <v>2826</v>
      </c>
      <c r="H476" s="84" t="s">
        <v>2812</v>
      </c>
      <c r="I476" s="84">
        <v>0</v>
      </c>
      <c r="J476" s="84">
        <v>1223</v>
      </c>
    </row>
    <row r="477" spans="1:10" ht="12.75" customHeight="1">
      <c r="A477" s="83"/>
      <c r="B477" s="81"/>
      <c r="C477" s="84"/>
      <c r="D477" s="84"/>
      <c r="E477" s="84"/>
      <c r="F477" s="84"/>
      <c r="G477" s="84"/>
      <c r="H477" s="84"/>
      <c r="I477" s="84"/>
      <c r="J477" s="84"/>
    </row>
    <row r="478" spans="1:10" s="71" customFormat="1" ht="12.75" customHeight="1">
      <c r="A478" s="81" t="s">
        <v>2865</v>
      </c>
      <c r="B478" s="81" t="s">
        <v>2866</v>
      </c>
      <c r="C478" s="86"/>
      <c r="D478" s="86"/>
      <c r="E478" s="86"/>
      <c r="F478" s="86"/>
      <c r="G478" s="86"/>
      <c r="H478" s="86"/>
      <c r="I478" s="86"/>
      <c r="J478" s="86"/>
    </row>
    <row r="479" spans="1:10" s="71" customFormat="1" ht="12.75" customHeight="1">
      <c r="A479" s="81"/>
      <c r="B479" s="81"/>
      <c r="C479" s="86"/>
      <c r="D479" s="86"/>
      <c r="E479" s="86"/>
      <c r="F479" s="86"/>
      <c r="G479" s="86"/>
      <c r="H479" s="86"/>
      <c r="I479" s="86"/>
      <c r="J479" s="86"/>
    </row>
    <row r="480" spans="1:10" s="71" customFormat="1" ht="12.75" customHeight="1">
      <c r="A480" s="81"/>
      <c r="B480" s="81"/>
      <c r="C480" s="86"/>
      <c r="D480" s="86"/>
      <c r="E480" s="86"/>
      <c r="F480" s="86"/>
      <c r="G480" s="86"/>
      <c r="H480" s="86"/>
      <c r="I480" s="86"/>
      <c r="J480" s="86"/>
    </row>
    <row r="481" spans="1:10" ht="12.75" customHeight="1">
      <c r="A481" s="83"/>
      <c r="B481" s="81" t="s">
        <v>2803</v>
      </c>
      <c r="C481" s="84">
        <v>292</v>
      </c>
      <c r="D481" s="84">
        <v>5</v>
      </c>
      <c r="E481" s="84">
        <v>3</v>
      </c>
      <c r="F481" s="84">
        <v>1</v>
      </c>
      <c r="G481" s="84">
        <v>40</v>
      </c>
      <c r="H481" s="84" t="s">
        <v>2812</v>
      </c>
      <c r="I481" s="84" t="s">
        <v>2812</v>
      </c>
      <c r="J481" s="84">
        <v>242</v>
      </c>
    </row>
    <row r="482" spans="1:10" ht="12.75" customHeight="1">
      <c r="A482" s="83"/>
      <c r="B482" s="81" t="s">
        <v>2804</v>
      </c>
      <c r="C482" s="84" t="s">
        <v>2805</v>
      </c>
      <c r="D482" s="84" t="s">
        <v>2812</v>
      </c>
      <c r="E482" s="84">
        <v>2</v>
      </c>
      <c r="F482" s="84" t="s">
        <v>2812</v>
      </c>
      <c r="G482" s="84">
        <v>21</v>
      </c>
      <c r="H482" s="84" t="s">
        <v>2812</v>
      </c>
      <c r="I482" s="84" t="s">
        <v>2812</v>
      </c>
      <c r="J482" s="84" t="s">
        <v>2805</v>
      </c>
    </row>
    <row r="483" spans="1:10" ht="12.75" customHeight="1">
      <c r="A483" s="83"/>
      <c r="B483" s="83" t="s">
        <v>2806</v>
      </c>
      <c r="C483" s="84" t="s">
        <v>2805</v>
      </c>
      <c r="D483" s="84" t="s">
        <v>2812</v>
      </c>
      <c r="E483" s="84">
        <v>0</v>
      </c>
      <c r="F483" s="84" t="s">
        <v>2812</v>
      </c>
      <c r="G483" s="84">
        <v>1</v>
      </c>
      <c r="H483" s="84">
        <v>0</v>
      </c>
      <c r="I483" s="84">
        <v>0</v>
      </c>
      <c r="J483" s="84" t="s">
        <v>2805</v>
      </c>
    </row>
    <row r="484" spans="1:10" ht="12.75" customHeight="1">
      <c r="A484" s="83"/>
      <c r="B484" s="83" t="s">
        <v>2807</v>
      </c>
      <c r="C484" s="84" t="s">
        <v>2805</v>
      </c>
      <c r="D484" s="84">
        <v>0</v>
      </c>
      <c r="E484" s="84">
        <v>2</v>
      </c>
      <c r="F484" s="84" t="s">
        <v>2812</v>
      </c>
      <c r="G484" s="84">
        <v>21</v>
      </c>
      <c r="H484" s="84" t="s">
        <v>2812</v>
      </c>
      <c r="I484" s="84" t="s">
        <v>2812</v>
      </c>
      <c r="J484" s="84" t="s">
        <v>2805</v>
      </c>
    </row>
    <row r="485" spans="1:10" ht="12.75" customHeight="1">
      <c r="A485" s="83"/>
      <c r="B485" s="81" t="s">
        <v>2808</v>
      </c>
      <c r="C485" s="84" t="s">
        <v>2805</v>
      </c>
      <c r="D485" s="84">
        <v>5</v>
      </c>
      <c r="E485" s="84" t="s">
        <v>2812</v>
      </c>
      <c r="F485" s="84" t="s">
        <v>2812</v>
      </c>
      <c r="G485" s="84">
        <v>18</v>
      </c>
      <c r="H485" s="84">
        <v>0</v>
      </c>
      <c r="I485" s="84">
        <v>0</v>
      </c>
      <c r="J485" s="84" t="s">
        <v>2805</v>
      </c>
    </row>
    <row r="486" spans="1:10" ht="12.75" customHeight="1">
      <c r="A486" s="83"/>
      <c r="B486" s="83" t="s">
        <v>2810</v>
      </c>
      <c r="C486" s="84" t="s">
        <v>2805</v>
      </c>
      <c r="D486" s="84" t="s">
        <v>2812</v>
      </c>
      <c r="E486" s="84" t="s">
        <v>2812</v>
      </c>
      <c r="F486" s="84" t="s">
        <v>2812</v>
      </c>
      <c r="G486" s="84">
        <v>18</v>
      </c>
      <c r="H486" s="84">
        <v>0</v>
      </c>
      <c r="I486" s="84">
        <v>0</v>
      </c>
      <c r="J486" s="84" t="s">
        <v>2805</v>
      </c>
    </row>
    <row r="487" spans="1:10" ht="12.75" customHeight="1">
      <c r="A487" s="83"/>
      <c r="B487" s="83" t="s">
        <v>2811</v>
      </c>
      <c r="C487" s="84" t="s">
        <v>2805</v>
      </c>
      <c r="D487" s="84" t="s">
        <v>2812</v>
      </c>
      <c r="E487" s="84">
        <v>0</v>
      </c>
      <c r="F487" s="84">
        <v>0</v>
      </c>
      <c r="G487" s="84">
        <v>0</v>
      </c>
      <c r="H487" s="84">
        <v>0</v>
      </c>
      <c r="I487" s="84">
        <v>0</v>
      </c>
      <c r="J487" s="84" t="s">
        <v>2805</v>
      </c>
    </row>
    <row r="488" spans="1:10" ht="12.75" customHeight="1">
      <c r="A488" s="83"/>
      <c r="B488" s="83" t="s">
        <v>2813</v>
      </c>
      <c r="C488" s="84" t="s">
        <v>2805</v>
      </c>
      <c r="D488" s="84">
        <v>4</v>
      </c>
      <c r="E488" s="84">
        <v>0</v>
      </c>
      <c r="F488" s="84" t="s">
        <v>2812</v>
      </c>
      <c r="G488" s="84" t="s">
        <v>2812</v>
      </c>
      <c r="H488" s="84">
        <v>0</v>
      </c>
      <c r="I488" s="84">
        <v>0</v>
      </c>
      <c r="J488" s="84" t="s">
        <v>2805</v>
      </c>
    </row>
    <row r="489" spans="1:10" ht="12.75" customHeight="1">
      <c r="A489" s="83"/>
      <c r="B489" s="83" t="s">
        <v>2814</v>
      </c>
      <c r="C489" s="84" t="s">
        <v>2805</v>
      </c>
      <c r="D489" s="84" t="s">
        <v>2812</v>
      </c>
      <c r="E489" s="84" t="s">
        <v>2805</v>
      </c>
      <c r="F489" s="84" t="s">
        <v>2805</v>
      </c>
      <c r="G489" s="84" t="s">
        <v>2805</v>
      </c>
      <c r="H489" s="84" t="s">
        <v>2805</v>
      </c>
      <c r="I489" s="84" t="s">
        <v>2805</v>
      </c>
      <c r="J489" s="84" t="s">
        <v>2805</v>
      </c>
    </row>
    <row r="490" spans="1:10" ht="12.75" customHeight="1">
      <c r="A490" s="83"/>
      <c r="B490" s="83" t="s">
        <v>2815</v>
      </c>
      <c r="C490" s="84" t="s">
        <v>2805</v>
      </c>
      <c r="D490" s="84" t="s">
        <v>2812</v>
      </c>
      <c r="E490" s="84">
        <v>0</v>
      </c>
      <c r="F490" s="84">
        <v>0</v>
      </c>
      <c r="G490" s="84">
        <v>0</v>
      </c>
      <c r="H490" s="84">
        <v>0</v>
      </c>
      <c r="I490" s="84">
        <v>0</v>
      </c>
      <c r="J490" s="84" t="s">
        <v>2805</v>
      </c>
    </row>
    <row r="491" spans="1:10" ht="12.75" customHeight="1">
      <c r="A491" s="83"/>
      <c r="B491" s="81" t="s">
        <v>2816</v>
      </c>
      <c r="C491" s="84" t="s">
        <v>2805</v>
      </c>
      <c r="D491" s="84" t="s">
        <v>2812</v>
      </c>
      <c r="E491" s="84" t="s">
        <v>2812</v>
      </c>
      <c r="F491" s="84" t="s">
        <v>2812</v>
      </c>
      <c r="G491" s="84">
        <v>1</v>
      </c>
      <c r="H491" s="84" t="s">
        <v>2812</v>
      </c>
      <c r="I491" s="84">
        <v>0</v>
      </c>
      <c r="J491" s="84" t="s">
        <v>2805</v>
      </c>
    </row>
    <row r="492" spans="1:10" ht="12.75" customHeight="1">
      <c r="A492" s="83"/>
      <c r="B492" s="83" t="s">
        <v>2817</v>
      </c>
      <c r="C492" s="84" t="s">
        <v>2805</v>
      </c>
      <c r="D492" s="84" t="s">
        <v>2812</v>
      </c>
      <c r="E492" s="84">
        <v>0</v>
      </c>
      <c r="F492" s="84">
        <v>0</v>
      </c>
      <c r="G492" s="84" t="s">
        <v>2812</v>
      </c>
      <c r="H492" s="84" t="s">
        <v>2812</v>
      </c>
      <c r="I492" s="84">
        <v>0</v>
      </c>
      <c r="J492" s="84" t="s">
        <v>2805</v>
      </c>
    </row>
    <row r="493" spans="1:10" ht="12.75" customHeight="1">
      <c r="A493" s="83"/>
      <c r="B493" s="83" t="s">
        <v>2818</v>
      </c>
      <c r="C493" s="84" t="s">
        <v>2805</v>
      </c>
      <c r="D493" s="84" t="s">
        <v>2812</v>
      </c>
      <c r="E493" s="84" t="s">
        <v>2805</v>
      </c>
      <c r="F493" s="84" t="s">
        <v>2805</v>
      </c>
      <c r="G493" s="84" t="s">
        <v>2805</v>
      </c>
      <c r="H493" s="84" t="s">
        <v>2805</v>
      </c>
      <c r="I493" s="84" t="s">
        <v>2805</v>
      </c>
      <c r="J493" s="84" t="s">
        <v>2805</v>
      </c>
    </row>
    <row r="494" spans="1:10" ht="12.75" customHeight="1">
      <c r="A494" s="83"/>
      <c r="B494" s="83" t="s">
        <v>2819</v>
      </c>
      <c r="C494" s="84" t="s">
        <v>2805</v>
      </c>
      <c r="D494" s="84" t="s">
        <v>2812</v>
      </c>
      <c r="E494" s="84">
        <v>0</v>
      </c>
      <c r="F494" s="84">
        <v>0</v>
      </c>
      <c r="G494" s="84" t="s">
        <v>2812</v>
      </c>
      <c r="H494" s="84">
        <v>0</v>
      </c>
      <c r="I494" s="84">
        <v>0</v>
      </c>
      <c r="J494" s="84" t="s">
        <v>2805</v>
      </c>
    </row>
    <row r="495" spans="1:10" ht="12.75" customHeight="1">
      <c r="A495" s="83"/>
      <c r="B495" s="83" t="s">
        <v>2820</v>
      </c>
      <c r="C495" s="84" t="s">
        <v>2805</v>
      </c>
      <c r="D495" s="84" t="s">
        <v>2812</v>
      </c>
      <c r="E495" s="84" t="s">
        <v>2805</v>
      </c>
      <c r="F495" s="84" t="s">
        <v>2812</v>
      </c>
      <c r="G495" s="84">
        <v>0</v>
      </c>
      <c r="H495" s="84" t="s">
        <v>2812</v>
      </c>
      <c r="I495" s="84" t="s">
        <v>2805</v>
      </c>
      <c r="J495" s="84" t="s">
        <v>2805</v>
      </c>
    </row>
    <row r="496" spans="1:10" ht="12.75" customHeight="1">
      <c r="A496" s="83"/>
      <c r="B496" s="83" t="s">
        <v>2821</v>
      </c>
      <c r="C496" s="84" t="s">
        <v>2805</v>
      </c>
      <c r="D496" s="84" t="s">
        <v>2805</v>
      </c>
      <c r="E496" s="84" t="s">
        <v>2812</v>
      </c>
      <c r="F496" s="84" t="s">
        <v>2812</v>
      </c>
      <c r="G496" s="84">
        <v>1</v>
      </c>
      <c r="H496" s="84">
        <v>0</v>
      </c>
      <c r="I496" s="84">
        <v>0</v>
      </c>
      <c r="J496" s="84" t="s">
        <v>2805</v>
      </c>
    </row>
    <row r="497" spans="1:10" ht="12.75" customHeight="1">
      <c r="A497" s="83"/>
      <c r="B497" s="83" t="s">
        <v>2822</v>
      </c>
      <c r="C497" s="84" t="s">
        <v>2805</v>
      </c>
      <c r="D497" s="84">
        <v>0</v>
      </c>
      <c r="E497" s="84">
        <v>0</v>
      </c>
      <c r="F497" s="84">
        <v>0</v>
      </c>
      <c r="G497" s="84">
        <v>0</v>
      </c>
      <c r="H497" s="84">
        <v>0</v>
      </c>
      <c r="I497" s="84">
        <v>0</v>
      </c>
      <c r="J497" s="84" t="s">
        <v>2805</v>
      </c>
    </row>
    <row r="498" spans="1:10" ht="12.75" customHeight="1">
      <c r="A498" s="83"/>
      <c r="B498" s="81" t="s">
        <v>2823</v>
      </c>
      <c r="C498" s="84">
        <v>242</v>
      </c>
      <c r="D498" s="84">
        <v>0</v>
      </c>
      <c r="E498" s="84">
        <v>0</v>
      </c>
      <c r="F498" s="84" t="s">
        <v>2812</v>
      </c>
      <c r="G498" s="84">
        <v>0</v>
      </c>
      <c r="H498" s="84">
        <v>0</v>
      </c>
      <c r="I498" s="84">
        <v>0</v>
      </c>
      <c r="J498" s="84">
        <v>242</v>
      </c>
    </row>
    <row r="499" spans="1:10" ht="12.75" customHeight="1">
      <c r="A499" s="83"/>
      <c r="B499" s="81"/>
      <c r="C499" s="84"/>
      <c r="D499" s="84"/>
      <c r="E499" s="84"/>
      <c r="F499" s="84"/>
      <c r="G499" s="84"/>
      <c r="H499" s="84"/>
      <c r="I499" s="84"/>
      <c r="J499" s="84"/>
    </row>
    <row r="500" spans="1:10" s="71" customFormat="1" ht="12.75" customHeight="1">
      <c r="A500" s="81" t="s">
        <v>2867</v>
      </c>
      <c r="B500" s="81" t="s">
        <v>2868</v>
      </c>
      <c r="C500" s="86"/>
      <c r="D500" s="86"/>
      <c r="E500" s="86"/>
      <c r="F500" s="86"/>
      <c r="G500" s="86"/>
      <c r="H500" s="86"/>
      <c r="I500" s="86"/>
      <c r="J500" s="86"/>
    </row>
    <row r="501" spans="1:10" s="71" customFormat="1" ht="12.75" customHeight="1">
      <c r="A501" s="81"/>
      <c r="B501" s="81"/>
      <c r="C501" s="86"/>
      <c r="D501" s="86"/>
      <c r="E501" s="86"/>
      <c r="F501" s="86"/>
      <c r="G501" s="86"/>
      <c r="H501" s="86"/>
      <c r="I501" s="86"/>
      <c r="J501" s="86"/>
    </row>
    <row r="502" spans="1:10" s="71" customFormat="1" ht="12.75" customHeight="1">
      <c r="A502" s="81"/>
      <c r="B502" s="81"/>
      <c r="C502" s="86"/>
      <c r="D502" s="86"/>
      <c r="E502" s="86"/>
      <c r="F502" s="86"/>
      <c r="G502" s="86"/>
      <c r="H502" s="86"/>
      <c r="I502" s="86"/>
      <c r="J502" s="86"/>
    </row>
    <row r="503" spans="1:10" ht="12.75" customHeight="1">
      <c r="A503" s="83"/>
      <c r="B503" s="81" t="s">
        <v>2803</v>
      </c>
      <c r="C503" s="84">
        <v>696</v>
      </c>
      <c r="D503" s="84">
        <v>53</v>
      </c>
      <c r="E503" s="84">
        <v>3</v>
      </c>
      <c r="F503" s="84">
        <v>2</v>
      </c>
      <c r="G503" s="84">
        <v>224</v>
      </c>
      <c r="H503" s="84">
        <v>1</v>
      </c>
      <c r="I503" s="84">
        <v>39</v>
      </c>
      <c r="J503" s="84">
        <v>375</v>
      </c>
    </row>
    <row r="504" spans="1:10" ht="12.75" customHeight="1">
      <c r="A504" s="83"/>
      <c r="B504" s="81" t="s">
        <v>2804</v>
      </c>
      <c r="C504" s="84" t="s">
        <v>2805</v>
      </c>
      <c r="D504" s="84">
        <v>2</v>
      </c>
      <c r="E504" s="84">
        <v>3</v>
      </c>
      <c r="F504" s="84">
        <v>1</v>
      </c>
      <c r="G504" s="84">
        <v>154</v>
      </c>
      <c r="H504" s="84" t="s">
        <v>2812</v>
      </c>
      <c r="I504" s="84">
        <v>37</v>
      </c>
      <c r="J504" s="84" t="s">
        <v>2805</v>
      </c>
    </row>
    <row r="505" spans="1:10" ht="12.75" customHeight="1">
      <c r="A505" s="83"/>
      <c r="B505" s="83" t="s">
        <v>2806</v>
      </c>
      <c r="C505" s="84" t="s">
        <v>2805</v>
      </c>
      <c r="D505" s="84">
        <v>2</v>
      </c>
      <c r="E505" s="84">
        <v>1</v>
      </c>
      <c r="F505" s="84" t="s">
        <v>2812</v>
      </c>
      <c r="G505" s="84">
        <v>25</v>
      </c>
      <c r="H505" s="84" t="s">
        <v>2812</v>
      </c>
      <c r="I505" s="84" t="s">
        <v>2812</v>
      </c>
      <c r="J505" s="84" t="s">
        <v>2805</v>
      </c>
    </row>
    <row r="506" spans="1:10" ht="12.75" customHeight="1">
      <c r="A506" s="83"/>
      <c r="B506" s="83" t="s">
        <v>2807</v>
      </c>
      <c r="C506" s="84" t="s">
        <v>2805</v>
      </c>
      <c r="D506" s="84">
        <v>0</v>
      </c>
      <c r="E506" s="84">
        <v>1</v>
      </c>
      <c r="F506" s="84">
        <v>1</v>
      </c>
      <c r="G506" s="84">
        <v>129</v>
      </c>
      <c r="H506" s="84" t="s">
        <v>2812</v>
      </c>
      <c r="I506" s="84">
        <v>37</v>
      </c>
      <c r="J506" s="84" t="s">
        <v>2805</v>
      </c>
    </row>
    <row r="507" spans="1:10" ht="12.75" customHeight="1">
      <c r="A507" s="83"/>
      <c r="B507" s="81" t="s">
        <v>2808</v>
      </c>
      <c r="C507" s="84" t="s">
        <v>2805</v>
      </c>
      <c r="D507" s="84">
        <v>45</v>
      </c>
      <c r="E507" s="84">
        <v>1</v>
      </c>
      <c r="F507" s="84" t="s">
        <v>2812</v>
      </c>
      <c r="G507" s="84">
        <v>64</v>
      </c>
      <c r="H507" s="84" t="s">
        <v>2812</v>
      </c>
      <c r="I507" s="84">
        <v>1</v>
      </c>
      <c r="J507" s="84" t="s">
        <v>2805</v>
      </c>
    </row>
    <row r="508" spans="1:10" ht="12.75" customHeight="1">
      <c r="A508" s="83"/>
      <c r="B508" s="83" t="s">
        <v>2810</v>
      </c>
      <c r="C508" s="84" t="s">
        <v>2805</v>
      </c>
      <c r="D508" s="84">
        <v>2</v>
      </c>
      <c r="E508" s="84">
        <v>1</v>
      </c>
      <c r="F508" s="84" t="s">
        <v>2812</v>
      </c>
      <c r="G508" s="84">
        <v>56</v>
      </c>
      <c r="H508" s="84" t="s">
        <v>2812</v>
      </c>
      <c r="I508" s="84">
        <v>0</v>
      </c>
      <c r="J508" s="84" t="s">
        <v>2805</v>
      </c>
    </row>
    <row r="509" spans="1:10" ht="12.75" customHeight="1">
      <c r="A509" s="83"/>
      <c r="B509" s="83" t="s">
        <v>2811</v>
      </c>
      <c r="C509" s="84" t="s">
        <v>2805</v>
      </c>
      <c r="D509" s="84">
        <v>1</v>
      </c>
      <c r="E509" s="84">
        <v>0</v>
      </c>
      <c r="F509" s="84">
        <v>0</v>
      </c>
      <c r="G509" s="84">
        <v>0</v>
      </c>
      <c r="H509" s="84">
        <v>0</v>
      </c>
      <c r="I509" s="84">
        <v>0</v>
      </c>
      <c r="J509" s="84" t="s">
        <v>2805</v>
      </c>
    </row>
    <row r="510" spans="1:10" ht="12.75" customHeight="1">
      <c r="A510" s="83"/>
      <c r="B510" s="83" t="s">
        <v>2813</v>
      </c>
      <c r="C510" s="84" t="s">
        <v>2805</v>
      </c>
      <c r="D510" s="84">
        <v>42</v>
      </c>
      <c r="E510" s="84">
        <v>0</v>
      </c>
      <c r="F510" s="84" t="s">
        <v>2812</v>
      </c>
      <c r="G510" s="84">
        <v>2</v>
      </c>
      <c r="H510" s="84" t="s">
        <v>2812</v>
      </c>
      <c r="I510" s="84">
        <v>1</v>
      </c>
      <c r="J510" s="84" t="s">
        <v>2805</v>
      </c>
    </row>
    <row r="511" spans="1:10" ht="12.75" customHeight="1">
      <c r="A511" s="83"/>
      <c r="B511" s="83" t="s">
        <v>2814</v>
      </c>
      <c r="C511" s="84" t="s">
        <v>2805</v>
      </c>
      <c r="D511" s="84" t="s">
        <v>2812</v>
      </c>
      <c r="E511" s="84" t="s">
        <v>2805</v>
      </c>
      <c r="F511" s="84" t="s">
        <v>2805</v>
      </c>
      <c r="G511" s="84" t="s">
        <v>2805</v>
      </c>
      <c r="H511" s="84" t="s">
        <v>2805</v>
      </c>
      <c r="I511" s="84" t="s">
        <v>2805</v>
      </c>
      <c r="J511" s="84" t="s">
        <v>2805</v>
      </c>
    </row>
    <row r="512" spans="1:10" ht="12.75" customHeight="1">
      <c r="A512" s="83"/>
      <c r="B512" s="83" t="s">
        <v>2815</v>
      </c>
      <c r="C512" s="84" t="s">
        <v>2805</v>
      </c>
      <c r="D512" s="84" t="s">
        <v>2812</v>
      </c>
      <c r="E512" s="84">
        <v>0</v>
      </c>
      <c r="F512" s="84" t="s">
        <v>2812</v>
      </c>
      <c r="G512" s="84">
        <v>6</v>
      </c>
      <c r="H512" s="84">
        <v>0</v>
      </c>
      <c r="I512" s="84" t="s">
        <v>2812</v>
      </c>
      <c r="J512" s="84" t="s">
        <v>2805</v>
      </c>
    </row>
    <row r="513" spans="1:10" ht="12.75" customHeight="1">
      <c r="A513" s="83"/>
      <c r="B513" s="81" t="s">
        <v>2816</v>
      </c>
      <c r="C513" s="84" t="s">
        <v>2805</v>
      </c>
      <c r="D513" s="84">
        <v>6</v>
      </c>
      <c r="E513" s="84" t="s">
        <v>2812</v>
      </c>
      <c r="F513" s="84">
        <v>1</v>
      </c>
      <c r="G513" s="84">
        <v>7</v>
      </c>
      <c r="H513" s="84" t="s">
        <v>2812</v>
      </c>
      <c r="I513" s="84">
        <v>0</v>
      </c>
      <c r="J513" s="84" t="s">
        <v>2805</v>
      </c>
    </row>
    <row r="514" spans="1:10" ht="12.75" customHeight="1">
      <c r="A514" s="83"/>
      <c r="B514" s="83" t="s">
        <v>2817</v>
      </c>
      <c r="C514" s="84" t="s">
        <v>2805</v>
      </c>
      <c r="D514" s="84">
        <v>3</v>
      </c>
      <c r="E514" s="84" t="s">
        <v>2812</v>
      </c>
      <c r="F514" s="84" t="s">
        <v>2812</v>
      </c>
      <c r="G514" s="84">
        <v>3</v>
      </c>
      <c r="H514" s="84" t="s">
        <v>2812</v>
      </c>
      <c r="I514" s="84">
        <v>0</v>
      </c>
      <c r="J514" s="84" t="s">
        <v>2805</v>
      </c>
    </row>
    <row r="515" spans="1:10" ht="12.75" customHeight="1">
      <c r="A515" s="83"/>
      <c r="B515" s="83" t="s">
        <v>2818</v>
      </c>
      <c r="C515" s="84" t="s">
        <v>2805</v>
      </c>
      <c r="D515" s="84">
        <v>2</v>
      </c>
      <c r="E515" s="84" t="s">
        <v>2805</v>
      </c>
      <c r="F515" s="84" t="s">
        <v>2805</v>
      </c>
      <c r="G515" s="84" t="s">
        <v>2805</v>
      </c>
      <c r="H515" s="84" t="s">
        <v>2805</v>
      </c>
      <c r="I515" s="84" t="s">
        <v>2805</v>
      </c>
      <c r="J515" s="84" t="s">
        <v>2805</v>
      </c>
    </row>
    <row r="516" spans="1:10" ht="12.75" customHeight="1">
      <c r="A516" s="83"/>
      <c r="B516" s="83" t="s">
        <v>2819</v>
      </c>
      <c r="C516" s="84" t="s">
        <v>2805</v>
      </c>
      <c r="D516" s="84">
        <v>1</v>
      </c>
      <c r="E516" s="84">
        <v>0</v>
      </c>
      <c r="F516" s="84" t="s">
        <v>2812</v>
      </c>
      <c r="G516" s="84">
        <v>1</v>
      </c>
      <c r="H516" s="84" t="s">
        <v>2812</v>
      </c>
      <c r="I516" s="84">
        <v>0</v>
      </c>
      <c r="J516" s="84" t="s">
        <v>2805</v>
      </c>
    </row>
    <row r="517" spans="1:10" ht="12.75" customHeight="1">
      <c r="A517" s="83"/>
      <c r="B517" s="83" t="s">
        <v>2820</v>
      </c>
      <c r="C517" s="84" t="s">
        <v>2805</v>
      </c>
      <c r="D517" s="84" t="s">
        <v>2812</v>
      </c>
      <c r="E517" s="84" t="s">
        <v>2805</v>
      </c>
      <c r="F517" s="84">
        <v>1</v>
      </c>
      <c r="G517" s="84" t="s">
        <v>2812</v>
      </c>
      <c r="H517" s="84" t="s">
        <v>2812</v>
      </c>
      <c r="I517" s="84" t="s">
        <v>2805</v>
      </c>
      <c r="J517" s="84" t="s">
        <v>2805</v>
      </c>
    </row>
    <row r="518" spans="1:10" ht="12.75" customHeight="1">
      <c r="A518" s="83"/>
      <c r="B518" s="83" t="s">
        <v>2821</v>
      </c>
      <c r="C518" s="84" t="s">
        <v>2805</v>
      </c>
      <c r="D518" s="84" t="s">
        <v>2805</v>
      </c>
      <c r="E518" s="84">
        <v>0</v>
      </c>
      <c r="F518" s="84" t="s">
        <v>2812</v>
      </c>
      <c r="G518" s="84">
        <v>3</v>
      </c>
      <c r="H518" s="84">
        <v>0</v>
      </c>
      <c r="I518" s="84">
        <v>0</v>
      </c>
      <c r="J518" s="84" t="s">
        <v>2805</v>
      </c>
    </row>
    <row r="519" spans="1:10" ht="12.75" customHeight="1">
      <c r="A519" s="83"/>
      <c r="B519" s="83" t="s">
        <v>2822</v>
      </c>
      <c r="C519" s="84" t="s">
        <v>2805</v>
      </c>
      <c r="D519" s="84">
        <v>0</v>
      </c>
      <c r="E519" s="84">
        <v>0</v>
      </c>
      <c r="F519" s="84" t="s">
        <v>2812</v>
      </c>
      <c r="G519" s="84">
        <v>0</v>
      </c>
      <c r="H519" s="84" t="s">
        <v>2812</v>
      </c>
      <c r="I519" s="84">
        <v>0</v>
      </c>
      <c r="J519" s="84" t="s">
        <v>2805</v>
      </c>
    </row>
    <row r="520" spans="1:10" ht="12.75" customHeight="1">
      <c r="A520" s="83"/>
      <c r="B520" s="81" t="s">
        <v>2823</v>
      </c>
      <c r="C520" s="84">
        <v>375</v>
      </c>
      <c r="D520" s="84">
        <v>0</v>
      </c>
      <c r="E520" s="84">
        <v>0</v>
      </c>
      <c r="F520" s="84" t="s">
        <v>2812</v>
      </c>
      <c r="G520" s="84">
        <v>0</v>
      </c>
      <c r="H520" s="84" t="s">
        <v>2812</v>
      </c>
      <c r="I520" s="84">
        <v>0</v>
      </c>
      <c r="J520" s="84">
        <v>375</v>
      </c>
    </row>
    <row r="521" spans="1:10" ht="12.75" customHeight="1">
      <c r="A521" s="83"/>
      <c r="B521" s="81"/>
      <c r="C521" s="84"/>
      <c r="D521" s="84"/>
      <c r="E521" s="84"/>
      <c r="F521" s="84"/>
      <c r="G521" s="84"/>
      <c r="H521" s="84"/>
      <c r="I521" s="84"/>
      <c r="J521" s="84"/>
    </row>
    <row r="522" spans="1:10" s="71" customFormat="1" ht="12.75" customHeight="1">
      <c r="A522" s="81" t="s">
        <v>2869</v>
      </c>
      <c r="B522" s="81" t="s">
        <v>2870</v>
      </c>
      <c r="C522" s="86"/>
      <c r="D522" s="86"/>
      <c r="E522" s="86"/>
      <c r="F522" s="86"/>
      <c r="G522" s="86"/>
      <c r="H522" s="86"/>
      <c r="I522" s="86"/>
      <c r="J522" s="86"/>
    </row>
    <row r="523" spans="1:10" ht="12.75" customHeight="1">
      <c r="A523" s="83"/>
      <c r="B523" s="83"/>
      <c r="C523" s="84"/>
      <c r="D523" s="84"/>
      <c r="E523" s="84"/>
      <c r="F523" s="84"/>
      <c r="G523" s="84"/>
      <c r="H523" s="84"/>
      <c r="I523" s="84"/>
      <c r="J523" s="84"/>
    </row>
    <row r="524" spans="1:10" ht="12.75" customHeight="1">
      <c r="A524" s="83"/>
      <c r="B524" s="83"/>
      <c r="C524" s="84"/>
      <c r="D524" s="84"/>
      <c r="E524" s="84"/>
      <c r="F524" s="84"/>
      <c r="G524" s="84"/>
      <c r="H524" s="84"/>
      <c r="I524" s="84"/>
      <c r="J524" s="84"/>
    </row>
    <row r="525" spans="1:10" ht="12.75" customHeight="1">
      <c r="A525" s="83"/>
      <c r="B525" s="81" t="s">
        <v>2803</v>
      </c>
      <c r="C525" s="84">
        <v>35</v>
      </c>
      <c r="D525" s="84">
        <v>17</v>
      </c>
      <c r="E525" s="84">
        <v>0</v>
      </c>
      <c r="F525" s="84" t="s">
        <v>2812</v>
      </c>
      <c r="G525" s="84">
        <v>5</v>
      </c>
      <c r="H525" s="84" t="s">
        <v>2812</v>
      </c>
      <c r="I525" s="84">
        <v>0</v>
      </c>
      <c r="J525" s="84">
        <v>12</v>
      </c>
    </row>
    <row r="526" spans="1:10" ht="12.75" customHeight="1">
      <c r="A526" s="83"/>
      <c r="B526" s="81" t="s">
        <v>2804</v>
      </c>
      <c r="C526" s="84" t="s">
        <v>2805</v>
      </c>
      <c r="D526" s="84">
        <v>1</v>
      </c>
      <c r="E526" s="84">
        <v>0</v>
      </c>
      <c r="F526" s="84" t="s">
        <v>2812</v>
      </c>
      <c r="G526" s="84">
        <v>3</v>
      </c>
      <c r="H526" s="84" t="s">
        <v>2812</v>
      </c>
      <c r="I526" s="84">
        <v>0</v>
      </c>
      <c r="J526" s="84" t="s">
        <v>2805</v>
      </c>
    </row>
    <row r="527" spans="1:10" ht="12.75" customHeight="1">
      <c r="A527" s="83"/>
      <c r="B527" s="83" t="s">
        <v>2806</v>
      </c>
      <c r="C527" s="84" t="s">
        <v>2805</v>
      </c>
      <c r="D527" s="84">
        <v>1</v>
      </c>
      <c r="E527" s="84">
        <v>0</v>
      </c>
      <c r="F527" s="84">
        <v>0</v>
      </c>
      <c r="G527" s="84">
        <v>3</v>
      </c>
      <c r="H527" s="84" t="s">
        <v>2812</v>
      </c>
      <c r="I527" s="84">
        <v>0</v>
      </c>
      <c r="J527" s="84" t="s">
        <v>2805</v>
      </c>
    </row>
    <row r="528" spans="1:10" ht="12.75" customHeight="1">
      <c r="A528" s="83"/>
      <c r="B528" s="83" t="s">
        <v>2807</v>
      </c>
      <c r="C528" s="84" t="s">
        <v>2805</v>
      </c>
      <c r="D528" s="84">
        <v>0</v>
      </c>
      <c r="E528" s="84">
        <v>0</v>
      </c>
      <c r="F528" s="84" t="s">
        <v>2812</v>
      </c>
      <c r="G528" s="84" t="s">
        <v>2812</v>
      </c>
      <c r="H528" s="84">
        <v>0</v>
      </c>
      <c r="I528" s="84">
        <v>0</v>
      </c>
      <c r="J528" s="84" t="s">
        <v>2805</v>
      </c>
    </row>
    <row r="529" spans="1:10" ht="12.75" customHeight="1">
      <c r="A529" s="83"/>
      <c r="B529" s="81" t="s">
        <v>2808</v>
      </c>
      <c r="C529" s="84" t="s">
        <v>2805</v>
      </c>
      <c r="D529" s="84">
        <v>15</v>
      </c>
      <c r="E529" s="84">
        <v>0</v>
      </c>
      <c r="F529" s="84">
        <v>0</v>
      </c>
      <c r="G529" s="84">
        <v>2</v>
      </c>
      <c r="H529" s="84">
        <v>0</v>
      </c>
      <c r="I529" s="84">
        <v>0</v>
      </c>
      <c r="J529" s="84" t="s">
        <v>2805</v>
      </c>
    </row>
    <row r="530" spans="1:10" ht="12.75" customHeight="1">
      <c r="A530" s="83"/>
      <c r="B530" s="83" t="s">
        <v>2810</v>
      </c>
      <c r="C530" s="84" t="s">
        <v>2805</v>
      </c>
      <c r="D530" s="84" t="s">
        <v>2812</v>
      </c>
      <c r="E530" s="84">
        <v>0</v>
      </c>
      <c r="F530" s="84">
        <v>0</v>
      </c>
      <c r="G530" s="84">
        <v>2</v>
      </c>
      <c r="H530" s="84">
        <v>0</v>
      </c>
      <c r="I530" s="84">
        <v>0</v>
      </c>
      <c r="J530" s="84" t="s">
        <v>2805</v>
      </c>
    </row>
    <row r="531" spans="1:10" ht="12.75" customHeight="1">
      <c r="A531" s="83"/>
      <c r="B531" s="83" t="s">
        <v>2811</v>
      </c>
      <c r="C531" s="84" t="s">
        <v>2805</v>
      </c>
      <c r="D531" s="84" t="s">
        <v>2812</v>
      </c>
      <c r="E531" s="84">
        <v>0</v>
      </c>
      <c r="F531" s="84">
        <v>0</v>
      </c>
      <c r="G531" s="84">
        <v>0</v>
      </c>
      <c r="H531" s="84">
        <v>0</v>
      </c>
      <c r="I531" s="84">
        <v>0</v>
      </c>
      <c r="J531" s="84" t="s">
        <v>2805</v>
      </c>
    </row>
    <row r="532" spans="1:10" ht="12.75" customHeight="1">
      <c r="A532" s="83"/>
      <c r="B532" s="83" t="s">
        <v>2813</v>
      </c>
      <c r="C532" s="84" t="s">
        <v>2805</v>
      </c>
      <c r="D532" s="84">
        <v>15</v>
      </c>
      <c r="E532" s="84">
        <v>0</v>
      </c>
      <c r="F532" s="84">
        <v>0</v>
      </c>
      <c r="G532" s="84">
        <v>0</v>
      </c>
      <c r="H532" s="84">
        <v>0</v>
      </c>
      <c r="I532" s="84">
        <v>0</v>
      </c>
      <c r="J532" s="84" t="s">
        <v>2805</v>
      </c>
    </row>
    <row r="533" spans="1:10" ht="12.75" customHeight="1">
      <c r="A533" s="83"/>
      <c r="B533" s="83" t="s">
        <v>2814</v>
      </c>
      <c r="C533" s="84" t="s">
        <v>2805</v>
      </c>
      <c r="D533" s="84">
        <v>0</v>
      </c>
      <c r="E533" s="84" t="s">
        <v>2805</v>
      </c>
      <c r="F533" s="84" t="s">
        <v>2805</v>
      </c>
      <c r="G533" s="84" t="s">
        <v>2805</v>
      </c>
      <c r="H533" s="84" t="s">
        <v>2805</v>
      </c>
      <c r="I533" s="84" t="s">
        <v>2805</v>
      </c>
      <c r="J533" s="84" t="s">
        <v>2805</v>
      </c>
    </row>
    <row r="534" spans="1:10" ht="12.75" customHeight="1">
      <c r="A534" s="83"/>
      <c r="B534" s="83" t="s">
        <v>2815</v>
      </c>
      <c r="C534" s="84" t="s">
        <v>2805</v>
      </c>
      <c r="D534" s="84">
        <v>0</v>
      </c>
      <c r="E534" s="84">
        <v>0</v>
      </c>
      <c r="F534" s="84">
        <v>0</v>
      </c>
      <c r="G534" s="84">
        <v>0</v>
      </c>
      <c r="H534" s="84">
        <v>0</v>
      </c>
      <c r="I534" s="84">
        <v>0</v>
      </c>
      <c r="J534" s="84" t="s">
        <v>2805</v>
      </c>
    </row>
    <row r="535" spans="1:10" ht="12.75" customHeight="1">
      <c r="A535" s="83"/>
      <c r="B535" s="81" t="s">
        <v>2816</v>
      </c>
      <c r="C535" s="84" t="s">
        <v>2805</v>
      </c>
      <c r="D535" s="84">
        <v>1</v>
      </c>
      <c r="E535" s="84">
        <v>0</v>
      </c>
      <c r="F535" s="84" t="s">
        <v>2812</v>
      </c>
      <c r="G535" s="84" t="s">
        <v>2812</v>
      </c>
      <c r="H535" s="84" t="s">
        <v>2812</v>
      </c>
      <c r="I535" s="84">
        <v>0</v>
      </c>
      <c r="J535" s="84" t="s">
        <v>2805</v>
      </c>
    </row>
    <row r="536" spans="1:10" ht="12.75" customHeight="1">
      <c r="A536" s="83"/>
      <c r="B536" s="83" t="s">
        <v>2817</v>
      </c>
      <c r="C536" s="84" t="s">
        <v>2805</v>
      </c>
      <c r="D536" s="84" t="s">
        <v>2812</v>
      </c>
      <c r="E536" s="84">
        <v>0</v>
      </c>
      <c r="F536" s="84">
        <v>0</v>
      </c>
      <c r="G536" s="84" t="s">
        <v>2812</v>
      </c>
      <c r="H536" s="84">
        <v>0</v>
      </c>
      <c r="I536" s="84">
        <v>0</v>
      </c>
      <c r="J536" s="84" t="s">
        <v>2805</v>
      </c>
    </row>
    <row r="537" spans="1:10" ht="12.75" customHeight="1">
      <c r="A537" s="83"/>
      <c r="B537" s="83" t="s">
        <v>2818</v>
      </c>
      <c r="C537" s="84" t="s">
        <v>2805</v>
      </c>
      <c r="D537" s="84" t="s">
        <v>2812</v>
      </c>
      <c r="E537" s="84" t="s">
        <v>2805</v>
      </c>
      <c r="F537" s="84" t="s">
        <v>2805</v>
      </c>
      <c r="G537" s="84" t="s">
        <v>2805</v>
      </c>
      <c r="H537" s="84" t="s">
        <v>2805</v>
      </c>
      <c r="I537" s="84" t="s">
        <v>2805</v>
      </c>
      <c r="J537" s="84" t="s">
        <v>2805</v>
      </c>
    </row>
    <row r="538" spans="1:10" ht="12.75" customHeight="1">
      <c r="A538" s="83"/>
      <c r="B538" s="83" t="s">
        <v>2819</v>
      </c>
      <c r="C538" s="84" t="s">
        <v>2805</v>
      </c>
      <c r="D538" s="84">
        <v>0</v>
      </c>
      <c r="E538" s="84">
        <v>0</v>
      </c>
      <c r="F538" s="84">
        <v>0</v>
      </c>
      <c r="G538" s="84" t="s">
        <v>2812</v>
      </c>
      <c r="H538" s="84">
        <v>0</v>
      </c>
      <c r="I538" s="84">
        <v>0</v>
      </c>
      <c r="J538" s="84" t="s">
        <v>2805</v>
      </c>
    </row>
    <row r="539" spans="1:10" ht="12.75" customHeight="1">
      <c r="A539" s="83"/>
      <c r="B539" s="83" t="s">
        <v>2820</v>
      </c>
      <c r="C539" s="84" t="s">
        <v>2805</v>
      </c>
      <c r="D539" s="84">
        <v>0</v>
      </c>
      <c r="E539" s="84" t="s">
        <v>2805</v>
      </c>
      <c r="F539" s="84" t="s">
        <v>2812</v>
      </c>
      <c r="G539" s="84">
        <v>0</v>
      </c>
      <c r="H539" s="84" t="s">
        <v>2812</v>
      </c>
      <c r="I539" s="84" t="s">
        <v>2805</v>
      </c>
      <c r="J539" s="84" t="s">
        <v>2805</v>
      </c>
    </row>
    <row r="540" spans="1:10" ht="12.75" customHeight="1">
      <c r="A540" s="83"/>
      <c r="B540" s="83" t="s">
        <v>2821</v>
      </c>
      <c r="C540" s="84" t="s">
        <v>2805</v>
      </c>
      <c r="D540" s="84" t="s">
        <v>2805</v>
      </c>
      <c r="E540" s="84">
        <v>0</v>
      </c>
      <c r="F540" s="84">
        <v>0</v>
      </c>
      <c r="G540" s="84">
        <v>0</v>
      </c>
      <c r="H540" s="84">
        <v>0</v>
      </c>
      <c r="I540" s="84">
        <v>0</v>
      </c>
      <c r="J540" s="84" t="s">
        <v>2805</v>
      </c>
    </row>
    <row r="541" spans="1:10" ht="12.75" customHeight="1">
      <c r="A541" s="83"/>
      <c r="B541" s="83" t="s">
        <v>2822</v>
      </c>
      <c r="C541" s="84" t="s">
        <v>2805</v>
      </c>
      <c r="D541" s="84">
        <v>0</v>
      </c>
      <c r="E541" s="84">
        <v>0</v>
      </c>
      <c r="F541" s="84">
        <v>0</v>
      </c>
      <c r="G541" s="84">
        <v>0</v>
      </c>
      <c r="H541" s="84">
        <v>0</v>
      </c>
      <c r="I541" s="84">
        <v>0</v>
      </c>
      <c r="J541" s="84" t="s">
        <v>2805</v>
      </c>
    </row>
    <row r="542" spans="1:10" ht="12.75" customHeight="1">
      <c r="A542" s="83"/>
      <c r="B542" s="81" t="s">
        <v>2823</v>
      </c>
      <c r="C542" s="84">
        <v>12</v>
      </c>
      <c r="D542" s="84">
        <v>0</v>
      </c>
      <c r="E542" s="84">
        <v>0</v>
      </c>
      <c r="F542" s="84">
        <v>0</v>
      </c>
      <c r="G542" s="84">
        <v>0</v>
      </c>
      <c r="H542" s="84">
        <v>0</v>
      </c>
      <c r="I542" s="84">
        <v>0</v>
      </c>
      <c r="J542" s="84">
        <v>12</v>
      </c>
    </row>
    <row r="543" spans="1:10" ht="12.75" customHeight="1">
      <c r="A543" s="83"/>
      <c r="B543" s="81"/>
      <c r="C543" s="84"/>
      <c r="D543" s="84"/>
      <c r="E543" s="84"/>
      <c r="F543" s="84"/>
      <c r="G543" s="84"/>
      <c r="H543" s="84"/>
      <c r="I543" s="84"/>
      <c r="J543" s="84"/>
    </row>
    <row r="544" spans="1:10" s="71" customFormat="1" ht="12.75" customHeight="1">
      <c r="A544" s="81" t="s">
        <v>2871</v>
      </c>
      <c r="B544" s="81" t="s">
        <v>2872</v>
      </c>
      <c r="C544" s="86"/>
      <c r="D544" s="86"/>
      <c r="E544" s="86"/>
      <c r="F544" s="86"/>
      <c r="G544" s="86"/>
      <c r="H544" s="86"/>
      <c r="I544" s="86"/>
      <c r="J544" s="86"/>
    </row>
    <row r="545" spans="1:10" s="71" customFormat="1" ht="12.75" customHeight="1">
      <c r="A545" s="81"/>
      <c r="B545" s="81"/>
      <c r="C545" s="86"/>
      <c r="D545" s="86"/>
      <c r="E545" s="86"/>
      <c r="F545" s="86"/>
      <c r="G545" s="86"/>
      <c r="H545" s="86"/>
      <c r="I545" s="86"/>
      <c r="J545" s="86"/>
    </row>
    <row r="546" spans="1:10" s="71" customFormat="1" ht="12.75" customHeight="1">
      <c r="A546" s="81"/>
      <c r="B546" s="81"/>
      <c r="C546" s="86"/>
      <c r="D546" s="86"/>
      <c r="E546" s="86"/>
      <c r="F546" s="86"/>
      <c r="G546" s="86"/>
      <c r="H546" s="86"/>
      <c r="I546" s="86"/>
      <c r="J546" s="86"/>
    </row>
    <row r="547" spans="1:10" ht="12.75" customHeight="1">
      <c r="A547" s="83"/>
      <c r="B547" s="81" t="s">
        <v>2803</v>
      </c>
      <c r="C547" s="84">
        <v>897</v>
      </c>
      <c r="D547" s="84">
        <v>56</v>
      </c>
      <c r="E547" s="84">
        <v>3</v>
      </c>
      <c r="F547" s="84">
        <v>2</v>
      </c>
      <c r="G547" s="84">
        <v>235</v>
      </c>
      <c r="H547" s="84" t="s">
        <v>2812</v>
      </c>
      <c r="I547" s="84">
        <v>13</v>
      </c>
      <c r="J547" s="84">
        <v>588</v>
      </c>
    </row>
    <row r="548" spans="1:10" ht="12.75" customHeight="1">
      <c r="A548" s="83"/>
      <c r="B548" s="81" t="s">
        <v>2804</v>
      </c>
      <c r="C548" s="84" t="s">
        <v>2805</v>
      </c>
      <c r="D548" s="84">
        <v>2</v>
      </c>
      <c r="E548" s="84">
        <v>2</v>
      </c>
      <c r="F548" s="84">
        <v>1</v>
      </c>
      <c r="G548" s="84">
        <v>175</v>
      </c>
      <c r="H548" s="84" t="s">
        <v>2812</v>
      </c>
      <c r="I548" s="84">
        <v>13</v>
      </c>
      <c r="J548" s="84" t="s">
        <v>2805</v>
      </c>
    </row>
    <row r="549" spans="1:10" ht="12.75" customHeight="1">
      <c r="A549" s="83"/>
      <c r="B549" s="83" t="s">
        <v>2806</v>
      </c>
      <c r="C549" s="84" t="s">
        <v>2805</v>
      </c>
      <c r="D549" s="84">
        <v>2</v>
      </c>
      <c r="E549" s="84" t="s">
        <v>2812</v>
      </c>
      <c r="F549" s="84" t="s">
        <v>2812</v>
      </c>
      <c r="G549" s="84">
        <v>25</v>
      </c>
      <c r="H549" s="84">
        <v>0</v>
      </c>
      <c r="I549" s="84">
        <v>1</v>
      </c>
      <c r="J549" s="84" t="s">
        <v>2805</v>
      </c>
    </row>
    <row r="550" spans="1:10" ht="12.75" customHeight="1">
      <c r="A550" s="83"/>
      <c r="B550" s="83" t="s">
        <v>2807</v>
      </c>
      <c r="C550" s="84" t="s">
        <v>2805</v>
      </c>
      <c r="D550" s="84">
        <v>0</v>
      </c>
      <c r="E550" s="84">
        <v>2</v>
      </c>
      <c r="F550" s="84">
        <v>1</v>
      </c>
      <c r="G550" s="84">
        <v>150</v>
      </c>
      <c r="H550" s="84" t="s">
        <v>2812</v>
      </c>
      <c r="I550" s="84">
        <v>13</v>
      </c>
      <c r="J550" s="84" t="s">
        <v>2805</v>
      </c>
    </row>
    <row r="551" spans="1:10" ht="12.75" customHeight="1">
      <c r="A551" s="83"/>
      <c r="B551" s="81" t="s">
        <v>2808</v>
      </c>
      <c r="C551" s="84" t="s">
        <v>2805</v>
      </c>
      <c r="D551" s="84">
        <v>49</v>
      </c>
      <c r="E551" s="84">
        <v>1</v>
      </c>
      <c r="F551" s="84" t="s">
        <v>2812</v>
      </c>
      <c r="G551" s="84">
        <v>51</v>
      </c>
      <c r="H551" s="84" t="s">
        <v>2812</v>
      </c>
      <c r="I551" s="84">
        <v>0</v>
      </c>
      <c r="J551" s="84" t="s">
        <v>2805</v>
      </c>
    </row>
    <row r="552" spans="1:10" ht="12.75" customHeight="1">
      <c r="A552" s="83"/>
      <c r="B552" s="83" t="s">
        <v>2810</v>
      </c>
      <c r="C552" s="84" t="s">
        <v>2805</v>
      </c>
      <c r="D552" s="84">
        <v>1</v>
      </c>
      <c r="E552" s="84">
        <v>1</v>
      </c>
      <c r="F552" s="84" t="s">
        <v>2812</v>
      </c>
      <c r="G552" s="84">
        <v>48</v>
      </c>
      <c r="H552" s="84" t="s">
        <v>2812</v>
      </c>
      <c r="I552" s="84">
        <v>0</v>
      </c>
      <c r="J552" s="84" t="s">
        <v>2805</v>
      </c>
    </row>
    <row r="553" spans="1:10" ht="12.75" customHeight="1">
      <c r="A553" s="83"/>
      <c r="B553" s="83" t="s">
        <v>2811</v>
      </c>
      <c r="C553" s="84" t="s">
        <v>2805</v>
      </c>
      <c r="D553" s="84">
        <v>1</v>
      </c>
      <c r="E553" s="84">
        <v>0</v>
      </c>
      <c r="F553" s="84">
        <v>0</v>
      </c>
      <c r="G553" s="84" t="s">
        <v>2812</v>
      </c>
      <c r="H553" s="84">
        <v>0</v>
      </c>
      <c r="I553" s="84">
        <v>0</v>
      </c>
      <c r="J553" s="84" t="s">
        <v>2805</v>
      </c>
    </row>
    <row r="554" spans="1:10" ht="12.75" customHeight="1">
      <c r="A554" s="83"/>
      <c r="B554" s="83" t="s">
        <v>2813</v>
      </c>
      <c r="C554" s="84" t="s">
        <v>2805</v>
      </c>
      <c r="D554" s="84">
        <v>46</v>
      </c>
      <c r="E554" s="84">
        <v>0</v>
      </c>
      <c r="F554" s="84" t="s">
        <v>2812</v>
      </c>
      <c r="G554" s="84">
        <v>2</v>
      </c>
      <c r="H554" s="84" t="s">
        <v>2812</v>
      </c>
      <c r="I554" s="84">
        <v>0</v>
      </c>
      <c r="J554" s="84" t="s">
        <v>2805</v>
      </c>
    </row>
    <row r="555" spans="1:10" ht="12.75" customHeight="1">
      <c r="A555" s="83"/>
      <c r="B555" s="83" t="s">
        <v>2814</v>
      </c>
      <c r="C555" s="84" t="s">
        <v>2805</v>
      </c>
      <c r="D555" s="84" t="s">
        <v>2812</v>
      </c>
      <c r="E555" s="84" t="s">
        <v>2805</v>
      </c>
      <c r="F555" s="84" t="s">
        <v>2805</v>
      </c>
      <c r="G555" s="84" t="s">
        <v>2805</v>
      </c>
      <c r="H555" s="84" t="s">
        <v>2805</v>
      </c>
      <c r="I555" s="84" t="s">
        <v>2805</v>
      </c>
      <c r="J555" s="84" t="s">
        <v>2805</v>
      </c>
    </row>
    <row r="556" spans="1:10" ht="12.75" customHeight="1">
      <c r="A556" s="83"/>
      <c r="B556" s="83" t="s">
        <v>2815</v>
      </c>
      <c r="C556" s="84" t="s">
        <v>2805</v>
      </c>
      <c r="D556" s="84">
        <v>1</v>
      </c>
      <c r="E556" s="84">
        <v>0</v>
      </c>
      <c r="F556" s="84" t="s">
        <v>2812</v>
      </c>
      <c r="G556" s="84">
        <v>1</v>
      </c>
      <c r="H556" s="84" t="s">
        <v>2812</v>
      </c>
      <c r="I556" s="84">
        <v>0</v>
      </c>
      <c r="J556" s="84" t="s">
        <v>2805</v>
      </c>
    </row>
    <row r="557" spans="1:10" ht="12.75" customHeight="1">
      <c r="A557" s="83"/>
      <c r="B557" s="81" t="s">
        <v>2816</v>
      </c>
      <c r="C557" s="84" t="s">
        <v>2805</v>
      </c>
      <c r="D557" s="84">
        <v>5</v>
      </c>
      <c r="E557" s="84">
        <v>0</v>
      </c>
      <c r="F557" s="84">
        <v>1</v>
      </c>
      <c r="G557" s="84">
        <v>9</v>
      </c>
      <c r="H557" s="84" t="s">
        <v>2812</v>
      </c>
      <c r="I557" s="84">
        <v>0</v>
      </c>
      <c r="J557" s="84" t="s">
        <v>2805</v>
      </c>
    </row>
    <row r="558" spans="1:10" ht="12.75" customHeight="1">
      <c r="A558" s="83"/>
      <c r="B558" s="83" t="s">
        <v>2817</v>
      </c>
      <c r="C558" s="84" t="s">
        <v>2805</v>
      </c>
      <c r="D558" s="84">
        <v>2</v>
      </c>
      <c r="E558" s="84">
        <v>0</v>
      </c>
      <c r="F558" s="84" t="s">
        <v>2812</v>
      </c>
      <c r="G558" s="84">
        <v>5</v>
      </c>
      <c r="H558" s="84" t="s">
        <v>2812</v>
      </c>
      <c r="I558" s="84">
        <v>0</v>
      </c>
      <c r="J558" s="84" t="s">
        <v>2805</v>
      </c>
    </row>
    <row r="559" spans="1:10" ht="12.75" customHeight="1">
      <c r="A559" s="83"/>
      <c r="B559" s="83" t="s">
        <v>2818</v>
      </c>
      <c r="C559" s="84" t="s">
        <v>2805</v>
      </c>
      <c r="D559" s="84">
        <v>2</v>
      </c>
      <c r="E559" s="84" t="s">
        <v>2805</v>
      </c>
      <c r="F559" s="84" t="s">
        <v>2805</v>
      </c>
      <c r="G559" s="84" t="s">
        <v>2805</v>
      </c>
      <c r="H559" s="84" t="s">
        <v>2805</v>
      </c>
      <c r="I559" s="84" t="s">
        <v>2805</v>
      </c>
      <c r="J559" s="84" t="s">
        <v>2805</v>
      </c>
    </row>
    <row r="560" spans="1:10" ht="12.75" customHeight="1">
      <c r="A560" s="83"/>
      <c r="B560" s="83" t="s">
        <v>2819</v>
      </c>
      <c r="C560" s="84" t="s">
        <v>2805</v>
      </c>
      <c r="D560" s="84">
        <v>1</v>
      </c>
      <c r="E560" s="84">
        <v>0</v>
      </c>
      <c r="F560" s="84">
        <v>0</v>
      </c>
      <c r="G560" s="84">
        <v>1</v>
      </c>
      <c r="H560" s="84" t="s">
        <v>2812</v>
      </c>
      <c r="I560" s="84">
        <v>0</v>
      </c>
      <c r="J560" s="84" t="s">
        <v>2805</v>
      </c>
    </row>
    <row r="561" spans="1:10" ht="12.75" customHeight="1">
      <c r="A561" s="83"/>
      <c r="B561" s="83" t="s">
        <v>2820</v>
      </c>
      <c r="C561" s="84" t="s">
        <v>2805</v>
      </c>
      <c r="D561" s="84" t="s">
        <v>2812</v>
      </c>
      <c r="E561" s="84" t="s">
        <v>2805</v>
      </c>
      <c r="F561" s="84">
        <v>1</v>
      </c>
      <c r="G561" s="84" t="s">
        <v>2812</v>
      </c>
      <c r="H561" s="84" t="s">
        <v>2812</v>
      </c>
      <c r="I561" s="84" t="s">
        <v>2805</v>
      </c>
      <c r="J561" s="84" t="s">
        <v>2805</v>
      </c>
    </row>
    <row r="562" spans="1:10" ht="12.75" customHeight="1">
      <c r="A562" s="83"/>
      <c r="B562" s="83" t="s">
        <v>2821</v>
      </c>
      <c r="C562" s="84" t="s">
        <v>2805</v>
      </c>
      <c r="D562" s="84" t="s">
        <v>2805</v>
      </c>
      <c r="E562" s="84">
        <v>0</v>
      </c>
      <c r="F562" s="84">
        <v>0</v>
      </c>
      <c r="G562" s="84">
        <v>2</v>
      </c>
      <c r="H562" s="84">
        <v>0</v>
      </c>
      <c r="I562" s="84">
        <v>0</v>
      </c>
      <c r="J562" s="84" t="s">
        <v>2805</v>
      </c>
    </row>
    <row r="563" spans="1:10" ht="12.75" customHeight="1">
      <c r="A563" s="83"/>
      <c r="B563" s="83" t="s">
        <v>2822</v>
      </c>
      <c r="C563" s="84" t="s">
        <v>2805</v>
      </c>
      <c r="D563" s="84" t="s">
        <v>2812</v>
      </c>
      <c r="E563" s="84">
        <v>0</v>
      </c>
      <c r="F563" s="84" t="s">
        <v>2812</v>
      </c>
      <c r="G563" s="84">
        <v>0</v>
      </c>
      <c r="H563" s="84" t="s">
        <v>2812</v>
      </c>
      <c r="I563" s="84">
        <v>0</v>
      </c>
      <c r="J563" s="84" t="s">
        <v>2805</v>
      </c>
    </row>
    <row r="564" spans="1:10" ht="12.75" customHeight="1">
      <c r="A564" s="83"/>
      <c r="B564" s="81" t="s">
        <v>2823</v>
      </c>
      <c r="C564" s="84">
        <v>588</v>
      </c>
      <c r="D564" s="84">
        <v>0</v>
      </c>
      <c r="E564" s="84" t="s">
        <v>2812</v>
      </c>
      <c r="F564" s="84" t="s">
        <v>2812</v>
      </c>
      <c r="G564" s="84">
        <v>0</v>
      </c>
      <c r="H564" s="84" t="s">
        <v>2812</v>
      </c>
      <c r="I564" s="84">
        <v>0</v>
      </c>
      <c r="J564" s="84">
        <v>588</v>
      </c>
    </row>
    <row r="565" spans="1:10" ht="12.75" customHeight="1">
      <c r="A565" s="83"/>
      <c r="B565" s="81"/>
      <c r="C565" s="84"/>
      <c r="D565" s="84"/>
      <c r="E565" s="84"/>
      <c r="F565" s="84"/>
      <c r="G565" s="84"/>
      <c r="H565" s="84"/>
      <c r="I565" s="84"/>
      <c r="J565" s="84"/>
    </row>
    <row r="566" spans="1:10" s="71" customFormat="1" ht="12.75" customHeight="1">
      <c r="A566" s="81" t="s">
        <v>2873</v>
      </c>
      <c r="B566" s="81" t="s">
        <v>2874</v>
      </c>
      <c r="C566" s="86"/>
      <c r="D566" s="86"/>
      <c r="E566" s="86"/>
      <c r="F566" s="86"/>
      <c r="G566" s="86"/>
      <c r="H566" s="86"/>
      <c r="I566" s="86"/>
      <c r="J566" s="86"/>
    </row>
    <row r="567" spans="1:10" s="71" customFormat="1" ht="12.75" customHeight="1">
      <c r="A567" s="81"/>
      <c r="B567" s="81"/>
      <c r="C567" s="86"/>
      <c r="D567" s="86"/>
      <c r="E567" s="86"/>
      <c r="F567" s="86"/>
      <c r="G567" s="86"/>
      <c r="H567" s="86"/>
      <c r="I567" s="86"/>
      <c r="J567" s="86"/>
    </row>
    <row r="568" spans="1:10" s="71" customFormat="1" ht="12.75" customHeight="1">
      <c r="A568" s="81"/>
      <c r="B568" s="81"/>
      <c r="C568" s="86"/>
      <c r="D568" s="86"/>
      <c r="E568" s="86"/>
      <c r="F568" s="86"/>
      <c r="G568" s="86"/>
      <c r="H568" s="86"/>
      <c r="I568" s="86"/>
      <c r="J568" s="86"/>
    </row>
    <row r="569" spans="1:10" ht="12.75" customHeight="1">
      <c r="A569" s="83"/>
      <c r="B569" s="81" t="s">
        <v>2803</v>
      </c>
      <c r="C569" s="84">
        <v>59</v>
      </c>
      <c r="D569" s="84">
        <v>34</v>
      </c>
      <c r="E569" s="84" t="s">
        <v>2812</v>
      </c>
      <c r="F569" s="84" t="s">
        <v>2812</v>
      </c>
      <c r="G569" s="84">
        <v>24</v>
      </c>
      <c r="H569" s="84">
        <v>1</v>
      </c>
      <c r="I569" s="84">
        <v>0</v>
      </c>
      <c r="J569" s="84" t="s">
        <v>2812</v>
      </c>
    </row>
    <row r="570" spans="1:10" ht="12.75" customHeight="1">
      <c r="A570" s="83"/>
      <c r="B570" s="81" t="s">
        <v>2804</v>
      </c>
      <c r="C570" s="84" t="s">
        <v>2805</v>
      </c>
      <c r="D570" s="84" t="s">
        <v>2812</v>
      </c>
      <c r="E570" s="84">
        <v>0</v>
      </c>
      <c r="F570" s="84" t="s">
        <v>2812</v>
      </c>
      <c r="G570" s="84">
        <v>3</v>
      </c>
      <c r="H570" s="84" t="s">
        <v>2812</v>
      </c>
      <c r="I570" s="84">
        <v>0</v>
      </c>
      <c r="J570" s="84" t="s">
        <v>2805</v>
      </c>
    </row>
    <row r="571" spans="1:10" ht="12.75" customHeight="1">
      <c r="A571" s="83"/>
      <c r="B571" s="83" t="s">
        <v>2806</v>
      </c>
      <c r="C571" s="84" t="s">
        <v>2805</v>
      </c>
      <c r="D571" s="84" t="s">
        <v>2812</v>
      </c>
      <c r="E571" s="84">
        <v>0</v>
      </c>
      <c r="F571" s="84" t="s">
        <v>2812</v>
      </c>
      <c r="G571" s="84">
        <v>3</v>
      </c>
      <c r="H571" s="84" t="s">
        <v>2812</v>
      </c>
      <c r="I571" s="84">
        <v>0</v>
      </c>
      <c r="J571" s="84" t="s">
        <v>2805</v>
      </c>
    </row>
    <row r="572" spans="1:10" ht="12.75" customHeight="1">
      <c r="A572" s="83"/>
      <c r="B572" s="83" t="s">
        <v>2807</v>
      </c>
      <c r="C572" s="84" t="s">
        <v>2805</v>
      </c>
      <c r="D572" s="84">
        <v>0</v>
      </c>
      <c r="E572" s="84">
        <v>0</v>
      </c>
      <c r="F572" s="84">
        <v>0</v>
      </c>
      <c r="G572" s="84" t="s">
        <v>2826</v>
      </c>
      <c r="H572" s="84">
        <v>0</v>
      </c>
      <c r="I572" s="84">
        <v>0</v>
      </c>
      <c r="J572" s="84" t="s">
        <v>2805</v>
      </c>
    </row>
    <row r="573" spans="1:10" ht="12.75" customHeight="1">
      <c r="A573" s="83"/>
      <c r="B573" s="81" t="s">
        <v>2808</v>
      </c>
      <c r="C573" s="84" t="s">
        <v>2805</v>
      </c>
      <c r="D573" s="84">
        <v>23</v>
      </c>
      <c r="E573" s="84" t="s">
        <v>2812</v>
      </c>
      <c r="F573" s="84" t="s">
        <v>2812</v>
      </c>
      <c r="G573" s="84">
        <v>12</v>
      </c>
      <c r="H573" s="84" t="s">
        <v>2812</v>
      </c>
      <c r="I573" s="84">
        <v>0</v>
      </c>
      <c r="J573" s="84" t="s">
        <v>2805</v>
      </c>
    </row>
    <row r="574" spans="1:10" ht="12.75" customHeight="1">
      <c r="A574" s="83"/>
      <c r="B574" s="83" t="s">
        <v>2810</v>
      </c>
      <c r="C574" s="84" t="s">
        <v>2805</v>
      </c>
      <c r="D574" s="84">
        <v>1</v>
      </c>
      <c r="E574" s="84">
        <v>0</v>
      </c>
      <c r="F574" s="84" t="s">
        <v>2812</v>
      </c>
      <c r="G574" s="84">
        <v>8</v>
      </c>
      <c r="H574" s="84" t="s">
        <v>2812</v>
      </c>
      <c r="I574" s="84">
        <v>0</v>
      </c>
      <c r="J574" s="84" t="s">
        <v>2805</v>
      </c>
    </row>
    <row r="575" spans="1:10" ht="12.75" customHeight="1">
      <c r="A575" s="83"/>
      <c r="B575" s="83" t="s">
        <v>2811</v>
      </c>
      <c r="C575" s="84" t="s">
        <v>2805</v>
      </c>
      <c r="D575" s="84">
        <v>2</v>
      </c>
      <c r="E575" s="84">
        <v>0</v>
      </c>
      <c r="F575" s="84">
        <v>0</v>
      </c>
      <c r="G575" s="84" t="s">
        <v>2812</v>
      </c>
      <c r="H575" s="84">
        <v>0</v>
      </c>
      <c r="I575" s="84">
        <v>0</v>
      </c>
      <c r="J575" s="84" t="s">
        <v>2805</v>
      </c>
    </row>
    <row r="576" spans="1:10" ht="12.75" customHeight="1">
      <c r="A576" s="83"/>
      <c r="B576" s="83" t="s">
        <v>2813</v>
      </c>
      <c r="C576" s="84" t="s">
        <v>2805</v>
      </c>
      <c r="D576" s="84">
        <v>19</v>
      </c>
      <c r="E576" s="84">
        <v>0</v>
      </c>
      <c r="F576" s="84" t="s">
        <v>2812</v>
      </c>
      <c r="G576" s="84">
        <v>2</v>
      </c>
      <c r="H576" s="84" t="s">
        <v>2812</v>
      </c>
      <c r="I576" s="84">
        <v>0</v>
      </c>
      <c r="J576" s="84" t="s">
        <v>2805</v>
      </c>
    </row>
    <row r="577" spans="1:10" ht="12.75" customHeight="1">
      <c r="A577" s="83"/>
      <c r="B577" s="83" t="s">
        <v>2814</v>
      </c>
      <c r="C577" s="84" t="s">
        <v>2805</v>
      </c>
      <c r="D577" s="84" t="s">
        <v>2826</v>
      </c>
      <c r="E577" s="84" t="s">
        <v>2805</v>
      </c>
      <c r="F577" s="84" t="s">
        <v>2805</v>
      </c>
      <c r="G577" s="84" t="s">
        <v>2805</v>
      </c>
      <c r="H577" s="84" t="s">
        <v>2805</v>
      </c>
      <c r="I577" s="84" t="s">
        <v>2805</v>
      </c>
      <c r="J577" s="84" t="s">
        <v>2805</v>
      </c>
    </row>
    <row r="578" spans="1:10" ht="12.75" customHeight="1">
      <c r="A578" s="83"/>
      <c r="B578" s="83" t="s">
        <v>2815</v>
      </c>
      <c r="C578" s="84" t="s">
        <v>2805</v>
      </c>
      <c r="D578" s="84">
        <v>1</v>
      </c>
      <c r="E578" s="84" t="s">
        <v>2812</v>
      </c>
      <c r="F578" s="84">
        <v>0</v>
      </c>
      <c r="G578" s="84" t="s">
        <v>2826</v>
      </c>
      <c r="H578" s="84">
        <v>0</v>
      </c>
      <c r="I578" s="84">
        <v>0</v>
      </c>
      <c r="J578" s="84" t="s">
        <v>2805</v>
      </c>
    </row>
    <row r="579" spans="1:10" ht="12.75" customHeight="1">
      <c r="A579" s="83"/>
      <c r="B579" s="81" t="s">
        <v>2816</v>
      </c>
      <c r="C579" s="84" t="s">
        <v>2805</v>
      </c>
      <c r="D579" s="84">
        <v>10</v>
      </c>
      <c r="E579" s="84" t="s">
        <v>2812</v>
      </c>
      <c r="F579" s="84" t="s">
        <v>2812</v>
      </c>
      <c r="G579" s="84">
        <v>9</v>
      </c>
      <c r="H579" s="84" t="s">
        <v>2812</v>
      </c>
      <c r="I579" s="84">
        <v>0</v>
      </c>
      <c r="J579" s="84" t="s">
        <v>2805</v>
      </c>
    </row>
    <row r="580" spans="1:10" ht="12.75" customHeight="1">
      <c r="A580" s="83"/>
      <c r="B580" s="83" t="s">
        <v>2817</v>
      </c>
      <c r="C580" s="84" t="s">
        <v>2805</v>
      </c>
      <c r="D580" s="84">
        <v>6</v>
      </c>
      <c r="E580" s="84" t="s">
        <v>2812</v>
      </c>
      <c r="F580" s="84" t="s">
        <v>2812</v>
      </c>
      <c r="G580" s="84">
        <v>8</v>
      </c>
      <c r="H580" s="84" t="s">
        <v>2812</v>
      </c>
      <c r="I580" s="84">
        <v>0</v>
      </c>
      <c r="J580" s="84" t="s">
        <v>2805</v>
      </c>
    </row>
    <row r="581" spans="1:10" ht="12.75" customHeight="1">
      <c r="A581" s="83"/>
      <c r="B581" s="83" t="s">
        <v>2818</v>
      </c>
      <c r="C581" s="84" t="s">
        <v>2805</v>
      </c>
      <c r="D581" s="84">
        <v>3</v>
      </c>
      <c r="E581" s="84" t="s">
        <v>2805</v>
      </c>
      <c r="F581" s="84" t="s">
        <v>2805</v>
      </c>
      <c r="G581" s="84" t="s">
        <v>2805</v>
      </c>
      <c r="H581" s="84" t="s">
        <v>2805</v>
      </c>
      <c r="I581" s="84" t="s">
        <v>2805</v>
      </c>
      <c r="J581" s="84" t="s">
        <v>2805</v>
      </c>
    </row>
    <row r="582" spans="1:10" ht="12.75" customHeight="1">
      <c r="A582" s="83"/>
      <c r="B582" s="83" t="s">
        <v>2819</v>
      </c>
      <c r="C582" s="84" t="s">
        <v>2805</v>
      </c>
      <c r="D582" s="84">
        <v>1</v>
      </c>
      <c r="E582" s="84">
        <v>0</v>
      </c>
      <c r="F582" s="84" t="s">
        <v>2812</v>
      </c>
      <c r="G582" s="84" t="s">
        <v>2812</v>
      </c>
      <c r="H582" s="84" t="s">
        <v>2812</v>
      </c>
      <c r="I582" s="84">
        <v>0</v>
      </c>
      <c r="J582" s="84" t="s">
        <v>2805</v>
      </c>
    </row>
    <row r="583" spans="1:10" ht="12.75" customHeight="1">
      <c r="A583" s="83"/>
      <c r="B583" s="83" t="s">
        <v>2820</v>
      </c>
      <c r="C583" s="84" t="s">
        <v>2805</v>
      </c>
      <c r="D583" s="84" t="s">
        <v>2812</v>
      </c>
      <c r="E583" s="84" t="s">
        <v>2805</v>
      </c>
      <c r="F583" s="84" t="s">
        <v>2812</v>
      </c>
      <c r="G583" s="84" t="s">
        <v>2812</v>
      </c>
      <c r="H583" s="84" t="s">
        <v>2812</v>
      </c>
      <c r="I583" s="84" t="s">
        <v>2805</v>
      </c>
      <c r="J583" s="84" t="s">
        <v>2805</v>
      </c>
    </row>
    <row r="584" spans="1:10" ht="12.75" customHeight="1">
      <c r="A584" s="83"/>
      <c r="B584" s="83" t="s">
        <v>2821</v>
      </c>
      <c r="C584" s="84" t="s">
        <v>2805</v>
      </c>
      <c r="D584" s="84" t="s">
        <v>2805</v>
      </c>
      <c r="E584" s="84">
        <v>0</v>
      </c>
      <c r="F584" s="84" t="s">
        <v>2812</v>
      </c>
      <c r="G584" s="84" t="s">
        <v>2812</v>
      </c>
      <c r="H584" s="84">
        <v>0</v>
      </c>
      <c r="I584" s="84">
        <v>0</v>
      </c>
      <c r="J584" s="84" t="s">
        <v>2805</v>
      </c>
    </row>
    <row r="585" spans="1:10" ht="12.75" customHeight="1">
      <c r="A585" s="83"/>
      <c r="B585" s="83" t="s">
        <v>2822</v>
      </c>
      <c r="C585" s="84" t="s">
        <v>2805</v>
      </c>
      <c r="D585" s="84" t="s">
        <v>2812</v>
      </c>
      <c r="E585" s="84">
        <v>0</v>
      </c>
      <c r="F585" s="84" t="s">
        <v>2812</v>
      </c>
      <c r="G585" s="84" t="s">
        <v>2812</v>
      </c>
      <c r="H585" s="84" t="s">
        <v>2812</v>
      </c>
      <c r="I585" s="84">
        <v>0</v>
      </c>
      <c r="J585" s="84" t="s">
        <v>2805</v>
      </c>
    </row>
    <row r="586" spans="1:10" ht="12.75" customHeight="1">
      <c r="A586" s="83"/>
      <c r="B586" s="81" t="s">
        <v>2823</v>
      </c>
      <c r="C586" s="84">
        <v>1</v>
      </c>
      <c r="D586" s="84" t="s">
        <v>2812</v>
      </c>
      <c r="E586" s="84">
        <v>0</v>
      </c>
      <c r="F586" s="84" t="s">
        <v>2812</v>
      </c>
      <c r="G586" s="84" t="s">
        <v>2812</v>
      </c>
      <c r="H586" s="84" t="s">
        <v>2812</v>
      </c>
      <c r="I586" s="84">
        <v>0</v>
      </c>
      <c r="J586" s="84" t="s">
        <v>2812</v>
      </c>
    </row>
    <row r="587" spans="1:10" ht="12.75" customHeight="1">
      <c r="A587" s="83"/>
      <c r="B587" s="81"/>
      <c r="C587" s="84"/>
      <c r="D587" s="84"/>
      <c r="E587" s="84"/>
      <c r="F587" s="84"/>
      <c r="G587" s="84"/>
      <c r="H587" s="84"/>
      <c r="I587" s="84"/>
      <c r="J587" s="84"/>
    </row>
    <row r="588" spans="1:10" s="71" customFormat="1" ht="12.75" customHeight="1">
      <c r="A588" s="81" t="s">
        <v>2875</v>
      </c>
      <c r="B588" s="81" t="s">
        <v>2876</v>
      </c>
      <c r="C588" s="86"/>
      <c r="D588" s="86"/>
      <c r="E588" s="86"/>
      <c r="F588" s="86"/>
      <c r="G588" s="86"/>
      <c r="H588" s="86"/>
      <c r="I588" s="86"/>
      <c r="J588" s="86"/>
    </row>
    <row r="589" spans="1:10" s="71" customFormat="1" ht="12.75" customHeight="1">
      <c r="A589" s="81"/>
      <c r="B589" s="81"/>
      <c r="C589" s="86"/>
      <c r="D589" s="86"/>
      <c r="E589" s="86"/>
      <c r="F589" s="86"/>
      <c r="G589" s="86"/>
      <c r="H589" s="86"/>
      <c r="I589" s="86"/>
      <c r="J589" s="86"/>
    </row>
    <row r="590" spans="1:10" s="71" customFormat="1" ht="12.75" customHeight="1">
      <c r="A590" s="81"/>
      <c r="B590" s="81"/>
      <c r="C590" s="86"/>
      <c r="D590" s="86"/>
      <c r="E590" s="86"/>
      <c r="F590" s="86"/>
      <c r="G590" s="86"/>
      <c r="H590" s="86"/>
      <c r="I590" s="86"/>
      <c r="J590" s="86"/>
    </row>
    <row r="591" spans="1:10" ht="12.75" customHeight="1">
      <c r="A591" s="83"/>
      <c r="B591" s="81" t="s">
        <v>2803</v>
      </c>
      <c r="C591" s="84">
        <v>3517</v>
      </c>
      <c r="D591" s="84">
        <v>178</v>
      </c>
      <c r="E591" s="84">
        <v>3</v>
      </c>
      <c r="F591" s="84">
        <v>14</v>
      </c>
      <c r="G591" s="84">
        <v>1077</v>
      </c>
      <c r="H591" s="84">
        <v>19</v>
      </c>
      <c r="I591" s="84" t="s">
        <v>2812</v>
      </c>
      <c r="J591" s="84">
        <v>2226</v>
      </c>
    </row>
    <row r="592" spans="1:10" ht="12.75" customHeight="1">
      <c r="A592" s="83"/>
      <c r="B592" s="81" t="s">
        <v>2804</v>
      </c>
      <c r="C592" s="84" t="s">
        <v>2805</v>
      </c>
      <c r="D592" s="84">
        <v>1</v>
      </c>
      <c r="E592" s="84" t="s">
        <v>2812</v>
      </c>
      <c r="F592" s="84">
        <v>1</v>
      </c>
      <c r="G592" s="84">
        <v>342</v>
      </c>
      <c r="H592" s="84">
        <v>2</v>
      </c>
      <c r="I592" s="84">
        <v>0</v>
      </c>
      <c r="J592" s="84" t="s">
        <v>2805</v>
      </c>
    </row>
    <row r="593" spans="1:10" ht="12.75" customHeight="1">
      <c r="A593" s="83"/>
      <c r="B593" s="83" t="s">
        <v>2806</v>
      </c>
      <c r="C593" s="84" t="s">
        <v>2805</v>
      </c>
      <c r="D593" s="84">
        <v>1</v>
      </c>
      <c r="E593" s="84" t="s">
        <v>2812</v>
      </c>
      <c r="F593" s="84" t="s">
        <v>2812</v>
      </c>
      <c r="G593" s="84">
        <v>134</v>
      </c>
      <c r="H593" s="84">
        <v>2</v>
      </c>
      <c r="I593" s="84">
        <v>0</v>
      </c>
      <c r="J593" s="84" t="s">
        <v>2805</v>
      </c>
    </row>
    <row r="594" spans="1:10" ht="12.75" customHeight="1">
      <c r="A594" s="83"/>
      <c r="B594" s="83" t="s">
        <v>2807</v>
      </c>
      <c r="C594" s="84" t="s">
        <v>2805</v>
      </c>
      <c r="D594" s="84">
        <v>0</v>
      </c>
      <c r="E594" s="84">
        <v>0</v>
      </c>
      <c r="F594" s="84" t="s">
        <v>2812</v>
      </c>
      <c r="G594" s="84">
        <v>208</v>
      </c>
      <c r="H594" s="84">
        <v>1</v>
      </c>
      <c r="I594" s="84">
        <v>0</v>
      </c>
      <c r="J594" s="84" t="s">
        <v>2805</v>
      </c>
    </row>
    <row r="595" spans="1:10" ht="12.75" customHeight="1">
      <c r="A595" s="83"/>
      <c r="B595" s="81" t="s">
        <v>2808</v>
      </c>
      <c r="C595" s="84" t="s">
        <v>2805</v>
      </c>
      <c r="D595" s="84">
        <v>164</v>
      </c>
      <c r="E595" s="84">
        <v>3</v>
      </c>
      <c r="F595" s="84">
        <v>8</v>
      </c>
      <c r="G595" s="84">
        <v>696</v>
      </c>
      <c r="H595" s="84">
        <v>16</v>
      </c>
      <c r="I595" s="84" t="s">
        <v>2812</v>
      </c>
      <c r="J595" s="84" t="s">
        <v>2805</v>
      </c>
    </row>
    <row r="596" spans="1:10" ht="12.75" customHeight="1">
      <c r="A596" s="83"/>
      <c r="B596" s="83" t="s">
        <v>2810</v>
      </c>
      <c r="C596" s="84" t="s">
        <v>2805</v>
      </c>
      <c r="D596" s="84">
        <v>-2</v>
      </c>
      <c r="E596" s="84">
        <v>3</v>
      </c>
      <c r="F596" s="84">
        <v>4</v>
      </c>
      <c r="G596" s="84">
        <v>656</v>
      </c>
      <c r="H596" s="84">
        <v>15</v>
      </c>
      <c r="I596" s="84" t="s">
        <v>2812</v>
      </c>
      <c r="J596" s="84" t="s">
        <v>2805</v>
      </c>
    </row>
    <row r="597" spans="1:10" ht="12.75" customHeight="1">
      <c r="A597" s="83"/>
      <c r="B597" s="83" t="s">
        <v>2811</v>
      </c>
      <c r="C597" s="84" t="s">
        <v>2805</v>
      </c>
      <c r="D597" s="84">
        <v>7</v>
      </c>
      <c r="E597" s="84">
        <v>0</v>
      </c>
      <c r="F597" s="84" t="s">
        <v>2812</v>
      </c>
      <c r="G597" s="84">
        <v>1</v>
      </c>
      <c r="H597" s="84" t="s">
        <v>2812</v>
      </c>
      <c r="I597" s="84">
        <v>0</v>
      </c>
      <c r="J597" s="84" t="s">
        <v>2805</v>
      </c>
    </row>
    <row r="598" spans="1:10" ht="12.75" customHeight="1">
      <c r="A598" s="83"/>
      <c r="B598" s="83" t="s">
        <v>2813</v>
      </c>
      <c r="C598" s="84" t="s">
        <v>2805</v>
      </c>
      <c r="D598" s="84">
        <v>157</v>
      </c>
      <c r="E598" s="84">
        <v>0</v>
      </c>
      <c r="F598" s="84">
        <v>4</v>
      </c>
      <c r="G598" s="84">
        <v>15</v>
      </c>
      <c r="H598" s="84" t="s">
        <v>2826</v>
      </c>
      <c r="I598" s="84">
        <v>0</v>
      </c>
      <c r="J598" s="84" t="s">
        <v>2805</v>
      </c>
    </row>
    <row r="599" spans="1:10" ht="12.75" customHeight="1">
      <c r="A599" s="83"/>
      <c r="B599" s="83" t="s">
        <v>2814</v>
      </c>
      <c r="C599" s="84" t="s">
        <v>2805</v>
      </c>
      <c r="D599" s="84">
        <v>1</v>
      </c>
      <c r="E599" s="84" t="s">
        <v>2805</v>
      </c>
      <c r="F599" s="84" t="s">
        <v>2805</v>
      </c>
      <c r="G599" s="84" t="s">
        <v>2805</v>
      </c>
      <c r="H599" s="84" t="s">
        <v>2805</v>
      </c>
      <c r="I599" s="84" t="s">
        <v>2805</v>
      </c>
      <c r="J599" s="84" t="s">
        <v>2805</v>
      </c>
    </row>
    <row r="600" spans="1:10" ht="12.75" customHeight="1">
      <c r="A600" s="83"/>
      <c r="B600" s="83" t="s">
        <v>2815</v>
      </c>
      <c r="C600" s="84" t="s">
        <v>2805</v>
      </c>
      <c r="D600" s="84">
        <v>1</v>
      </c>
      <c r="E600" s="84">
        <v>0</v>
      </c>
      <c r="F600" s="84" t="s">
        <v>2812</v>
      </c>
      <c r="G600" s="84">
        <v>24</v>
      </c>
      <c r="H600" s="84" t="s">
        <v>2812</v>
      </c>
      <c r="I600" s="84">
        <v>0</v>
      </c>
      <c r="J600" s="84" t="s">
        <v>2805</v>
      </c>
    </row>
    <row r="601" spans="1:10" ht="12.75" customHeight="1">
      <c r="A601" s="83"/>
      <c r="B601" s="81" t="s">
        <v>2816</v>
      </c>
      <c r="C601" s="84" t="s">
        <v>2805</v>
      </c>
      <c r="D601" s="84">
        <v>12</v>
      </c>
      <c r="E601" s="84">
        <v>0</v>
      </c>
      <c r="F601" s="84">
        <v>5</v>
      </c>
      <c r="G601" s="84">
        <v>29</v>
      </c>
      <c r="H601" s="84">
        <v>1</v>
      </c>
      <c r="I601" s="84">
        <v>0</v>
      </c>
      <c r="J601" s="84" t="s">
        <v>2805</v>
      </c>
    </row>
    <row r="602" spans="1:10" ht="12.75" customHeight="1">
      <c r="A602" s="83"/>
      <c r="B602" s="83" t="s">
        <v>2817</v>
      </c>
      <c r="C602" s="84" t="s">
        <v>2805</v>
      </c>
      <c r="D602" s="84">
        <v>6</v>
      </c>
      <c r="E602" s="84">
        <v>0</v>
      </c>
      <c r="F602" s="84" t="s">
        <v>2812</v>
      </c>
      <c r="G602" s="84">
        <v>7</v>
      </c>
      <c r="H602" s="84" t="s">
        <v>2812</v>
      </c>
      <c r="I602" s="84">
        <v>0</v>
      </c>
      <c r="J602" s="84" t="s">
        <v>2805</v>
      </c>
    </row>
    <row r="603" spans="1:10" ht="12.75" customHeight="1">
      <c r="A603" s="83"/>
      <c r="B603" s="83" t="s">
        <v>2818</v>
      </c>
      <c r="C603" s="84" t="s">
        <v>2805</v>
      </c>
      <c r="D603" s="84">
        <v>4</v>
      </c>
      <c r="E603" s="84" t="s">
        <v>2805</v>
      </c>
      <c r="F603" s="84" t="s">
        <v>2805</v>
      </c>
      <c r="G603" s="84" t="s">
        <v>2805</v>
      </c>
      <c r="H603" s="84" t="s">
        <v>2805</v>
      </c>
      <c r="I603" s="84" t="s">
        <v>2805</v>
      </c>
      <c r="J603" s="84" t="s">
        <v>2805</v>
      </c>
    </row>
    <row r="604" spans="1:10" ht="12.75" customHeight="1">
      <c r="A604" s="83"/>
      <c r="B604" s="83" t="s">
        <v>2819</v>
      </c>
      <c r="C604" s="84" t="s">
        <v>2805</v>
      </c>
      <c r="D604" s="84">
        <v>2</v>
      </c>
      <c r="E604" s="84">
        <v>0</v>
      </c>
      <c r="F604" s="84" t="s">
        <v>2812</v>
      </c>
      <c r="G604" s="84">
        <v>1</v>
      </c>
      <c r="H604" s="84" t="s">
        <v>2812</v>
      </c>
      <c r="I604" s="84">
        <v>0</v>
      </c>
      <c r="J604" s="84" t="s">
        <v>2805</v>
      </c>
    </row>
    <row r="605" spans="1:10" ht="12.75" customHeight="1">
      <c r="A605" s="83"/>
      <c r="B605" s="83" t="s">
        <v>2820</v>
      </c>
      <c r="C605" s="84" t="s">
        <v>2805</v>
      </c>
      <c r="D605" s="84" t="s">
        <v>2812</v>
      </c>
      <c r="E605" s="84" t="s">
        <v>2805</v>
      </c>
      <c r="F605" s="84">
        <v>4</v>
      </c>
      <c r="G605" s="84" t="s">
        <v>2812</v>
      </c>
      <c r="H605" s="84" t="s">
        <v>2812</v>
      </c>
      <c r="I605" s="84" t="s">
        <v>2805</v>
      </c>
      <c r="J605" s="84" t="s">
        <v>2805</v>
      </c>
    </row>
    <row r="606" spans="1:10" ht="12.75" customHeight="1">
      <c r="A606" s="83"/>
      <c r="B606" s="83" t="s">
        <v>2821</v>
      </c>
      <c r="C606" s="84" t="s">
        <v>2805</v>
      </c>
      <c r="D606" s="84" t="s">
        <v>2805</v>
      </c>
      <c r="E606" s="84">
        <v>0</v>
      </c>
      <c r="F606" s="84" t="s">
        <v>2812</v>
      </c>
      <c r="G606" s="84">
        <v>20</v>
      </c>
      <c r="H606" s="84" t="s">
        <v>2812</v>
      </c>
      <c r="I606" s="84">
        <v>0</v>
      </c>
      <c r="J606" s="84" t="s">
        <v>2805</v>
      </c>
    </row>
    <row r="607" spans="1:10" ht="12.75" customHeight="1">
      <c r="A607" s="83"/>
      <c r="B607" s="83" t="s">
        <v>2822</v>
      </c>
      <c r="C607" s="84" t="s">
        <v>2805</v>
      </c>
      <c r="D607" s="84" t="s">
        <v>2812</v>
      </c>
      <c r="E607" s="84">
        <v>0</v>
      </c>
      <c r="F607" s="84">
        <v>1</v>
      </c>
      <c r="G607" s="84">
        <v>1</v>
      </c>
      <c r="H607" s="84" t="s">
        <v>2812</v>
      </c>
      <c r="I607" s="84">
        <v>0</v>
      </c>
      <c r="J607" s="84" t="s">
        <v>2805</v>
      </c>
    </row>
    <row r="608" spans="1:10" ht="12.75" customHeight="1">
      <c r="A608" s="83"/>
      <c r="B608" s="81" t="s">
        <v>2823</v>
      </c>
      <c r="C608" s="84">
        <v>2237</v>
      </c>
      <c r="D608" s="84" t="s">
        <v>2812</v>
      </c>
      <c r="E608" s="84">
        <v>0</v>
      </c>
      <c r="F608" s="84" t="s">
        <v>2812</v>
      </c>
      <c r="G608" s="84">
        <v>10</v>
      </c>
      <c r="H608" s="84" t="s">
        <v>2812</v>
      </c>
      <c r="I608" s="84">
        <v>0</v>
      </c>
      <c r="J608" s="84">
        <v>2226</v>
      </c>
    </row>
    <row r="609" spans="1:10" ht="12.75" customHeight="1">
      <c r="A609" s="83"/>
      <c r="B609" s="81"/>
      <c r="C609" s="84"/>
      <c r="D609" s="84"/>
      <c r="E609" s="84"/>
      <c r="F609" s="84"/>
      <c r="G609" s="84"/>
      <c r="H609" s="84"/>
      <c r="I609" s="84"/>
      <c r="J609" s="84"/>
    </row>
    <row r="610" spans="1:10" s="71" customFormat="1" ht="12.75" customHeight="1">
      <c r="A610" s="81" t="s">
        <v>2877</v>
      </c>
      <c r="B610" s="81" t="s">
        <v>2878</v>
      </c>
      <c r="C610" s="86"/>
      <c r="D610" s="86"/>
      <c r="E610" s="86"/>
      <c r="F610" s="86"/>
      <c r="G610" s="86"/>
      <c r="H610" s="86"/>
      <c r="I610" s="86"/>
      <c r="J610" s="86"/>
    </row>
    <row r="611" spans="1:10" ht="12.75" customHeight="1">
      <c r="A611" s="83"/>
      <c r="B611" s="83"/>
      <c r="C611" s="84"/>
      <c r="D611" s="84"/>
      <c r="E611" s="84"/>
      <c r="F611" s="84"/>
      <c r="G611" s="84"/>
      <c r="H611" s="84"/>
      <c r="I611" s="84"/>
      <c r="J611" s="84"/>
    </row>
    <row r="612" spans="1:10" ht="12.75" customHeight="1">
      <c r="A612" s="83"/>
      <c r="B612" s="83"/>
      <c r="C612" s="84"/>
      <c r="D612" s="84"/>
      <c r="E612" s="84"/>
      <c r="F612" s="84"/>
      <c r="G612" s="84"/>
      <c r="H612" s="84"/>
      <c r="I612" s="84"/>
      <c r="J612" s="84"/>
    </row>
    <row r="613" spans="1:10" ht="12.75" customHeight="1">
      <c r="A613" s="83"/>
      <c r="B613" s="81" t="s">
        <v>2803</v>
      </c>
      <c r="C613" s="84">
        <v>3375</v>
      </c>
      <c r="D613" s="84">
        <v>165</v>
      </c>
      <c r="E613" s="84">
        <v>2</v>
      </c>
      <c r="F613" s="84">
        <v>5</v>
      </c>
      <c r="G613" s="84">
        <v>994</v>
      </c>
      <c r="H613" s="84">
        <v>16</v>
      </c>
      <c r="I613" s="84">
        <v>0</v>
      </c>
      <c r="J613" s="84">
        <v>2192</v>
      </c>
    </row>
    <row r="614" spans="1:10" ht="12.75" customHeight="1">
      <c r="A614" s="83"/>
      <c r="B614" s="81" t="s">
        <v>2804</v>
      </c>
      <c r="C614" s="84" t="s">
        <v>2805</v>
      </c>
      <c r="D614" s="84">
        <v>1</v>
      </c>
      <c r="E614" s="84" t="s">
        <v>2812</v>
      </c>
      <c r="F614" s="84" t="s">
        <v>2812</v>
      </c>
      <c r="G614" s="84">
        <v>323</v>
      </c>
      <c r="H614" s="84">
        <v>2</v>
      </c>
      <c r="I614" s="84">
        <v>0</v>
      </c>
      <c r="J614" s="84" t="s">
        <v>2805</v>
      </c>
    </row>
    <row r="615" spans="1:10" ht="12.75" customHeight="1">
      <c r="A615" s="83"/>
      <c r="B615" s="83" t="s">
        <v>2806</v>
      </c>
      <c r="C615" s="84" t="s">
        <v>2805</v>
      </c>
      <c r="D615" s="84">
        <v>1</v>
      </c>
      <c r="E615" s="84" t="s">
        <v>2812</v>
      </c>
      <c r="F615" s="84" t="s">
        <v>2812</v>
      </c>
      <c r="G615" s="84">
        <v>129</v>
      </c>
      <c r="H615" s="84">
        <v>2</v>
      </c>
      <c r="I615" s="84">
        <v>0</v>
      </c>
      <c r="J615" s="84" t="s">
        <v>2805</v>
      </c>
    </row>
    <row r="616" spans="1:10" ht="12.75" customHeight="1">
      <c r="A616" s="83"/>
      <c r="B616" s="83" t="s">
        <v>2807</v>
      </c>
      <c r="C616" s="84" t="s">
        <v>2805</v>
      </c>
      <c r="D616" s="84">
        <v>0</v>
      </c>
      <c r="E616" s="84">
        <v>0</v>
      </c>
      <c r="F616" s="84" t="s">
        <v>2812</v>
      </c>
      <c r="G616" s="84">
        <v>194</v>
      </c>
      <c r="H616" s="84">
        <v>1</v>
      </c>
      <c r="I616" s="84">
        <v>0</v>
      </c>
      <c r="J616" s="84" t="s">
        <v>2805</v>
      </c>
    </row>
    <row r="617" spans="1:10" ht="12.75" customHeight="1">
      <c r="A617" s="83"/>
      <c r="B617" s="81" t="s">
        <v>2808</v>
      </c>
      <c r="C617" s="84" t="s">
        <v>2805</v>
      </c>
      <c r="D617" s="84">
        <v>154</v>
      </c>
      <c r="E617" s="84">
        <v>2</v>
      </c>
      <c r="F617" s="84">
        <v>3</v>
      </c>
      <c r="G617" s="84">
        <v>636</v>
      </c>
      <c r="H617" s="84">
        <v>13</v>
      </c>
      <c r="I617" s="84">
        <v>0</v>
      </c>
      <c r="J617" s="84" t="s">
        <v>2805</v>
      </c>
    </row>
    <row r="618" spans="1:10" ht="12.75" customHeight="1">
      <c r="A618" s="83"/>
      <c r="B618" s="83" t="s">
        <v>2810</v>
      </c>
      <c r="C618" s="84" t="s">
        <v>2805</v>
      </c>
      <c r="D618" s="84">
        <v>-3</v>
      </c>
      <c r="E618" s="84">
        <v>2</v>
      </c>
      <c r="F618" s="84">
        <v>2</v>
      </c>
      <c r="G618" s="84">
        <v>604</v>
      </c>
      <c r="H618" s="84">
        <v>13</v>
      </c>
      <c r="I618" s="84">
        <v>0</v>
      </c>
      <c r="J618" s="84" t="s">
        <v>2805</v>
      </c>
    </row>
    <row r="619" spans="1:10" ht="12.75" customHeight="1">
      <c r="A619" s="83"/>
      <c r="B619" s="83" t="s">
        <v>2811</v>
      </c>
      <c r="C619" s="84" t="s">
        <v>2805</v>
      </c>
      <c r="D619" s="84">
        <v>7</v>
      </c>
      <c r="E619" s="84">
        <v>0</v>
      </c>
      <c r="F619" s="84">
        <v>0</v>
      </c>
      <c r="G619" s="84" t="s">
        <v>2812</v>
      </c>
      <c r="H619" s="84" t="s">
        <v>2812</v>
      </c>
      <c r="I619" s="84">
        <v>0</v>
      </c>
      <c r="J619" s="84" t="s">
        <v>2805</v>
      </c>
    </row>
    <row r="620" spans="1:10" ht="12.75" customHeight="1">
      <c r="A620" s="83"/>
      <c r="B620" s="83" t="s">
        <v>2813</v>
      </c>
      <c r="C620" s="84" t="s">
        <v>2805</v>
      </c>
      <c r="D620" s="84">
        <v>149</v>
      </c>
      <c r="E620" s="84">
        <v>0</v>
      </c>
      <c r="F620" s="84">
        <v>1</v>
      </c>
      <c r="G620" s="84">
        <v>10</v>
      </c>
      <c r="H620" s="84" t="s">
        <v>2812</v>
      </c>
      <c r="I620" s="84">
        <v>0</v>
      </c>
      <c r="J620" s="84" t="s">
        <v>2805</v>
      </c>
    </row>
    <row r="621" spans="1:10" ht="12.75" customHeight="1">
      <c r="A621" s="83"/>
      <c r="B621" s="83" t="s">
        <v>2814</v>
      </c>
      <c r="C621" s="84" t="s">
        <v>2805</v>
      </c>
      <c r="D621" s="84">
        <v>1</v>
      </c>
      <c r="E621" s="84" t="s">
        <v>2805</v>
      </c>
      <c r="F621" s="84" t="s">
        <v>2805</v>
      </c>
      <c r="G621" s="84" t="s">
        <v>2805</v>
      </c>
      <c r="H621" s="84" t="s">
        <v>2805</v>
      </c>
      <c r="I621" s="84" t="s">
        <v>2805</v>
      </c>
      <c r="J621" s="84" t="s">
        <v>2805</v>
      </c>
    </row>
    <row r="622" spans="1:10" ht="12.75" customHeight="1">
      <c r="A622" s="83"/>
      <c r="B622" s="83" t="s">
        <v>2815</v>
      </c>
      <c r="C622" s="84" t="s">
        <v>2805</v>
      </c>
      <c r="D622" s="84">
        <v>1</v>
      </c>
      <c r="E622" s="84">
        <v>0</v>
      </c>
      <c r="F622" s="84" t="s">
        <v>2812</v>
      </c>
      <c r="G622" s="84">
        <v>22</v>
      </c>
      <c r="H622" s="84" t="s">
        <v>2812</v>
      </c>
      <c r="I622" s="84">
        <v>0</v>
      </c>
      <c r="J622" s="84" t="s">
        <v>2805</v>
      </c>
    </row>
    <row r="623" spans="1:10" ht="12.75" customHeight="1">
      <c r="A623" s="83"/>
      <c r="B623" s="81" t="s">
        <v>2816</v>
      </c>
      <c r="C623" s="84" t="s">
        <v>2805</v>
      </c>
      <c r="D623" s="84">
        <v>10</v>
      </c>
      <c r="E623" s="84">
        <v>0</v>
      </c>
      <c r="F623" s="84">
        <v>2</v>
      </c>
      <c r="G623" s="84">
        <v>25</v>
      </c>
      <c r="H623" s="84" t="s">
        <v>2812</v>
      </c>
      <c r="I623" s="84">
        <v>0</v>
      </c>
      <c r="J623" s="84" t="s">
        <v>2805</v>
      </c>
    </row>
    <row r="624" spans="1:10" ht="12.75" customHeight="1">
      <c r="A624" s="83"/>
      <c r="B624" s="83" t="s">
        <v>2817</v>
      </c>
      <c r="C624" s="84" t="s">
        <v>2805</v>
      </c>
      <c r="D624" s="84">
        <v>5</v>
      </c>
      <c r="E624" s="84">
        <v>0</v>
      </c>
      <c r="F624" s="84" t="s">
        <v>2812</v>
      </c>
      <c r="G624" s="84">
        <v>5</v>
      </c>
      <c r="H624" s="84" t="s">
        <v>2812</v>
      </c>
      <c r="I624" s="84">
        <v>0</v>
      </c>
      <c r="J624" s="84" t="s">
        <v>2805</v>
      </c>
    </row>
    <row r="625" spans="1:10" ht="12.75" customHeight="1">
      <c r="A625" s="83"/>
      <c r="B625" s="83" t="s">
        <v>2818</v>
      </c>
      <c r="C625" s="84" t="s">
        <v>2805</v>
      </c>
      <c r="D625" s="84">
        <v>4</v>
      </c>
      <c r="E625" s="84" t="s">
        <v>2805</v>
      </c>
      <c r="F625" s="84" t="s">
        <v>2805</v>
      </c>
      <c r="G625" s="84" t="s">
        <v>2805</v>
      </c>
      <c r="H625" s="84" t="s">
        <v>2805</v>
      </c>
      <c r="I625" s="84" t="s">
        <v>2805</v>
      </c>
      <c r="J625" s="84" t="s">
        <v>2805</v>
      </c>
    </row>
    <row r="626" spans="1:10" ht="12.75" customHeight="1">
      <c r="A626" s="83"/>
      <c r="B626" s="83" t="s">
        <v>2819</v>
      </c>
      <c r="C626" s="84" t="s">
        <v>2805</v>
      </c>
      <c r="D626" s="84">
        <v>2</v>
      </c>
      <c r="E626" s="84">
        <v>0</v>
      </c>
      <c r="F626" s="84">
        <v>0</v>
      </c>
      <c r="G626" s="84" t="s">
        <v>2812</v>
      </c>
      <c r="H626" s="84" t="s">
        <v>2812</v>
      </c>
      <c r="I626" s="84">
        <v>0</v>
      </c>
      <c r="J626" s="84" t="s">
        <v>2805</v>
      </c>
    </row>
    <row r="627" spans="1:10" ht="12.75" customHeight="1">
      <c r="A627" s="83"/>
      <c r="B627" s="83" t="s">
        <v>2820</v>
      </c>
      <c r="C627" s="84" t="s">
        <v>2805</v>
      </c>
      <c r="D627" s="84" t="s">
        <v>2812</v>
      </c>
      <c r="E627" s="84" t="s">
        <v>2805</v>
      </c>
      <c r="F627" s="84">
        <v>2</v>
      </c>
      <c r="G627" s="84">
        <v>0</v>
      </c>
      <c r="H627" s="84" t="s">
        <v>2812</v>
      </c>
      <c r="I627" s="84" t="s">
        <v>2805</v>
      </c>
      <c r="J627" s="84" t="s">
        <v>2805</v>
      </c>
    </row>
    <row r="628" spans="1:10" ht="12.75" customHeight="1">
      <c r="A628" s="83"/>
      <c r="B628" s="83" t="s">
        <v>2821</v>
      </c>
      <c r="C628" s="84" t="s">
        <v>2805</v>
      </c>
      <c r="D628" s="84" t="s">
        <v>2805</v>
      </c>
      <c r="E628" s="84">
        <v>0</v>
      </c>
      <c r="F628" s="84" t="s">
        <v>2812</v>
      </c>
      <c r="G628" s="84">
        <v>20</v>
      </c>
      <c r="H628" s="84" t="s">
        <v>2812</v>
      </c>
      <c r="I628" s="84">
        <v>0</v>
      </c>
      <c r="J628" s="84" t="s">
        <v>2805</v>
      </c>
    </row>
    <row r="629" spans="1:10" ht="12.75" customHeight="1">
      <c r="A629" s="83"/>
      <c r="B629" s="83" t="s">
        <v>2822</v>
      </c>
      <c r="C629" s="84" t="s">
        <v>2805</v>
      </c>
      <c r="D629" s="84" t="s">
        <v>2812</v>
      </c>
      <c r="E629" s="84">
        <v>0</v>
      </c>
      <c r="F629" s="84" t="s">
        <v>2812</v>
      </c>
      <c r="G629" s="84" t="s">
        <v>2812</v>
      </c>
      <c r="H629" s="84" t="s">
        <v>2812</v>
      </c>
      <c r="I629" s="84">
        <v>0</v>
      </c>
      <c r="J629" s="84" t="s">
        <v>2805</v>
      </c>
    </row>
    <row r="630" spans="1:10" ht="12.75" customHeight="1">
      <c r="A630" s="83"/>
      <c r="B630" s="81" t="s">
        <v>2823</v>
      </c>
      <c r="C630" s="84">
        <v>2202</v>
      </c>
      <c r="D630" s="84" t="s">
        <v>2812</v>
      </c>
      <c r="E630" s="84">
        <v>0</v>
      </c>
      <c r="F630" s="84" t="s">
        <v>2812</v>
      </c>
      <c r="G630" s="84">
        <v>10</v>
      </c>
      <c r="H630" s="84" t="s">
        <v>2812</v>
      </c>
      <c r="I630" s="84">
        <v>0</v>
      </c>
      <c r="J630" s="84">
        <v>2192</v>
      </c>
    </row>
    <row r="631" spans="1:10" ht="12.75" customHeight="1">
      <c r="A631" s="83"/>
      <c r="B631" s="81"/>
      <c r="C631" s="84"/>
      <c r="D631" s="84"/>
      <c r="E631" s="84"/>
      <c r="F631" s="84"/>
      <c r="G631" s="84"/>
      <c r="H631" s="84"/>
      <c r="I631" s="84"/>
      <c r="J631" s="84"/>
    </row>
    <row r="632" spans="1:10" s="71" customFormat="1" ht="12.75" customHeight="1">
      <c r="A632" s="81" t="s">
        <v>2879</v>
      </c>
      <c r="B632" s="81" t="s">
        <v>2880</v>
      </c>
      <c r="C632" s="86"/>
      <c r="D632" s="86"/>
      <c r="E632" s="86"/>
      <c r="F632" s="86"/>
      <c r="G632" s="86"/>
      <c r="H632" s="86"/>
      <c r="I632" s="86"/>
      <c r="J632" s="86"/>
    </row>
    <row r="633" spans="1:10" ht="12.75" customHeight="1">
      <c r="A633" s="83"/>
      <c r="B633" s="83"/>
      <c r="C633" s="84"/>
      <c r="D633" s="84"/>
      <c r="E633" s="84"/>
      <c r="F633" s="84"/>
      <c r="G633" s="84"/>
      <c r="H633" s="84"/>
      <c r="I633" s="84"/>
      <c r="J633" s="84"/>
    </row>
    <row r="634" spans="1:10" ht="12.75" customHeight="1">
      <c r="A634" s="83"/>
      <c r="B634" s="83"/>
      <c r="C634" s="84"/>
      <c r="D634" s="84"/>
      <c r="E634" s="84"/>
      <c r="F634" s="84"/>
      <c r="G634" s="84"/>
      <c r="H634" s="84"/>
      <c r="I634" s="84"/>
      <c r="J634" s="84"/>
    </row>
    <row r="635" spans="1:10" ht="12.75" customHeight="1">
      <c r="A635" s="83"/>
      <c r="B635" s="81" t="s">
        <v>2803</v>
      </c>
      <c r="C635" s="84">
        <v>64</v>
      </c>
      <c r="D635" s="84">
        <v>5</v>
      </c>
      <c r="E635" s="84">
        <v>1</v>
      </c>
      <c r="F635" s="84">
        <v>8</v>
      </c>
      <c r="G635" s="84">
        <v>41</v>
      </c>
      <c r="H635" s="84">
        <v>3</v>
      </c>
      <c r="I635" s="84" t="s">
        <v>2812</v>
      </c>
      <c r="J635" s="84">
        <v>6</v>
      </c>
    </row>
    <row r="636" spans="1:10" ht="12.75" customHeight="1">
      <c r="A636" s="83"/>
      <c r="B636" s="81" t="s">
        <v>2804</v>
      </c>
      <c r="C636" s="84" t="s">
        <v>2805</v>
      </c>
      <c r="D636" s="84" t="s">
        <v>2812</v>
      </c>
      <c r="E636" s="84">
        <v>0</v>
      </c>
      <c r="F636" s="84" t="s">
        <v>2812</v>
      </c>
      <c r="G636" s="84">
        <v>4</v>
      </c>
      <c r="H636" s="84" t="s">
        <v>2812</v>
      </c>
      <c r="I636" s="84">
        <v>0</v>
      </c>
      <c r="J636" s="84" t="s">
        <v>2805</v>
      </c>
    </row>
    <row r="637" spans="1:10" ht="12.75" customHeight="1">
      <c r="A637" s="83"/>
      <c r="B637" s="83" t="s">
        <v>2806</v>
      </c>
      <c r="C637" s="84" t="s">
        <v>2805</v>
      </c>
      <c r="D637" s="84" t="s">
        <v>2812</v>
      </c>
      <c r="E637" s="84">
        <v>0</v>
      </c>
      <c r="F637" s="84" t="s">
        <v>2812</v>
      </c>
      <c r="G637" s="84">
        <v>1</v>
      </c>
      <c r="H637" s="84" t="s">
        <v>2812</v>
      </c>
      <c r="I637" s="84">
        <v>0</v>
      </c>
      <c r="J637" s="84" t="s">
        <v>2805</v>
      </c>
    </row>
    <row r="638" spans="1:10" ht="12.75" customHeight="1">
      <c r="A638" s="83"/>
      <c r="B638" s="83" t="s">
        <v>2807</v>
      </c>
      <c r="C638" s="84" t="s">
        <v>2805</v>
      </c>
      <c r="D638" s="84">
        <v>0</v>
      </c>
      <c r="E638" s="84">
        <v>0</v>
      </c>
      <c r="F638" s="84" t="s">
        <v>2812</v>
      </c>
      <c r="G638" s="84">
        <v>3</v>
      </c>
      <c r="H638" s="84" t="s">
        <v>2812</v>
      </c>
      <c r="I638" s="84">
        <v>0</v>
      </c>
      <c r="J638" s="84" t="s">
        <v>2805</v>
      </c>
    </row>
    <row r="639" spans="1:10" ht="12.75" customHeight="1">
      <c r="A639" s="83"/>
      <c r="B639" s="81" t="s">
        <v>2808</v>
      </c>
      <c r="C639" s="84" t="s">
        <v>2805</v>
      </c>
      <c r="D639" s="84">
        <v>4</v>
      </c>
      <c r="E639" s="84">
        <v>1</v>
      </c>
      <c r="F639" s="84">
        <v>6</v>
      </c>
      <c r="G639" s="84">
        <v>36</v>
      </c>
      <c r="H639" s="84">
        <v>3</v>
      </c>
      <c r="I639" s="84" t="s">
        <v>2812</v>
      </c>
      <c r="J639" s="84" t="s">
        <v>2805</v>
      </c>
    </row>
    <row r="640" spans="1:10" ht="12.75" customHeight="1">
      <c r="A640" s="83"/>
      <c r="B640" s="83" t="s">
        <v>2810</v>
      </c>
      <c r="C640" s="84" t="s">
        <v>2805</v>
      </c>
      <c r="D640" s="84" t="s">
        <v>2812</v>
      </c>
      <c r="E640" s="84">
        <v>1</v>
      </c>
      <c r="F640" s="84">
        <v>2</v>
      </c>
      <c r="G640" s="84">
        <v>31</v>
      </c>
      <c r="H640" s="84">
        <v>2</v>
      </c>
      <c r="I640" s="84" t="s">
        <v>2812</v>
      </c>
      <c r="J640" s="84" t="s">
        <v>2805</v>
      </c>
    </row>
    <row r="641" spans="1:10" ht="12.75" customHeight="1">
      <c r="A641" s="83"/>
      <c r="B641" s="83" t="s">
        <v>2811</v>
      </c>
      <c r="C641" s="84" t="s">
        <v>2805</v>
      </c>
      <c r="D641" s="84" t="s">
        <v>2812</v>
      </c>
      <c r="E641" s="84">
        <v>0</v>
      </c>
      <c r="F641" s="84" t="s">
        <v>2812</v>
      </c>
      <c r="G641" s="84" t="s">
        <v>2812</v>
      </c>
      <c r="H641" s="84">
        <v>0</v>
      </c>
      <c r="I641" s="84">
        <v>0</v>
      </c>
      <c r="J641" s="84" t="s">
        <v>2805</v>
      </c>
    </row>
    <row r="642" spans="1:10" ht="12.75" customHeight="1">
      <c r="A642" s="83"/>
      <c r="B642" s="83" t="s">
        <v>2813</v>
      </c>
      <c r="C642" s="84" t="s">
        <v>2805</v>
      </c>
      <c r="D642" s="84">
        <v>3</v>
      </c>
      <c r="E642" s="84">
        <v>0</v>
      </c>
      <c r="F642" s="84">
        <v>3</v>
      </c>
      <c r="G642" s="84">
        <v>4</v>
      </c>
      <c r="H642" s="84" t="s">
        <v>2826</v>
      </c>
      <c r="I642" s="84">
        <v>0</v>
      </c>
      <c r="J642" s="84" t="s">
        <v>2805</v>
      </c>
    </row>
    <row r="643" spans="1:10" ht="12.75" customHeight="1">
      <c r="A643" s="83"/>
      <c r="B643" s="83" t="s">
        <v>2814</v>
      </c>
      <c r="C643" s="84" t="s">
        <v>2805</v>
      </c>
      <c r="D643" s="84" t="s">
        <v>2812</v>
      </c>
      <c r="E643" s="84" t="s">
        <v>2805</v>
      </c>
      <c r="F643" s="84" t="s">
        <v>2805</v>
      </c>
      <c r="G643" s="84" t="s">
        <v>2805</v>
      </c>
      <c r="H643" s="84" t="s">
        <v>2805</v>
      </c>
      <c r="I643" s="84" t="s">
        <v>2805</v>
      </c>
      <c r="J643" s="84" t="s">
        <v>2805</v>
      </c>
    </row>
    <row r="644" spans="1:10" ht="12.75" customHeight="1">
      <c r="A644" s="83"/>
      <c r="B644" s="83" t="s">
        <v>2815</v>
      </c>
      <c r="C644" s="84" t="s">
        <v>2805</v>
      </c>
      <c r="D644" s="84" t="s">
        <v>2812</v>
      </c>
      <c r="E644" s="84">
        <v>0</v>
      </c>
      <c r="F644" s="84" t="s">
        <v>2812</v>
      </c>
      <c r="G644" s="84">
        <v>1</v>
      </c>
      <c r="H644" s="84" t="s">
        <v>2812</v>
      </c>
      <c r="I644" s="84">
        <v>0</v>
      </c>
      <c r="J644" s="84" t="s">
        <v>2805</v>
      </c>
    </row>
    <row r="645" spans="1:10" ht="12.75" customHeight="1">
      <c r="A645" s="83"/>
      <c r="B645" s="81" t="s">
        <v>2816</v>
      </c>
      <c r="C645" s="84" t="s">
        <v>2805</v>
      </c>
      <c r="D645" s="84">
        <v>1</v>
      </c>
      <c r="E645" s="84">
        <v>0</v>
      </c>
      <c r="F645" s="84">
        <v>2</v>
      </c>
      <c r="G645" s="84">
        <v>1</v>
      </c>
      <c r="H645" s="84" t="s">
        <v>2812</v>
      </c>
      <c r="I645" s="84">
        <v>0</v>
      </c>
      <c r="J645" s="84" t="s">
        <v>2805</v>
      </c>
    </row>
    <row r="646" spans="1:10" ht="12.75" customHeight="1">
      <c r="A646" s="83"/>
      <c r="B646" s="83" t="s">
        <v>2817</v>
      </c>
      <c r="C646" s="84" t="s">
        <v>2805</v>
      </c>
      <c r="D646" s="84" t="s">
        <v>2812</v>
      </c>
      <c r="E646" s="84">
        <v>0</v>
      </c>
      <c r="F646" s="84" t="s">
        <v>2812</v>
      </c>
      <c r="G646" s="84">
        <v>1</v>
      </c>
      <c r="H646" s="84" t="s">
        <v>2812</v>
      </c>
      <c r="I646" s="84">
        <v>0</v>
      </c>
      <c r="J646" s="84" t="s">
        <v>2805</v>
      </c>
    </row>
    <row r="647" spans="1:10" ht="12.75" customHeight="1">
      <c r="A647" s="83"/>
      <c r="B647" s="83" t="s">
        <v>2818</v>
      </c>
      <c r="C647" s="84" t="s">
        <v>2805</v>
      </c>
      <c r="D647" s="84" t="s">
        <v>2812</v>
      </c>
      <c r="E647" s="84" t="s">
        <v>2805</v>
      </c>
      <c r="F647" s="84" t="s">
        <v>2805</v>
      </c>
      <c r="G647" s="84" t="s">
        <v>2805</v>
      </c>
      <c r="H647" s="84" t="s">
        <v>2805</v>
      </c>
      <c r="I647" s="84" t="s">
        <v>2805</v>
      </c>
      <c r="J647" s="84" t="s">
        <v>2805</v>
      </c>
    </row>
    <row r="648" spans="1:10" ht="12.75" customHeight="1">
      <c r="A648" s="83"/>
      <c r="B648" s="83" t="s">
        <v>2819</v>
      </c>
      <c r="C648" s="84" t="s">
        <v>2805</v>
      </c>
      <c r="D648" s="84" t="s">
        <v>2812</v>
      </c>
      <c r="E648" s="84">
        <v>0</v>
      </c>
      <c r="F648" s="84" t="s">
        <v>2812</v>
      </c>
      <c r="G648" s="84" t="s">
        <v>2812</v>
      </c>
      <c r="H648" s="84" t="s">
        <v>2812</v>
      </c>
      <c r="I648" s="84">
        <v>0</v>
      </c>
      <c r="J648" s="84" t="s">
        <v>2805</v>
      </c>
    </row>
    <row r="649" spans="1:10" ht="12.75" customHeight="1">
      <c r="A649" s="83"/>
      <c r="B649" s="83" t="s">
        <v>2820</v>
      </c>
      <c r="C649" s="84" t="s">
        <v>2805</v>
      </c>
      <c r="D649" s="84" t="s">
        <v>2812</v>
      </c>
      <c r="E649" s="84" t="s">
        <v>2805</v>
      </c>
      <c r="F649" s="84">
        <v>2</v>
      </c>
      <c r="G649" s="84" t="s">
        <v>2812</v>
      </c>
      <c r="H649" s="84" t="s">
        <v>2812</v>
      </c>
      <c r="I649" s="84" t="s">
        <v>2805</v>
      </c>
      <c r="J649" s="84" t="s">
        <v>2805</v>
      </c>
    </row>
    <row r="650" spans="1:10" ht="12.75" customHeight="1">
      <c r="A650" s="83"/>
      <c r="B650" s="83" t="s">
        <v>2821</v>
      </c>
      <c r="C650" s="84" t="s">
        <v>2805</v>
      </c>
      <c r="D650" s="84" t="s">
        <v>2805</v>
      </c>
      <c r="E650" s="84">
        <v>0</v>
      </c>
      <c r="F650" s="84" t="s">
        <v>2812</v>
      </c>
      <c r="G650" s="84">
        <v>0</v>
      </c>
      <c r="H650" s="84">
        <v>0</v>
      </c>
      <c r="I650" s="84">
        <v>0</v>
      </c>
      <c r="J650" s="84" t="s">
        <v>2805</v>
      </c>
    </row>
    <row r="651" spans="1:10" ht="12.75" customHeight="1">
      <c r="A651" s="83"/>
      <c r="B651" s="83" t="s">
        <v>2822</v>
      </c>
      <c r="C651" s="84" t="s">
        <v>2805</v>
      </c>
      <c r="D651" s="84" t="s">
        <v>2812</v>
      </c>
      <c r="E651" s="84">
        <v>0</v>
      </c>
      <c r="F651" s="84" t="s">
        <v>2826</v>
      </c>
      <c r="G651" s="84" t="s">
        <v>2812</v>
      </c>
      <c r="H651" s="84" t="s">
        <v>2812</v>
      </c>
      <c r="I651" s="84">
        <v>0</v>
      </c>
      <c r="J651" s="84" t="s">
        <v>2805</v>
      </c>
    </row>
    <row r="652" spans="1:10" ht="12.75" customHeight="1">
      <c r="A652" s="83"/>
      <c r="B652" s="81" t="s">
        <v>2823</v>
      </c>
      <c r="C652" s="84">
        <v>6</v>
      </c>
      <c r="D652" s="84" t="s">
        <v>2812</v>
      </c>
      <c r="E652" s="84">
        <v>0</v>
      </c>
      <c r="F652" s="84">
        <v>0</v>
      </c>
      <c r="G652" s="84" t="s">
        <v>2812</v>
      </c>
      <c r="H652" s="84" t="s">
        <v>2812</v>
      </c>
      <c r="I652" s="84">
        <v>0</v>
      </c>
      <c r="J652" s="84">
        <v>6</v>
      </c>
    </row>
    <row r="653" spans="1:10" ht="12.75" customHeight="1">
      <c r="A653" s="83"/>
      <c r="B653" s="81"/>
      <c r="C653" s="84"/>
      <c r="D653" s="84"/>
      <c r="E653" s="84"/>
      <c r="F653" s="84"/>
      <c r="G653" s="84"/>
      <c r="H653" s="84"/>
      <c r="I653" s="84"/>
      <c r="J653" s="84"/>
    </row>
    <row r="654" spans="1:10" s="71" customFormat="1" ht="12.75" customHeight="1">
      <c r="A654" s="81" t="s">
        <v>2881</v>
      </c>
      <c r="B654" s="81" t="s">
        <v>2882</v>
      </c>
      <c r="C654" s="86"/>
      <c r="D654" s="86"/>
      <c r="E654" s="86"/>
      <c r="F654" s="86"/>
      <c r="G654" s="86"/>
      <c r="H654" s="86"/>
      <c r="I654" s="86"/>
      <c r="J654" s="86"/>
    </row>
    <row r="655" spans="1:10" ht="12.75" customHeight="1">
      <c r="A655" s="83"/>
      <c r="B655" s="83"/>
      <c r="C655" s="84"/>
      <c r="D655" s="84"/>
      <c r="E655" s="84"/>
      <c r="F655" s="84"/>
      <c r="G655" s="84"/>
      <c r="H655" s="84"/>
      <c r="I655" s="84"/>
      <c r="J655" s="84"/>
    </row>
    <row r="656" spans="1:10" ht="12.75" customHeight="1">
      <c r="A656" s="83"/>
      <c r="B656" s="83"/>
      <c r="C656" s="84"/>
      <c r="D656" s="84"/>
      <c r="E656" s="84"/>
      <c r="F656" s="84"/>
      <c r="G656" s="84"/>
      <c r="H656" s="84"/>
      <c r="I656" s="84"/>
      <c r="J656" s="84"/>
    </row>
    <row r="657" spans="1:10" ht="12.75" customHeight="1">
      <c r="A657" s="83"/>
      <c r="B657" s="81" t="s">
        <v>2803</v>
      </c>
      <c r="C657" s="84">
        <v>18</v>
      </c>
      <c r="D657" s="84">
        <v>3</v>
      </c>
      <c r="E657" s="84">
        <v>0</v>
      </c>
      <c r="F657" s="84" t="s">
        <v>2812</v>
      </c>
      <c r="G657" s="84">
        <v>14</v>
      </c>
      <c r="H657" s="84" t="s">
        <v>2812</v>
      </c>
      <c r="I657" s="84">
        <v>0</v>
      </c>
      <c r="J657" s="84" t="s">
        <v>2812</v>
      </c>
    </row>
    <row r="658" spans="1:10" ht="12.75" customHeight="1">
      <c r="A658" s="83"/>
      <c r="B658" s="81" t="s">
        <v>2804</v>
      </c>
      <c r="C658" s="84" t="s">
        <v>2805</v>
      </c>
      <c r="D658" s="84" t="s">
        <v>2812</v>
      </c>
      <c r="E658" s="84">
        <v>0</v>
      </c>
      <c r="F658" s="84" t="s">
        <v>2812</v>
      </c>
      <c r="G658" s="84">
        <v>3</v>
      </c>
      <c r="H658" s="84" t="s">
        <v>2812</v>
      </c>
      <c r="I658" s="84">
        <v>0</v>
      </c>
      <c r="J658" s="84" t="s">
        <v>2805</v>
      </c>
    </row>
    <row r="659" spans="1:10" ht="12.75" customHeight="1">
      <c r="A659" s="83"/>
      <c r="B659" s="83" t="s">
        <v>2806</v>
      </c>
      <c r="C659" s="84" t="s">
        <v>2805</v>
      </c>
      <c r="D659" s="84" t="s">
        <v>2812</v>
      </c>
      <c r="E659" s="84">
        <v>0</v>
      </c>
      <c r="F659" s="84" t="s">
        <v>2812</v>
      </c>
      <c r="G659" s="84">
        <v>1</v>
      </c>
      <c r="H659" s="84" t="s">
        <v>2812</v>
      </c>
      <c r="I659" s="84">
        <v>0</v>
      </c>
      <c r="J659" s="84" t="s">
        <v>2805</v>
      </c>
    </row>
    <row r="660" spans="1:10" ht="12.75" customHeight="1">
      <c r="A660" s="83"/>
      <c r="B660" s="83" t="s">
        <v>2807</v>
      </c>
      <c r="C660" s="84" t="s">
        <v>2805</v>
      </c>
      <c r="D660" s="84">
        <v>0</v>
      </c>
      <c r="E660" s="84">
        <v>0</v>
      </c>
      <c r="F660" s="84" t="s">
        <v>2812</v>
      </c>
      <c r="G660" s="84">
        <v>2</v>
      </c>
      <c r="H660" s="84" t="s">
        <v>2812</v>
      </c>
      <c r="I660" s="84">
        <v>0</v>
      </c>
      <c r="J660" s="84" t="s">
        <v>2805</v>
      </c>
    </row>
    <row r="661" spans="1:10" ht="12.75" customHeight="1">
      <c r="A661" s="83"/>
      <c r="B661" s="81" t="s">
        <v>2808</v>
      </c>
      <c r="C661" s="84" t="s">
        <v>2805</v>
      </c>
      <c r="D661" s="84">
        <v>2</v>
      </c>
      <c r="E661" s="84">
        <v>0</v>
      </c>
      <c r="F661" s="84" t="s">
        <v>2812</v>
      </c>
      <c r="G661" s="84">
        <v>10</v>
      </c>
      <c r="H661" s="84" t="s">
        <v>2812</v>
      </c>
      <c r="I661" s="84">
        <v>0</v>
      </c>
      <c r="J661" s="84" t="s">
        <v>2805</v>
      </c>
    </row>
    <row r="662" spans="1:10" ht="12.75" customHeight="1">
      <c r="A662" s="83"/>
      <c r="B662" s="83" t="s">
        <v>2810</v>
      </c>
      <c r="C662" s="84" t="s">
        <v>2805</v>
      </c>
      <c r="D662" s="84" t="s">
        <v>2812</v>
      </c>
      <c r="E662" s="84">
        <v>0</v>
      </c>
      <c r="F662" s="84" t="s">
        <v>2812</v>
      </c>
      <c r="G662" s="84">
        <v>8</v>
      </c>
      <c r="H662" s="84" t="s">
        <v>2812</v>
      </c>
      <c r="I662" s="84">
        <v>0</v>
      </c>
      <c r="J662" s="84" t="s">
        <v>2805</v>
      </c>
    </row>
    <row r="663" spans="1:10" ht="12.75" customHeight="1">
      <c r="A663" s="83"/>
      <c r="B663" s="83" t="s">
        <v>2811</v>
      </c>
      <c r="C663" s="84" t="s">
        <v>2805</v>
      </c>
      <c r="D663" s="84" t="s">
        <v>2812</v>
      </c>
      <c r="E663" s="84">
        <v>0</v>
      </c>
      <c r="F663" s="84">
        <v>0</v>
      </c>
      <c r="G663" s="84" t="s">
        <v>2812</v>
      </c>
      <c r="H663" s="84" t="s">
        <v>2812</v>
      </c>
      <c r="I663" s="84">
        <v>0</v>
      </c>
      <c r="J663" s="84" t="s">
        <v>2805</v>
      </c>
    </row>
    <row r="664" spans="1:10" ht="12.75" customHeight="1">
      <c r="A664" s="83"/>
      <c r="B664" s="83" t="s">
        <v>2813</v>
      </c>
      <c r="C664" s="84" t="s">
        <v>2805</v>
      </c>
      <c r="D664" s="84">
        <v>2</v>
      </c>
      <c r="E664" s="84">
        <v>0</v>
      </c>
      <c r="F664" s="84" t="s">
        <v>2812</v>
      </c>
      <c r="G664" s="84">
        <v>1</v>
      </c>
      <c r="H664" s="84" t="s">
        <v>2812</v>
      </c>
      <c r="I664" s="84">
        <v>0</v>
      </c>
      <c r="J664" s="84" t="s">
        <v>2805</v>
      </c>
    </row>
    <row r="665" spans="1:10" ht="12.75" customHeight="1">
      <c r="A665" s="83"/>
      <c r="B665" s="83" t="s">
        <v>2814</v>
      </c>
      <c r="C665" s="84" t="s">
        <v>2805</v>
      </c>
      <c r="D665" s="84" t="s">
        <v>2812</v>
      </c>
      <c r="E665" s="84" t="s">
        <v>2805</v>
      </c>
      <c r="F665" s="84" t="s">
        <v>2805</v>
      </c>
      <c r="G665" s="84" t="s">
        <v>2805</v>
      </c>
      <c r="H665" s="84" t="s">
        <v>2805</v>
      </c>
      <c r="I665" s="84" t="s">
        <v>2805</v>
      </c>
      <c r="J665" s="84" t="s">
        <v>2805</v>
      </c>
    </row>
    <row r="666" spans="1:10" ht="12.75" customHeight="1">
      <c r="A666" s="83"/>
      <c r="B666" s="83" t="s">
        <v>2815</v>
      </c>
      <c r="C666" s="84" t="s">
        <v>2805</v>
      </c>
      <c r="D666" s="84" t="s">
        <v>2812</v>
      </c>
      <c r="E666" s="84">
        <v>0</v>
      </c>
      <c r="F666" s="84" t="s">
        <v>2812</v>
      </c>
      <c r="G666" s="84" t="s">
        <v>2812</v>
      </c>
      <c r="H666" s="84" t="s">
        <v>2812</v>
      </c>
      <c r="I666" s="84">
        <v>0</v>
      </c>
      <c r="J666" s="84" t="s">
        <v>2805</v>
      </c>
    </row>
    <row r="667" spans="1:10" ht="12.75" customHeight="1">
      <c r="A667" s="83"/>
      <c r="B667" s="81" t="s">
        <v>2816</v>
      </c>
      <c r="C667" s="84" t="s">
        <v>2805</v>
      </c>
      <c r="D667" s="84">
        <v>1</v>
      </c>
      <c r="E667" s="84">
        <v>0</v>
      </c>
      <c r="F667" s="84" t="s">
        <v>2812</v>
      </c>
      <c r="G667" s="84">
        <v>1</v>
      </c>
      <c r="H667" s="84" t="s">
        <v>2812</v>
      </c>
      <c r="I667" s="84">
        <v>0</v>
      </c>
      <c r="J667" s="84" t="s">
        <v>2805</v>
      </c>
    </row>
    <row r="668" spans="1:10" ht="12.75" customHeight="1">
      <c r="A668" s="83"/>
      <c r="B668" s="83" t="s">
        <v>2817</v>
      </c>
      <c r="C668" s="84" t="s">
        <v>2805</v>
      </c>
      <c r="D668" s="84" t="s">
        <v>2812</v>
      </c>
      <c r="E668" s="84">
        <v>0</v>
      </c>
      <c r="F668" s="84" t="s">
        <v>2812</v>
      </c>
      <c r="G668" s="84">
        <v>1</v>
      </c>
      <c r="H668" s="84" t="s">
        <v>2812</v>
      </c>
      <c r="I668" s="84">
        <v>0</v>
      </c>
      <c r="J668" s="84" t="s">
        <v>2805</v>
      </c>
    </row>
    <row r="669" spans="1:10" ht="12.75" customHeight="1">
      <c r="A669" s="83"/>
      <c r="B669" s="83" t="s">
        <v>2818</v>
      </c>
      <c r="C669" s="84" t="s">
        <v>2805</v>
      </c>
      <c r="D669" s="84" t="s">
        <v>2812</v>
      </c>
      <c r="E669" s="84" t="s">
        <v>2805</v>
      </c>
      <c r="F669" s="84" t="s">
        <v>2805</v>
      </c>
      <c r="G669" s="84" t="s">
        <v>2805</v>
      </c>
      <c r="H669" s="84" t="s">
        <v>2805</v>
      </c>
      <c r="I669" s="84" t="s">
        <v>2805</v>
      </c>
      <c r="J669" s="84" t="s">
        <v>2805</v>
      </c>
    </row>
    <row r="670" spans="1:10" ht="12.75" customHeight="1">
      <c r="A670" s="83"/>
      <c r="B670" s="83" t="s">
        <v>2819</v>
      </c>
      <c r="C670" s="84" t="s">
        <v>2805</v>
      </c>
      <c r="D670" s="84" t="s">
        <v>2812</v>
      </c>
      <c r="E670" s="84">
        <v>0</v>
      </c>
      <c r="F670" s="84" t="s">
        <v>2812</v>
      </c>
      <c r="G670" s="84" t="s">
        <v>2812</v>
      </c>
      <c r="H670" s="84" t="s">
        <v>2812</v>
      </c>
      <c r="I670" s="84">
        <v>0</v>
      </c>
      <c r="J670" s="84" t="s">
        <v>2805</v>
      </c>
    </row>
    <row r="671" spans="1:10" ht="12.75" customHeight="1">
      <c r="A671" s="83"/>
      <c r="B671" s="83" t="s">
        <v>2820</v>
      </c>
      <c r="C671" s="84" t="s">
        <v>2805</v>
      </c>
      <c r="D671" s="84" t="s">
        <v>2812</v>
      </c>
      <c r="E671" s="84" t="s">
        <v>2805</v>
      </c>
      <c r="F671" s="84" t="s">
        <v>2812</v>
      </c>
      <c r="G671" s="84" t="s">
        <v>2812</v>
      </c>
      <c r="H671" s="84" t="s">
        <v>2812</v>
      </c>
      <c r="I671" s="84" t="s">
        <v>2805</v>
      </c>
      <c r="J671" s="84" t="s">
        <v>2805</v>
      </c>
    </row>
    <row r="672" spans="1:10" ht="12.75" customHeight="1">
      <c r="A672" s="83"/>
      <c r="B672" s="83" t="s">
        <v>2821</v>
      </c>
      <c r="C672" s="84" t="s">
        <v>2805</v>
      </c>
      <c r="D672" s="84" t="s">
        <v>2805</v>
      </c>
      <c r="E672" s="84">
        <v>0</v>
      </c>
      <c r="F672" s="84" t="s">
        <v>2812</v>
      </c>
      <c r="G672" s="84" t="s">
        <v>2812</v>
      </c>
      <c r="H672" s="84">
        <v>0</v>
      </c>
      <c r="I672" s="84">
        <v>0</v>
      </c>
      <c r="J672" s="84" t="s">
        <v>2805</v>
      </c>
    </row>
    <row r="673" spans="1:10" ht="12.75" customHeight="1">
      <c r="A673" s="83"/>
      <c r="B673" s="83" t="s">
        <v>2822</v>
      </c>
      <c r="C673" s="84" t="s">
        <v>2805</v>
      </c>
      <c r="D673" s="84" t="s">
        <v>2812</v>
      </c>
      <c r="E673" s="84">
        <v>0</v>
      </c>
      <c r="F673" s="84" t="s">
        <v>2812</v>
      </c>
      <c r="G673" s="84" t="s">
        <v>2812</v>
      </c>
      <c r="H673" s="84" t="s">
        <v>2812</v>
      </c>
      <c r="I673" s="84">
        <v>0</v>
      </c>
      <c r="J673" s="84" t="s">
        <v>2805</v>
      </c>
    </row>
    <row r="674" spans="1:10" ht="12.75" customHeight="1">
      <c r="A674" s="83"/>
      <c r="B674" s="81" t="s">
        <v>2823</v>
      </c>
      <c r="C674" s="84" t="s">
        <v>2812</v>
      </c>
      <c r="D674" s="84" t="s">
        <v>2812</v>
      </c>
      <c r="E674" s="84">
        <v>0</v>
      </c>
      <c r="F674" s="84">
        <v>0</v>
      </c>
      <c r="G674" s="84">
        <v>0</v>
      </c>
      <c r="H674" s="84" t="s">
        <v>2812</v>
      </c>
      <c r="I674" s="84">
        <v>0</v>
      </c>
      <c r="J674" s="84" t="s">
        <v>2812</v>
      </c>
    </row>
    <row r="675" spans="1:10" ht="12.75" customHeight="1">
      <c r="A675" s="83"/>
      <c r="B675" s="81"/>
      <c r="C675" s="84"/>
      <c r="D675" s="84"/>
      <c r="E675" s="84"/>
      <c r="F675" s="84"/>
      <c r="G675" s="84"/>
      <c r="H675" s="84"/>
      <c r="I675" s="84"/>
      <c r="J675" s="84"/>
    </row>
    <row r="676" spans="1:10" s="71" customFormat="1" ht="12.75" customHeight="1">
      <c r="A676" s="81" t="s">
        <v>2883</v>
      </c>
      <c r="B676" s="81" t="s">
        <v>2884</v>
      </c>
      <c r="C676" s="86"/>
      <c r="D676" s="86"/>
      <c r="E676" s="86"/>
      <c r="F676" s="86"/>
      <c r="G676" s="86"/>
      <c r="H676" s="86"/>
      <c r="I676" s="86"/>
      <c r="J676" s="86"/>
    </row>
    <row r="677" spans="1:10" ht="12.75" customHeight="1">
      <c r="A677" s="83"/>
      <c r="B677" s="83"/>
      <c r="C677" s="84"/>
      <c r="D677" s="84"/>
      <c r="E677" s="84"/>
      <c r="F677" s="84"/>
      <c r="G677" s="84"/>
      <c r="H677" s="84"/>
      <c r="I677" s="84"/>
      <c r="J677" s="84"/>
    </row>
    <row r="678" spans="1:10" ht="12.75" customHeight="1">
      <c r="A678" s="83"/>
      <c r="B678" s="83"/>
      <c r="C678" s="84"/>
      <c r="D678" s="84"/>
      <c r="E678" s="84"/>
      <c r="F678" s="84"/>
      <c r="G678" s="84"/>
      <c r="H678" s="84"/>
      <c r="I678" s="84"/>
      <c r="J678" s="84"/>
    </row>
    <row r="679" spans="1:10" ht="12.75" customHeight="1">
      <c r="A679" s="83"/>
      <c r="B679" s="81" t="s">
        <v>2803</v>
      </c>
      <c r="C679" s="84">
        <v>25</v>
      </c>
      <c r="D679" s="84">
        <v>5</v>
      </c>
      <c r="E679" s="84">
        <v>0</v>
      </c>
      <c r="F679" s="84" t="s">
        <v>2812</v>
      </c>
      <c r="G679" s="84">
        <v>19</v>
      </c>
      <c r="H679" s="84" t="s">
        <v>2812</v>
      </c>
      <c r="I679" s="84">
        <v>0</v>
      </c>
      <c r="J679" s="84">
        <v>1</v>
      </c>
    </row>
    <row r="680" spans="1:10" ht="12.75" customHeight="1">
      <c r="A680" s="83"/>
      <c r="B680" s="81" t="s">
        <v>2804</v>
      </c>
      <c r="C680" s="84" t="s">
        <v>2805</v>
      </c>
      <c r="D680" s="84" t="s">
        <v>2812</v>
      </c>
      <c r="E680" s="84">
        <v>0</v>
      </c>
      <c r="F680" s="84" t="s">
        <v>2812</v>
      </c>
      <c r="G680" s="84">
        <v>10</v>
      </c>
      <c r="H680" s="84" t="s">
        <v>2812</v>
      </c>
      <c r="I680" s="84">
        <v>0</v>
      </c>
      <c r="J680" s="84" t="s">
        <v>2805</v>
      </c>
    </row>
    <row r="681" spans="1:10" ht="12.75" customHeight="1">
      <c r="A681" s="83"/>
      <c r="B681" s="83" t="s">
        <v>2806</v>
      </c>
      <c r="C681" s="84" t="s">
        <v>2805</v>
      </c>
      <c r="D681" s="84" t="s">
        <v>2812</v>
      </c>
      <c r="E681" s="84">
        <v>0</v>
      </c>
      <c r="F681" s="84" t="s">
        <v>2812</v>
      </c>
      <c r="G681" s="84">
        <v>2</v>
      </c>
      <c r="H681" s="84">
        <v>0</v>
      </c>
      <c r="I681" s="84">
        <v>0</v>
      </c>
      <c r="J681" s="84" t="s">
        <v>2805</v>
      </c>
    </row>
    <row r="682" spans="1:10" ht="12.75" customHeight="1">
      <c r="A682" s="83"/>
      <c r="B682" s="83" t="s">
        <v>2807</v>
      </c>
      <c r="C682" s="84" t="s">
        <v>2805</v>
      </c>
      <c r="D682" s="84">
        <v>0</v>
      </c>
      <c r="E682" s="84">
        <v>0</v>
      </c>
      <c r="F682" s="84" t="s">
        <v>2812</v>
      </c>
      <c r="G682" s="84">
        <v>9</v>
      </c>
      <c r="H682" s="84" t="s">
        <v>2812</v>
      </c>
      <c r="I682" s="84">
        <v>0</v>
      </c>
      <c r="J682" s="84" t="s">
        <v>2805</v>
      </c>
    </row>
    <row r="683" spans="1:10" ht="12.75" customHeight="1">
      <c r="A683" s="83"/>
      <c r="B683" s="81" t="s">
        <v>2808</v>
      </c>
      <c r="C683" s="84" t="s">
        <v>2805</v>
      </c>
      <c r="D683" s="84">
        <v>4</v>
      </c>
      <c r="E683" s="84">
        <v>0</v>
      </c>
      <c r="F683" s="84" t="s">
        <v>2812</v>
      </c>
      <c r="G683" s="84">
        <v>8</v>
      </c>
      <c r="H683" s="84" t="s">
        <v>2812</v>
      </c>
      <c r="I683" s="84">
        <v>0</v>
      </c>
      <c r="J683" s="84" t="s">
        <v>2805</v>
      </c>
    </row>
    <row r="684" spans="1:10" ht="12.75" customHeight="1">
      <c r="A684" s="83"/>
      <c r="B684" s="83" t="s">
        <v>2810</v>
      </c>
      <c r="C684" s="84" t="s">
        <v>2805</v>
      </c>
      <c r="D684" s="84" t="s">
        <v>2812</v>
      </c>
      <c r="E684" s="84">
        <v>0</v>
      </c>
      <c r="F684" s="84" t="s">
        <v>2812</v>
      </c>
      <c r="G684" s="84">
        <v>7</v>
      </c>
      <c r="H684" s="84" t="s">
        <v>2812</v>
      </c>
      <c r="I684" s="84">
        <v>0</v>
      </c>
      <c r="J684" s="84" t="s">
        <v>2805</v>
      </c>
    </row>
    <row r="685" spans="1:10" ht="12.75" customHeight="1">
      <c r="A685" s="83"/>
      <c r="B685" s="83" t="s">
        <v>2811</v>
      </c>
      <c r="C685" s="84" t="s">
        <v>2805</v>
      </c>
      <c r="D685" s="84" t="s">
        <v>2812</v>
      </c>
      <c r="E685" s="84">
        <v>0</v>
      </c>
      <c r="F685" s="84">
        <v>0</v>
      </c>
      <c r="G685" s="84" t="s">
        <v>2812</v>
      </c>
      <c r="H685" s="84" t="s">
        <v>2812</v>
      </c>
      <c r="I685" s="84">
        <v>0</v>
      </c>
      <c r="J685" s="84" t="s">
        <v>2805</v>
      </c>
    </row>
    <row r="686" spans="1:10" ht="12.75" customHeight="1">
      <c r="A686" s="83"/>
      <c r="B686" s="83" t="s">
        <v>2813</v>
      </c>
      <c r="C686" s="84" t="s">
        <v>2805</v>
      </c>
      <c r="D686" s="84">
        <v>3</v>
      </c>
      <c r="E686" s="84">
        <v>0</v>
      </c>
      <c r="F686" s="84" t="s">
        <v>2812</v>
      </c>
      <c r="G686" s="84" t="s">
        <v>2812</v>
      </c>
      <c r="H686" s="84" t="s">
        <v>2812</v>
      </c>
      <c r="I686" s="84">
        <v>0</v>
      </c>
      <c r="J686" s="84" t="s">
        <v>2805</v>
      </c>
    </row>
    <row r="687" spans="1:10" ht="12.75" customHeight="1">
      <c r="A687" s="83"/>
      <c r="B687" s="83" t="s">
        <v>2814</v>
      </c>
      <c r="C687" s="84" t="s">
        <v>2805</v>
      </c>
      <c r="D687" s="84" t="s">
        <v>2812</v>
      </c>
      <c r="E687" s="84" t="s">
        <v>2805</v>
      </c>
      <c r="F687" s="84" t="s">
        <v>2805</v>
      </c>
      <c r="G687" s="84" t="s">
        <v>2805</v>
      </c>
      <c r="H687" s="84" t="s">
        <v>2805</v>
      </c>
      <c r="I687" s="84" t="s">
        <v>2805</v>
      </c>
      <c r="J687" s="84" t="s">
        <v>2805</v>
      </c>
    </row>
    <row r="688" spans="1:10" ht="12.75" customHeight="1">
      <c r="A688" s="83"/>
      <c r="B688" s="83" t="s">
        <v>2815</v>
      </c>
      <c r="C688" s="84" t="s">
        <v>2805</v>
      </c>
      <c r="D688" s="84" t="s">
        <v>2812</v>
      </c>
      <c r="E688" s="84">
        <v>0</v>
      </c>
      <c r="F688" s="84" t="s">
        <v>2812</v>
      </c>
      <c r="G688" s="84" t="s">
        <v>2812</v>
      </c>
      <c r="H688" s="84" t="s">
        <v>2812</v>
      </c>
      <c r="I688" s="84">
        <v>0</v>
      </c>
      <c r="J688" s="84" t="s">
        <v>2805</v>
      </c>
    </row>
    <row r="689" spans="1:10" ht="12.75" customHeight="1">
      <c r="A689" s="83"/>
      <c r="B689" s="81" t="s">
        <v>2816</v>
      </c>
      <c r="C689" s="84" t="s">
        <v>2805</v>
      </c>
      <c r="D689" s="84">
        <v>1</v>
      </c>
      <c r="E689" s="84">
        <v>0</v>
      </c>
      <c r="F689" s="84" t="s">
        <v>2812</v>
      </c>
      <c r="G689" s="84">
        <v>1</v>
      </c>
      <c r="H689" s="84" t="s">
        <v>2812</v>
      </c>
      <c r="I689" s="84">
        <v>0</v>
      </c>
      <c r="J689" s="84" t="s">
        <v>2805</v>
      </c>
    </row>
    <row r="690" spans="1:10" ht="12.75" customHeight="1">
      <c r="A690" s="83"/>
      <c r="B690" s="83" t="s">
        <v>2817</v>
      </c>
      <c r="C690" s="84" t="s">
        <v>2805</v>
      </c>
      <c r="D690" s="84" t="s">
        <v>2812</v>
      </c>
      <c r="E690" s="84">
        <v>0</v>
      </c>
      <c r="F690" s="84" t="s">
        <v>2812</v>
      </c>
      <c r="G690" s="84">
        <v>1</v>
      </c>
      <c r="H690" s="84" t="s">
        <v>2812</v>
      </c>
      <c r="I690" s="84">
        <v>0</v>
      </c>
      <c r="J690" s="84" t="s">
        <v>2805</v>
      </c>
    </row>
    <row r="691" spans="1:10" ht="12.75" customHeight="1">
      <c r="A691" s="83"/>
      <c r="B691" s="83" t="s">
        <v>2818</v>
      </c>
      <c r="C691" s="84" t="s">
        <v>2805</v>
      </c>
      <c r="D691" s="84" t="s">
        <v>2812</v>
      </c>
      <c r="E691" s="84" t="s">
        <v>2805</v>
      </c>
      <c r="F691" s="84" t="s">
        <v>2805</v>
      </c>
      <c r="G691" s="84" t="s">
        <v>2805</v>
      </c>
      <c r="H691" s="84" t="s">
        <v>2805</v>
      </c>
      <c r="I691" s="84" t="s">
        <v>2805</v>
      </c>
      <c r="J691" s="84" t="s">
        <v>2805</v>
      </c>
    </row>
    <row r="692" spans="1:10" ht="12.75" customHeight="1">
      <c r="A692" s="83"/>
      <c r="B692" s="83" t="s">
        <v>2819</v>
      </c>
      <c r="C692" s="84" t="s">
        <v>2805</v>
      </c>
      <c r="D692" s="84" t="s">
        <v>2812</v>
      </c>
      <c r="E692" s="84">
        <v>0</v>
      </c>
      <c r="F692" s="84" t="s">
        <v>2812</v>
      </c>
      <c r="G692" s="84" t="s">
        <v>2812</v>
      </c>
      <c r="H692" s="84" t="s">
        <v>2812</v>
      </c>
      <c r="I692" s="84">
        <v>0</v>
      </c>
      <c r="J692" s="84" t="s">
        <v>2805</v>
      </c>
    </row>
    <row r="693" spans="1:10" ht="12.75" customHeight="1">
      <c r="A693" s="83"/>
      <c r="B693" s="83" t="s">
        <v>2820</v>
      </c>
      <c r="C693" s="84" t="s">
        <v>2805</v>
      </c>
      <c r="D693" s="84" t="s">
        <v>2812</v>
      </c>
      <c r="E693" s="84" t="s">
        <v>2805</v>
      </c>
      <c r="F693" s="84" t="s">
        <v>2812</v>
      </c>
      <c r="G693" s="84" t="s">
        <v>2812</v>
      </c>
      <c r="H693" s="84" t="s">
        <v>2812</v>
      </c>
      <c r="I693" s="84" t="s">
        <v>2805</v>
      </c>
      <c r="J693" s="84" t="s">
        <v>2805</v>
      </c>
    </row>
    <row r="694" spans="1:10" ht="12.75" customHeight="1">
      <c r="A694" s="83"/>
      <c r="B694" s="83" t="s">
        <v>2821</v>
      </c>
      <c r="C694" s="84" t="s">
        <v>2805</v>
      </c>
      <c r="D694" s="84" t="s">
        <v>2805</v>
      </c>
      <c r="E694" s="84">
        <v>0</v>
      </c>
      <c r="F694" s="84" t="s">
        <v>2812</v>
      </c>
      <c r="G694" s="84" t="s">
        <v>2812</v>
      </c>
      <c r="H694" s="84">
        <v>0</v>
      </c>
      <c r="I694" s="84">
        <v>0</v>
      </c>
      <c r="J694" s="84" t="s">
        <v>2805</v>
      </c>
    </row>
    <row r="695" spans="1:10" ht="12.75" customHeight="1">
      <c r="A695" s="83"/>
      <c r="B695" s="83" t="s">
        <v>2822</v>
      </c>
      <c r="C695" s="84" t="s">
        <v>2805</v>
      </c>
      <c r="D695" s="84" t="s">
        <v>2812</v>
      </c>
      <c r="E695" s="84">
        <v>0</v>
      </c>
      <c r="F695" s="84" t="s">
        <v>2812</v>
      </c>
      <c r="G695" s="84" t="s">
        <v>2812</v>
      </c>
      <c r="H695" s="84" t="s">
        <v>2812</v>
      </c>
      <c r="I695" s="84">
        <v>0</v>
      </c>
      <c r="J695" s="84" t="s">
        <v>2805</v>
      </c>
    </row>
    <row r="696" spans="1:10" ht="12.75" customHeight="1">
      <c r="A696" s="83"/>
      <c r="B696" s="81" t="s">
        <v>2823</v>
      </c>
      <c r="C696" s="84">
        <v>1</v>
      </c>
      <c r="D696" s="84" t="s">
        <v>2812</v>
      </c>
      <c r="E696" s="84">
        <v>0</v>
      </c>
      <c r="F696" s="84" t="s">
        <v>2812</v>
      </c>
      <c r="G696" s="84">
        <v>0</v>
      </c>
      <c r="H696" s="84" t="s">
        <v>2812</v>
      </c>
      <c r="I696" s="84">
        <v>0</v>
      </c>
      <c r="J696" s="84">
        <v>1</v>
      </c>
    </row>
    <row r="697" spans="1:10" ht="12.75" customHeight="1">
      <c r="A697" s="83"/>
      <c r="B697" s="81"/>
      <c r="C697" s="84"/>
      <c r="D697" s="84"/>
      <c r="E697" s="84"/>
      <c r="F697" s="84"/>
      <c r="G697" s="84"/>
      <c r="H697" s="84"/>
      <c r="I697" s="84"/>
      <c r="J697" s="84"/>
    </row>
    <row r="698" spans="1:10" s="71" customFormat="1" ht="12.75" customHeight="1">
      <c r="A698" s="81" t="s">
        <v>2885</v>
      </c>
      <c r="B698" s="81" t="s">
        <v>2886</v>
      </c>
      <c r="C698" s="86"/>
      <c r="D698" s="86"/>
      <c r="E698" s="86"/>
      <c r="F698" s="86"/>
      <c r="G698" s="86"/>
      <c r="H698" s="86"/>
      <c r="I698" s="86"/>
      <c r="J698" s="86"/>
    </row>
    <row r="699" spans="1:10" s="71" customFormat="1" ht="12.75" customHeight="1">
      <c r="A699" s="81"/>
      <c r="B699" s="81"/>
      <c r="C699" s="86"/>
      <c r="D699" s="86"/>
      <c r="E699" s="86"/>
      <c r="F699" s="86"/>
      <c r="G699" s="86"/>
      <c r="H699" s="86"/>
      <c r="I699" s="86"/>
      <c r="J699" s="86"/>
    </row>
    <row r="700" spans="1:10" s="71" customFormat="1" ht="12.75" customHeight="1">
      <c r="A700" s="81"/>
      <c r="B700" s="81"/>
      <c r="C700" s="86"/>
      <c r="D700" s="86"/>
      <c r="E700" s="86"/>
      <c r="F700" s="86"/>
      <c r="G700" s="86"/>
      <c r="H700" s="86"/>
      <c r="I700" s="86"/>
      <c r="J700" s="86"/>
    </row>
    <row r="701" spans="1:10" ht="12.75" customHeight="1">
      <c r="A701" s="83"/>
      <c r="B701" s="81" t="s">
        <v>2803</v>
      </c>
      <c r="C701" s="84">
        <v>35</v>
      </c>
      <c r="D701" s="84" t="s">
        <v>2812</v>
      </c>
      <c r="E701" s="84">
        <v>0</v>
      </c>
      <c r="F701" s="84" t="s">
        <v>2812</v>
      </c>
      <c r="G701" s="84">
        <v>8</v>
      </c>
      <c r="H701" s="84" t="s">
        <v>2812</v>
      </c>
      <c r="I701" s="84">
        <v>0</v>
      </c>
      <c r="J701" s="84">
        <v>27</v>
      </c>
    </row>
    <row r="702" spans="1:10" ht="12.75" customHeight="1">
      <c r="A702" s="83"/>
      <c r="B702" s="81" t="s">
        <v>2804</v>
      </c>
      <c r="C702" s="84" t="s">
        <v>2805</v>
      </c>
      <c r="D702" s="84" t="s">
        <v>2812</v>
      </c>
      <c r="E702" s="84">
        <v>0</v>
      </c>
      <c r="F702" s="84" t="s">
        <v>2812</v>
      </c>
      <c r="G702" s="84">
        <v>1</v>
      </c>
      <c r="H702" s="84">
        <v>0</v>
      </c>
      <c r="I702" s="84">
        <v>0</v>
      </c>
      <c r="J702" s="84" t="s">
        <v>2805</v>
      </c>
    </row>
    <row r="703" spans="1:10" ht="12.75" customHeight="1">
      <c r="A703" s="83"/>
      <c r="B703" s="83" t="s">
        <v>2806</v>
      </c>
      <c r="C703" s="84" t="s">
        <v>2805</v>
      </c>
      <c r="D703" s="84" t="s">
        <v>2812</v>
      </c>
      <c r="E703" s="84">
        <v>0</v>
      </c>
      <c r="F703" s="84" t="s">
        <v>2812</v>
      </c>
      <c r="G703" s="84">
        <v>1</v>
      </c>
      <c r="H703" s="84">
        <v>0</v>
      </c>
      <c r="I703" s="84">
        <v>0</v>
      </c>
      <c r="J703" s="84" t="s">
        <v>2805</v>
      </c>
    </row>
    <row r="704" spans="1:10" ht="12.75" customHeight="1">
      <c r="A704" s="83"/>
      <c r="B704" s="83" t="s">
        <v>2807</v>
      </c>
      <c r="C704" s="84" t="s">
        <v>2805</v>
      </c>
      <c r="D704" s="84">
        <v>0</v>
      </c>
      <c r="E704" s="84">
        <v>0</v>
      </c>
      <c r="F704" s="84">
        <v>0</v>
      </c>
      <c r="G704" s="84" t="s">
        <v>2812</v>
      </c>
      <c r="H704" s="84">
        <v>0</v>
      </c>
      <c r="I704" s="84">
        <v>0</v>
      </c>
      <c r="J704" s="84" t="s">
        <v>2805</v>
      </c>
    </row>
    <row r="705" spans="1:10" ht="12.75" customHeight="1">
      <c r="A705" s="83"/>
      <c r="B705" s="81" t="s">
        <v>2808</v>
      </c>
      <c r="C705" s="84" t="s">
        <v>2805</v>
      </c>
      <c r="D705" s="84" t="s">
        <v>2812</v>
      </c>
      <c r="E705" s="84">
        <v>0</v>
      </c>
      <c r="F705" s="84" t="s">
        <v>2812</v>
      </c>
      <c r="G705" s="84">
        <v>6</v>
      </c>
      <c r="H705" s="84" t="s">
        <v>2812</v>
      </c>
      <c r="I705" s="84">
        <v>0</v>
      </c>
      <c r="J705" s="84" t="s">
        <v>2805</v>
      </c>
    </row>
    <row r="706" spans="1:10" ht="12.75" customHeight="1">
      <c r="A706" s="83"/>
      <c r="B706" s="83" t="s">
        <v>2810</v>
      </c>
      <c r="C706" s="84" t="s">
        <v>2805</v>
      </c>
      <c r="D706" s="84" t="s">
        <v>2812</v>
      </c>
      <c r="E706" s="84">
        <v>0</v>
      </c>
      <c r="F706" s="84" t="s">
        <v>2812</v>
      </c>
      <c r="G706" s="84">
        <v>5</v>
      </c>
      <c r="H706" s="84" t="s">
        <v>2812</v>
      </c>
      <c r="I706" s="84">
        <v>0</v>
      </c>
      <c r="J706" s="84" t="s">
        <v>2805</v>
      </c>
    </row>
    <row r="707" spans="1:10" ht="12.75" customHeight="1">
      <c r="A707" s="83"/>
      <c r="B707" s="83" t="s">
        <v>2811</v>
      </c>
      <c r="C707" s="84" t="s">
        <v>2805</v>
      </c>
      <c r="D707" s="84" t="s">
        <v>2812</v>
      </c>
      <c r="E707" s="84">
        <v>0</v>
      </c>
      <c r="F707" s="84">
        <v>0</v>
      </c>
      <c r="G707" s="84">
        <v>0</v>
      </c>
      <c r="H707" s="84">
        <v>0</v>
      </c>
      <c r="I707" s="84">
        <v>0</v>
      </c>
      <c r="J707" s="84" t="s">
        <v>2805</v>
      </c>
    </row>
    <row r="708" spans="1:10" ht="12.75" customHeight="1">
      <c r="A708" s="83"/>
      <c r="B708" s="83" t="s">
        <v>2813</v>
      </c>
      <c r="C708" s="84" t="s">
        <v>2805</v>
      </c>
      <c r="D708" s="84" t="s">
        <v>2812</v>
      </c>
      <c r="E708" s="84">
        <v>0</v>
      </c>
      <c r="F708" s="84" t="s">
        <v>2812</v>
      </c>
      <c r="G708" s="84" t="s">
        <v>2812</v>
      </c>
      <c r="H708" s="84" t="s">
        <v>2812</v>
      </c>
      <c r="I708" s="84">
        <v>0</v>
      </c>
      <c r="J708" s="84" t="s">
        <v>2805</v>
      </c>
    </row>
    <row r="709" spans="1:10" ht="12.75" customHeight="1">
      <c r="A709" s="83"/>
      <c r="B709" s="83" t="s">
        <v>2814</v>
      </c>
      <c r="C709" s="84" t="s">
        <v>2805</v>
      </c>
      <c r="D709" s="84" t="s">
        <v>2812</v>
      </c>
      <c r="E709" s="84" t="s">
        <v>2805</v>
      </c>
      <c r="F709" s="84" t="s">
        <v>2805</v>
      </c>
      <c r="G709" s="84" t="s">
        <v>2805</v>
      </c>
      <c r="H709" s="84" t="s">
        <v>2805</v>
      </c>
      <c r="I709" s="84" t="s">
        <v>2805</v>
      </c>
      <c r="J709" s="84" t="s">
        <v>2805</v>
      </c>
    </row>
    <row r="710" spans="1:10" ht="12.75" customHeight="1">
      <c r="A710" s="83"/>
      <c r="B710" s="83" t="s">
        <v>2815</v>
      </c>
      <c r="C710" s="84" t="s">
        <v>2805</v>
      </c>
      <c r="D710" s="84" t="s">
        <v>2812</v>
      </c>
      <c r="E710" s="84">
        <v>0</v>
      </c>
      <c r="F710" s="84" t="s">
        <v>2812</v>
      </c>
      <c r="G710" s="84">
        <v>1</v>
      </c>
      <c r="H710" s="84">
        <v>0</v>
      </c>
      <c r="I710" s="84">
        <v>0</v>
      </c>
      <c r="J710" s="84" t="s">
        <v>2805</v>
      </c>
    </row>
    <row r="711" spans="1:10" ht="12.75" customHeight="1">
      <c r="A711" s="83"/>
      <c r="B711" s="81" t="s">
        <v>2816</v>
      </c>
      <c r="C711" s="84" t="s">
        <v>2805</v>
      </c>
      <c r="D711" s="84" t="s">
        <v>2812</v>
      </c>
      <c r="E711" s="84">
        <v>0</v>
      </c>
      <c r="F711" s="84" t="s">
        <v>2812</v>
      </c>
      <c r="G711" s="84" t="s">
        <v>2812</v>
      </c>
      <c r="H711" s="84" t="s">
        <v>2812</v>
      </c>
      <c r="I711" s="84">
        <v>0</v>
      </c>
      <c r="J711" s="84" t="s">
        <v>2805</v>
      </c>
    </row>
    <row r="712" spans="1:10" ht="12.75" customHeight="1">
      <c r="A712" s="83"/>
      <c r="B712" s="83" t="s">
        <v>2817</v>
      </c>
      <c r="C712" s="84" t="s">
        <v>2805</v>
      </c>
      <c r="D712" s="84" t="s">
        <v>2812</v>
      </c>
      <c r="E712" s="84">
        <v>0</v>
      </c>
      <c r="F712" s="84">
        <v>0</v>
      </c>
      <c r="G712" s="84" t="s">
        <v>2812</v>
      </c>
      <c r="H712" s="84" t="s">
        <v>2812</v>
      </c>
      <c r="I712" s="84">
        <v>0</v>
      </c>
      <c r="J712" s="84" t="s">
        <v>2805</v>
      </c>
    </row>
    <row r="713" spans="1:10" ht="12.75" customHeight="1">
      <c r="A713" s="83"/>
      <c r="B713" s="83" t="s">
        <v>2818</v>
      </c>
      <c r="C713" s="84" t="s">
        <v>2805</v>
      </c>
      <c r="D713" s="84" t="s">
        <v>2812</v>
      </c>
      <c r="E713" s="84" t="s">
        <v>2805</v>
      </c>
      <c r="F713" s="84" t="s">
        <v>2805</v>
      </c>
      <c r="G713" s="84" t="s">
        <v>2805</v>
      </c>
      <c r="H713" s="84" t="s">
        <v>2805</v>
      </c>
      <c r="I713" s="84" t="s">
        <v>2805</v>
      </c>
      <c r="J713" s="84" t="s">
        <v>2805</v>
      </c>
    </row>
    <row r="714" spans="1:10" ht="12.75" customHeight="1">
      <c r="A714" s="83"/>
      <c r="B714" s="83" t="s">
        <v>2819</v>
      </c>
      <c r="C714" s="84" t="s">
        <v>2805</v>
      </c>
      <c r="D714" s="84" t="s">
        <v>2812</v>
      </c>
      <c r="E714" s="84">
        <v>0</v>
      </c>
      <c r="F714" s="84" t="s">
        <v>2812</v>
      </c>
      <c r="G714" s="84" t="s">
        <v>2812</v>
      </c>
      <c r="H714" s="84" t="s">
        <v>2812</v>
      </c>
      <c r="I714" s="84">
        <v>0</v>
      </c>
      <c r="J714" s="84" t="s">
        <v>2805</v>
      </c>
    </row>
    <row r="715" spans="1:10" ht="12.75" customHeight="1">
      <c r="A715" s="83"/>
      <c r="B715" s="83" t="s">
        <v>2820</v>
      </c>
      <c r="C715" s="84" t="s">
        <v>2805</v>
      </c>
      <c r="D715" s="84" t="s">
        <v>2812</v>
      </c>
      <c r="E715" s="84" t="s">
        <v>2805</v>
      </c>
      <c r="F715" s="84" t="s">
        <v>2812</v>
      </c>
      <c r="G715" s="84" t="s">
        <v>2812</v>
      </c>
      <c r="H715" s="84" t="s">
        <v>2812</v>
      </c>
      <c r="I715" s="84" t="s">
        <v>2805</v>
      </c>
      <c r="J715" s="84" t="s">
        <v>2805</v>
      </c>
    </row>
    <row r="716" spans="1:10" ht="12.75" customHeight="1">
      <c r="A716" s="83"/>
      <c r="B716" s="83" t="s">
        <v>2821</v>
      </c>
      <c r="C716" s="84" t="s">
        <v>2805</v>
      </c>
      <c r="D716" s="84" t="s">
        <v>2805</v>
      </c>
      <c r="E716" s="84">
        <v>0</v>
      </c>
      <c r="F716" s="84" t="s">
        <v>2812</v>
      </c>
      <c r="G716" s="84">
        <v>0</v>
      </c>
      <c r="H716" s="84" t="s">
        <v>2812</v>
      </c>
      <c r="I716" s="84">
        <v>0</v>
      </c>
      <c r="J716" s="84" t="s">
        <v>2805</v>
      </c>
    </row>
    <row r="717" spans="1:10" ht="12.75" customHeight="1">
      <c r="A717" s="83"/>
      <c r="B717" s="83" t="s">
        <v>2822</v>
      </c>
      <c r="C717" s="84" t="s">
        <v>2805</v>
      </c>
      <c r="D717" s="84" t="s">
        <v>2812</v>
      </c>
      <c r="E717" s="84">
        <v>0</v>
      </c>
      <c r="F717" s="84" t="s">
        <v>2812</v>
      </c>
      <c r="G717" s="84" t="s">
        <v>2812</v>
      </c>
      <c r="H717" s="84">
        <v>0</v>
      </c>
      <c r="I717" s="84">
        <v>0</v>
      </c>
      <c r="J717" s="84" t="s">
        <v>2805</v>
      </c>
    </row>
    <row r="718" spans="1:10" ht="12.75" customHeight="1">
      <c r="A718" s="83"/>
      <c r="B718" s="81" t="s">
        <v>2823</v>
      </c>
      <c r="C718" s="84">
        <v>27</v>
      </c>
      <c r="D718" s="84" t="s">
        <v>2812</v>
      </c>
      <c r="E718" s="84">
        <v>0</v>
      </c>
      <c r="F718" s="84">
        <v>0</v>
      </c>
      <c r="G718" s="84">
        <v>0</v>
      </c>
      <c r="H718" s="84" t="s">
        <v>2812</v>
      </c>
      <c r="I718" s="84">
        <v>0</v>
      </c>
      <c r="J718" s="84">
        <v>27</v>
      </c>
    </row>
    <row r="719" spans="1:10" ht="12.75" customHeight="1">
      <c r="A719" s="83"/>
      <c r="B719" s="81"/>
      <c r="C719" s="84"/>
      <c r="D719" s="84"/>
      <c r="E719" s="84"/>
      <c r="F719" s="84"/>
      <c r="G719" s="84"/>
      <c r="H719" s="84"/>
      <c r="I719" s="84"/>
      <c r="J719" s="84"/>
    </row>
    <row r="720" spans="1:10" s="71" customFormat="1" ht="12.75" customHeight="1">
      <c r="A720" s="81" t="s">
        <v>2887</v>
      </c>
      <c r="B720" s="81" t="s">
        <v>2888</v>
      </c>
      <c r="C720" s="86"/>
      <c r="D720" s="86"/>
      <c r="E720" s="86"/>
      <c r="F720" s="86"/>
      <c r="G720" s="86"/>
      <c r="H720" s="86"/>
      <c r="I720" s="86"/>
      <c r="J720" s="86"/>
    </row>
    <row r="721" spans="1:10" s="71" customFormat="1" ht="12.75" customHeight="1">
      <c r="A721" s="81"/>
      <c r="B721" s="81"/>
      <c r="C721" s="86"/>
      <c r="D721" s="86"/>
      <c r="E721" s="86"/>
      <c r="F721" s="86"/>
      <c r="G721" s="86"/>
      <c r="H721" s="86"/>
      <c r="I721" s="86"/>
      <c r="J721" s="86"/>
    </row>
    <row r="722" spans="1:10" s="71" customFormat="1" ht="12.75" customHeight="1">
      <c r="A722" s="81"/>
      <c r="B722" s="81"/>
      <c r="C722" s="86"/>
      <c r="D722" s="86"/>
      <c r="E722" s="86"/>
      <c r="F722" s="86"/>
      <c r="G722" s="86"/>
      <c r="H722" s="86"/>
      <c r="I722" s="86"/>
      <c r="J722" s="86"/>
    </row>
    <row r="723" spans="1:10" ht="12.75" customHeight="1">
      <c r="A723" s="83"/>
      <c r="B723" s="81" t="s">
        <v>2803</v>
      </c>
      <c r="C723" s="84">
        <v>3813</v>
      </c>
      <c r="D723" s="84">
        <v>501</v>
      </c>
      <c r="E723" s="84">
        <v>3</v>
      </c>
      <c r="F723" s="84">
        <v>6</v>
      </c>
      <c r="G723" s="84">
        <v>2344</v>
      </c>
      <c r="H723" s="84">
        <v>7</v>
      </c>
      <c r="I723" s="84">
        <v>113</v>
      </c>
      <c r="J723" s="84">
        <v>840</v>
      </c>
    </row>
    <row r="724" spans="1:10" ht="12.75" customHeight="1">
      <c r="A724" s="83"/>
      <c r="B724" s="81" t="s">
        <v>2804</v>
      </c>
      <c r="C724" s="84" t="s">
        <v>2805</v>
      </c>
      <c r="D724" s="84">
        <v>6</v>
      </c>
      <c r="E724" s="84">
        <v>2</v>
      </c>
      <c r="F724" s="84">
        <v>2</v>
      </c>
      <c r="G724" s="84">
        <v>1203</v>
      </c>
      <c r="H724" s="84">
        <v>1</v>
      </c>
      <c r="I724" s="84">
        <v>98</v>
      </c>
      <c r="J724" s="84" t="s">
        <v>2805</v>
      </c>
    </row>
    <row r="725" spans="1:10" ht="12.75" customHeight="1">
      <c r="A725" s="83"/>
      <c r="B725" s="83" t="s">
        <v>2806</v>
      </c>
      <c r="C725" s="84" t="s">
        <v>2805</v>
      </c>
      <c r="D725" s="84">
        <v>6</v>
      </c>
      <c r="E725" s="84">
        <v>2</v>
      </c>
      <c r="F725" s="84">
        <v>1</v>
      </c>
      <c r="G725" s="84">
        <v>389</v>
      </c>
      <c r="H725" s="84" t="s">
        <v>2812</v>
      </c>
      <c r="I725" s="84">
        <v>7</v>
      </c>
      <c r="J725" s="84" t="s">
        <v>2805</v>
      </c>
    </row>
    <row r="726" spans="1:10" ht="12.75" customHeight="1">
      <c r="A726" s="83"/>
      <c r="B726" s="83" t="s">
        <v>2807</v>
      </c>
      <c r="C726" s="84" t="s">
        <v>2805</v>
      </c>
      <c r="D726" s="84">
        <v>0</v>
      </c>
      <c r="E726" s="84" t="s">
        <v>2812</v>
      </c>
      <c r="F726" s="84">
        <v>1</v>
      </c>
      <c r="G726" s="84">
        <v>813</v>
      </c>
      <c r="H726" s="84">
        <v>1</v>
      </c>
      <c r="I726" s="84">
        <v>91</v>
      </c>
      <c r="J726" s="84" t="s">
        <v>2805</v>
      </c>
    </row>
    <row r="727" spans="1:10" ht="12.75" customHeight="1">
      <c r="A727" s="83"/>
      <c r="B727" s="81" t="s">
        <v>2808</v>
      </c>
      <c r="C727" s="84" t="s">
        <v>2805</v>
      </c>
      <c r="D727" s="84">
        <v>422</v>
      </c>
      <c r="E727" s="84" t="s">
        <v>2812</v>
      </c>
      <c r="F727" s="84">
        <v>1</v>
      </c>
      <c r="G727" s="84">
        <v>1054</v>
      </c>
      <c r="H727" s="84" t="s">
        <v>2809</v>
      </c>
      <c r="I727" s="84">
        <v>15</v>
      </c>
      <c r="J727" s="84" t="s">
        <v>2805</v>
      </c>
    </row>
    <row r="728" spans="1:10" ht="12.75" customHeight="1">
      <c r="A728" s="83"/>
      <c r="B728" s="83" t="s">
        <v>2810</v>
      </c>
      <c r="C728" s="84" t="s">
        <v>2805</v>
      </c>
      <c r="D728" s="84">
        <v>19</v>
      </c>
      <c r="E728" s="84" t="s">
        <v>2812</v>
      </c>
      <c r="F728" s="84" t="s">
        <v>2812</v>
      </c>
      <c r="G728" s="84">
        <v>797</v>
      </c>
      <c r="H728" s="84">
        <v>1</v>
      </c>
      <c r="I728" s="84">
        <v>7</v>
      </c>
      <c r="J728" s="84" t="s">
        <v>2805</v>
      </c>
    </row>
    <row r="729" spans="1:10" ht="12.75" customHeight="1">
      <c r="A729" s="83"/>
      <c r="B729" s="83" t="s">
        <v>2811</v>
      </c>
      <c r="C729" s="84" t="s">
        <v>2805</v>
      </c>
      <c r="D729" s="84">
        <v>46</v>
      </c>
      <c r="E729" s="84">
        <v>0</v>
      </c>
      <c r="F729" s="84" t="s">
        <v>2812</v>
      </c>
      <c r="G729" s="84">
        <v>9</v>
      </c>
      <c r="H729" s="84" t="s">
        <v>2812</v>
      </c>
      <c r="I729" s="84">
        <v>0</v>
      </c>
      <c r="J729" s="84" t="s">
        <v>2805</v>
      </c>
    </row>
    <row r="730" spans="1:10" ht="12.75" customHeight="1">
      <c r="A730" s="83"/>
      <c r="B730" s="83" t="s">
        <v>2813</v>
      </c>
      <c r="C730" s="84" t="s">
        <v>2805</v>
      </c>
      <c r="D730" s="84">
        <v>285</v>
      </c>
      <c r="E730" s="84">
        <v>0</v>
      </c>
      <c r="F730" s="84" t="s">
        <v>2812</v>
      </c>
      <c r="G730" s="84">
        <v>89</v>
      </c>
      <c r="H730" s="84" t="s">
        <v>2812</v>
      </c>
      <c r="I730" s="84">
        <v>0</v>
      </c>
      <c r="J730" s="84" t="s">
        <v>2805</v>
      </c>
    </row>
    <row r="731" spans="1:10" ht="12.75" customHeight="1">
      <c r="A731" s="83"/>
      <c r="B731" s="83" t="s">
        <v>2814</v>
      </c>
      <c r="C731" s="84" t="s">
        <v>2805</v>
      </c>
      <c r="D731" s="84">
        <v>61</v>
      </c>
      <c r="E731" s="84" t="s">
        <v>2805</v>
      </c>
      <c r="F731" s="84" t="s">
        <v>2805</v>
      </c>
      <c r="G731" s="84" t="s">
        <v>2805</v>
      </c>
      <c r="H731" s="84" t="s">
        <v>2805</v>
      </c>
      <c r="I731" s="84" t="s">
        <v>2805</v>
      </c>
      <c r="J731" s="84" t="s">
        <v>2805</v>
      </c>
    </row>
    <row r="732" spans="1:10" ht="12.75" customHeight="1">
      <c r="A732" s="83"/>
      <c r="B732" s="83" t="s">
        <v>2815</v>
      </c>
      <c r="C732" s="84" t="s">
        <v>2805</v>
      </c>
      <c r="D732" s="84">
        <v>11</v>
      </c>
      <c r="E732" s="84">
        <v>0</v>
      </c>
      <c r="F732" s="84" t="s">
        <v>2812</v>
      </c>
      <c r="G732" s="84">
        <v>160</v>
      </c>
      <c r="H732" s="84" t="s">
        <v>2809</v>
      </c>
      <c r="I732" s="84">
        <v>8</v>
      </c>
      <c r="J732" s="84" t="s">
        <v>2805</v>
      </c>
    </row>
    <row r="733" spans="1:10" ht="12.75" customHeight="1">
      <c r="A733" s="83"/>
      <c r="B733" s="81" t="s">
        <v>2816</v>
      </c>
      <c r="C733" s="84" t="s">
        <v>2805</v>
      </c>
      <c r="D733" s="84">
        <v>63</v>
      </c>
      <c r="E733" s="84">
        <v>0</v>
      </c>
      <c r="F733" s="84">
        <v>3</v>
      </c>
      <c r="G733" s="84">
        <v>71</v>
      </c>
      <c r="H733" s="84" t="s">
        <v>2809</v>
      </c>
      <c r="I733" s="84" t="s">
        <v>2812</v>
      </c>
      <c r="J733" s="84" t="s">
        <v>2805</v>
      </c>
    </row>
    <row r="734" spans="1:10" ht="12.75" customHeight="1">
      <c r="A734" s="83"/>
      <c r="B734" s="83" t="s">
        <v>2817</v>
      </c>
      <c r="C734" s="84" t="s">
        <v>2805</v>
      </c>
      <c r="D734" s="84">
        <v>33</v>
      </c>
      <c r="E734" s="84">
        <v>0</v>
      </c>
      <c r="F734" s="84" t="s">
        <v>2812</v>
      </c>
      <c r="G734" s="84">
        <v>57</v>
      </c>
      <c r="H734" s="84" t="s">
        <v>2809</v>
      </c>
      <c r="I734" s="84" t="s">
        <v>2812</v>
      </c>
      <c r="J734" s="84" t="s">
        <v>2805</v>
      </c>
    </row>
    <row r="735" spans="1:10" ht="12.75" customHeight="1">
      <c r="A735" s="83"/>
      <c r="B735" s="83" t="s">
        <v>2818</v>
      </c>
      <c r="C735" s="84" t="s">
        <v>2805</v>
      </c>
      <c r="D735" s="84">
        <v>19</v>
      </c>
      <c r="E735" s="84" t="s">
        <v>2805</v>
      </c>
      <c r="F735" s="84" t="s">
        <v>2805</v>
      </c>
      <c r="G735" s="84" t="s">
        <v>2805</v>
      </c>
      <c r="H735" s="84" t="s">
        <v>2805</v>
      </c>
      <c r="I735" s="84" t="s">
        <v>2805</v>
      </c>
      <c r="J735" s="84" t="s">
        <v>2805</v>
      </c>
    </row>
    <row r="736" spans="1:10" ht="12.75" customHeight="1">
      <c r="A736" s="83"/>
      <c r="B736" s="83" t="s">
        <v>2819</v>
      </c>
      <c r="C736" s="84" t="s">
        <v>2805</v>
      </c>
      <c r="D736" s="84">
        <v>7</v>
      </c>
      <c r="E736" s="84">
        <v>0</v>
      </c>
      <c r="F736" s="84" t="s">
        <v>2812</v>
      </c>
      <c r="G736" s="84">
        <v>11</v>
      </c>
      <c r="H736" s="84" t="s">
        <v>2812</v>
      </c>
      <c r="I736" s="84">
        <v>0</v>
      </c>
      <c r="J736" s="84" t="s">
        <v>2805</v>
      </c>
    </row>
    <row r="737" spans="1:10" ht="12.75" customHeight="1">
      <c r="A737" s="83"/>
      <c r="B737" s="83" t="s">
        <v>2820</v>
      </c>
      <c r="C737" s="84" t="s">
        <v>2805</v>
      </c>
      <c r="D737" s="84">
        <v>1</v>
      </c>
      <c r="E737" s="84" t="s">
        <v>2805</v>
      </c>
      <c r="F737" s="84">
        <v>2</v>
      </c>
      <c r="G737" s="84" t="s">
        <v>2812</v>
      </c>
      <c r="H737" s="84">
        <v>2</v>
      </c>
      <c r="I737" s="84" t="s">
        <v>2805</v>
      </c>
      <c r="J737" s="84" t="s">
        <v>2805</v>
      </c>
    </row>
    <row r="738" spans="1:10" ht="12.75" customHeight="1">
      <c r="A738" s="83"/>
      <c r="B738" s="83" t="s">
        <v>2821</v>
      </c>
      <c r="C738" s="84" t="s">
        <v>2805</v>
      </c>
      <c r="D738" s="84" t="s">
        <v>2805</v>
      </c>
      <c r="E738" s="84">
        <v>0</v>
      </c>
      <c r="F738" s="84" t="s">
        <v>2812</v>
      </c>
      <c r="G738" s="84">
        <v>1</v>
      </c>
      <c r="H738" s="84" t="s">
        <v>2812</v>
      </c>
      <c r="I738" s="84">
        <v>0</v>
      </c>
      <c r="J738" s="84" t="s">
        <v>2805</v>
      </c>
    </row>
    <row r="739" spans="1:10" ht="12.75" customHeight="1">
      <c r="A739" s="83"/>
      <c r="B739" s="83" t="s">
        <v>2822</v>
      </c>
      <c r="C739" s="84" t="s">
        <v>2805</v>
      </c>
      <c r="D739" s="84">
        <v>2</v>
      </c>
      <c r="E739" s="84">
        <v>0</v>
      </c>
      <c r="F739" s="84" t="s">
        <v>2812</v>
      </c>
      <c r="G739" s="84">
        <v>3</v>
      </c>
      <c r="H739" s="84" t="s">
        <v>2812</v>
      </c>
      <c r="I739" s="84">
        <v>0</v>
      </c>
      <c r="J739" s="84" t="s">
        <v>2805</v>
      </c>
    </row>
    <row r="740" spans="1:10" ht="12.75" customHeight="1">
      <c r="A740" s="83"/>
      <c r="B740" s="81" t="s">
        <v>2823</v>
      </c>
      <c r="C740" s="84">
        <v>867</v>
      </c>
      <c r="D740" s="84">
        <v>10</v>
      </c>
      <c r="E740" s="84" t="s">
        <v>2812</v>
      </c>
      <c r="F740" s="84" t="s">
        <v>2812</v>
      </c>
      <c r="G740" s="84">
        <v>16</v>
      </c>
      <c r="H740" s="84">
        <v>1</v>
      </c>
      <c r="I740" s="84">
        <v>0</v>
      </c>
      <c r="J740" s="84">
        <v>840</v>
      </c>
    </row>
    <row r="741" spans="1:10" ht="12.75" customHeight="1">
      <c r="A741" s="83"/>
      <c r="B741" s="81"/>
      <c r="C741" s="84"/>
      <c r="D741" s="84"/>
      <c r="E741" s="84"/>
      <c r="F741" s="84"/>
      <c r="G741" s="84"/>
      <c r="H741" s="84"/>
      <c r="I741" s="84"/>
      <c r="J741" s="84"/>
    </row>
    <row r="742" spans="1:10" s="71" customFormat="1" ht="12.75" customHeight="1">
      <c r="A742" s="81" t="s">
        <v>2889</v>
      </c>
      <c r="B742" s="81" t="s">
        <v>2890</v>
      </c>
      <c r="C742" s="86"/>
      <c r="D742" s="86"/>
      <c r="E742" s="86"/>
      <c r="F742" s="86"/>
      <c r="G742" s="86"/>
      <c r="H742" s="86"/>
      <c r="I742" s="86"/>
      <c r="J742" s="86"/>
    </row>
    <row r="743" spans="1:10" s="71" customFormat="1" ht="12.75" customHeight="1">
      <c r="A743" s="81"/>
      <c r="B743" s="81"/>
      <c r="C743" s="86"/>
      <c r="D743" s="86"/>
      <c r="E743" s="86"/>
      <c r="F743" s="86"/>
      <c r="G743" s="86"/>
      <c r="H743" s="86"/>
      <c r="I743" s="86"/>
      <c r="J743" s="86"/>
    </row>
    <row r="744" spans="1:10" s="71" customFormat="1" ht="12.75" customHeight="1">
      <c r="A744" s="81"/>
      <c r="B744" s="81"/>
      <c r="C744" s="86"/>
      <c r="D744" s="86"/>
      <c r="E744" s="86"/>
      <c r="F744" s="86"/>
      <c r="G744" s="86"/>
      <c r="H744" s="86"/>
      <c r="I744" s="86"/>
      <c r="J744" s="86"/>
    </row>
    <row r="745" spans="1:10" ht="12.75" customHeight="1">
      <c r="A745" s="83"/>
      <c r="B745" s="81" t="s">
        <v>2803</v>
      </c>
      <c r="C745" s="84">
        <v>569</v>
      </c>
      <c r="D745" s="84">
        <v>24</v>
      </c>
      <c r="E745" s="84">
        <v>0</v>
      </c>
      <c r="F745" s="84">
        <v>1</v>
      </c>
      <c r="G745" s="84">
        <v>304</v>
      </c>
      <c r="H745" s="84">
        <v>1</v>
      </c>
      <c r="I745" s="84">
        <v>0</v>
      </c>
      <c r="J745" s="84">
        <v>240</v>
      </c>
    </row>
    <row r="746" spans="1:10" ht="12.75" customHeight="1">
      <c r="A746" s="83"/>
      <c r="B746" s="81" t="s">
        <v>2804</v>
      </c>
      <c r="C746" s="84" t="s">
        <v>2805</v>
      </c>
      <c r="D746" s="84" t="s">
        <v>2812</v>
      </c>
      <c r="E746" s="84">
        <v>0</v>
      </c>
      <c r="F746" s="84" t="s">
        <v>2812</v>
      </c>
      <c r="G746" s="84">
        <v>125</v>
      </c>
      <c r="H746" s="84" t="s">
        <v>2812</v>
      </c>
      <c r="I746" s="84">
        <v>0</v>
      </c>
      <c r="J746" s="84" t="s">
        <v>2805</v>
      </c>
    </row>
    <row r="747" spans="1:10" ht="12.75" customHeight="1">
      <c r="A747" s="83"/>
      <c r="B747" s="83" t="s">
        <v>2806</v>
      </c>
      <c r="C747" s="84" t="s">
        <v>2805</v>
      </c>
      <c r="D747" s="84" t="s">
        <v>2812</v>
      </c>
      <c r="E747" s="84">
        <v>0</v>
      </c>
      <c r="F747" s="84" t="s">
        <v>2812</v>
      </c>
      <c r="G747" s="84">
        <v>36</v>
      </c>
      <c r="H747" s="84" t="s">
        <v>2812</v>
      </c>
      <c r="I747" s="84">
        <v>0</v>
      </c>
      <c r="J747" s="84" t="s">
        <v>2805</v>
      </c>
    </row>
    <row r="748" spans="1:10" ht="12.75" customHeight="1">
      <c r="A748" s="83"/>
      <c r="B748" s="83" t="s">
        <v>2807</v>
      </c>
      <c r="C748" s="84" t="s">
        <v>2805</v>
      </c>
      <c r="D748" s="84">
        <v>0</v>
      </c>
      <c r="E748" s="84">
        <v>0</v>
      </c>
      <c r="F748" s="84" t="s">
        <v>2812</v>
      </c>
      <c r="G748" s="84">
        <v>89</v>
      </c>
      <c r="H748" s="84" t="s">
        <v>2812</v>
      </c>
      <c r="I748" s="84">
        <v>0</v>
      </c>
      <c r="J748" s="84" t="s">
        <v>2805</v>
      </c>
    </row>
    <row r="749" spans="1:10" ht="12.75" customHeight="1">
      <c r="A749" s="83"/>
      <c r="B749" s="81" t="s">
        <v>2808</v>
      </c>
      <c r="C749" s="84" t="s">
        <v>2805</v>
      </c>
      <c r="D749" s="84">
        <v>22</v>
      </c>
      <c r="E749" s="84">
        <v>0</v>
      </c>
      <c r="F749" s="84" t="s">
        <v>2812</v>
      </c>
      <c r="G749" s="84">
        <v>178</v>
      </c>
      <c r="H749" s="84" t="s">
        <v>2812</v>
      </c>
      <c r="I749" s="84">
        <v>0</v>
      </c>
      <c r="J749" s="84" t="s">
        <v>2805</v>
      </c>
    </row>
    <row r="750" spans="1:10" ht="12.75" customHeight="1">
      <c r="A750" s="83"/>
      <c r="B750" s="83" t="s">
        <v>2810</v>
      </c>
      <c r="C750" s="84" t="s">
        <v>2805</v>
      </c>
      <c r="D750" s="84">
        <v>1</v>
      </c>
      <c r="E750" s="84">
        <v>0</v>
      </c>
      <c r="F750" s="84">
        <v>0</v>
      </c>
      <c r="G750" s="84">
        <v>145</v>
      </c>
      <c r="H750" s="84" t="s">
        <v>2812</v>
      </c>
      <c r="I750" s="84">
        <v>0</v>
      </c>
      <c r="J750" s="84" t="s">
        <v>2805</v>
      </c>
    </row>
    <row r="751" spans="1:10" ht="12.75" customHeight="1">
      <c r="A751" s="83"/>
      <c r="B751" s="83" t="s">
        <v>2811</v>
      </c>
      <c r="C751" s="84" t="s">
        <v>2805</v>
      </c>
      <c r="D751" s="84">
        <v>4</v>
      </c>
      <c r="E751" s="84">
        <v>0</v>
      </c>
      <c r="F751" s="84">
        <v>0</v>
      </c>
      <c r="G751" s="84">
        <v>4</v>
      </c>
      <c r="H751" s="84" t="s">
        <v>2812</v>
      </c>
      <c r="I751" s="84">
        <v>0</v>
      </c>
      <c r="J751" s="84" t="s">
        <v>2805</v>
      </c>
    </row>
    <row r="752" spans="1:10" ht="12.75" customHeight="1">
      <c r="A752" s="83"/>
      <c r="B752" s="83" t="s">
        <v>2813</v>
      </c>
      <c r="C752" s="84" t="s">
        <v>2805</v>
      </c>
      <c r="D752" s="84">
        <v>17</v>
      </c>
      <c r="E752" s="84">
        <v>0</v>
      </c>
      <c r="F752" s="84" t="s">
        <v>2812</v>
      </c>
      <c r="G752" s="84" t="s">
        <v>2809</v>
      </c>
      <c r="H752" s="84">
        <v>0</v>
      </c>
      <c r="I752" s="84">
        <v>0</v>
      </c>
      <c r="J752" s="84" t="s">
        <v>2805</v>
      </c>
    </row>
    <row r="753" spans="1:10" ht="12.75" customHeight="1">
      <c r="A753" s="83"/>
      <c r="B753" s="83" t="s">
        <v>2814</v>
      </c>
      <c r="C753" s="84" t="s">
        <v>2805</v>
      </c>
      <c r="D753" s="84" t="s">
        <v>2812</v>
      </c>
      <c r="E753" s="84" t="s">
        <v>2805</v>
      </c>
      <c r="F753" s="84" t="s">
        <v>2805</v>
      </c>
      <c r="G753" s="84" t="s">
        <v>2805</v>
      </c>
      <c r="H753" s="84" t="s">
        <v>2805</v>
      </c>
      <c r="I753" s="84" t="s">
        <v>2805</v>
      </c>
      <c r="J753" s="84" t="s">
        <v>2805</v>
      </c>
    </row>
    <row r="754" spans="1:10" ht="12.75" customHeight="1">
      <c r="A754" s="83"/>
      <c r="B754" s="83" t="s">
        <v>2815</v>
      </c>
      <c r="C754" s="84" t="s">
        <v>2805</v>
      </c>
      <c r="D754" s="84" t="s">
        <v>2812</v>
      </c>
      <c r="E754" s="84">
        <v>0</v>
      </c>
      <c r="F754" s="84" t="s">
        <v>2812</v>
      </c>
      <c r="G754" s="84" t="s">
        <v>2809</v>
      </c>
      <c r="H754" s="84" t="s">
        <v>2812</v>
      </c>
      <c r="I754" s="84">
        <v>0</v>
      </c>
      <c r="J754" s="84" t="s">
        <v>2805</v>
      </c>
    </row>
    <row r="755" spans="1:10" ht="12.75" customHeight="1">
      <c r="A755" s="83"/>
      <c r="B755" s="81" t="s">
        <v>2816</v>
      </c>
      <c r="C755" s="84" t="s">
        <v>2805</v>
      </c>
      <c r="D755" s="84">
        <v>1</v>
      </c>
      <c r="E755" s="84">
        <v>0</v>
      </c>
      <c r="F755" s="84" t="s">
        <v>2812</v>
      </c>
      <c r="G755" s="84">
        <v>1</v>
      </c>
      <c r="H755" s="84" t="s">
        <v>2812</v>
      </c>
      <c r="I755" s="84">
        <v>0</v>
      </c>
      <c r="J755" s="84" t="s">
        <v>2805</v>
      </c>
    </row>
    <row r="756" spans="1:10" ht="12.75" customHeight="1">
      <c r="A756" s="83"/>
      <c r="B756" s="83" t="s">
        <v>2817</v>
      </c>
      <c r="C756" s="84" t="s">
        <v>2805</v>
      </c>
      <c r="D756" s="84">
        <v>1</v>
      </c>
      <c r="E756" s="84">
        <v>0</v>
      </c>
      <c r="F756" s="84" t="s">
        <v>2812</v>
      </c>
      <c r="G756" s="84">
        <v>1</v>
      </c>
      <c r="H756" s="84" t="s">
        <v>2812</v>
      </c>
      <c r="I756" s="84">
        <v>0</v>
      </c>
      <c r="J756" s="84" t="s">
        <v>2805</v>
      </c>
    </row>
    <row r="757" spans="1:10" ht="12.75" customHeight="1">
      <c r="A757" s="83"/>
      <c r="B757" s="83" t="s">
        <v>2818</v>
      </c>
      <c r="C757" s="84" t="s">
        <v>2805</v>
      </c>
      <c r="D757" s="84" t="s">
        <v>2812</v>
      </c>
      <c r="E757" s="84" t="s">
        <v>2805</v>
      </c>
      <c r="F757" s="84" t="s">
        <v>2805</v>
      </c>
      <c r="G757" s="84" t="s">
        <v>2805</v>
      </c>
      <c r="H757" s="84" t="s">
        <v>2805</v>
      </c>
      <c r="I757" s="84" t="s">
        <v>2805</v>
      </c>
      <c r="J757" s="84" t="s">
        <v>2805</v>
      </c>
    </row>
    <row r="758" spans="1:10" ht="12.75" customHeight="1">
      <c r="A758" s="83"/>
      <c r="B758" s="83" t="s">
        <v>2819</v>
      </c>
      <c r="C758" s="84" t="s">
        <v>2805</v>
      </c>
      <c r="D758" s="84" t="s">
        <v>2812</v>
      </c>
      <c r="E758" s="84">
        <v>0</v>
      </c>
      <c r="F758" s="84">
        <v>0</v>
      </c>
      <c r="G758" s="84" t="s">
        <v>2812</v>
      </c>
      <c r="H758" s="84" t="s">
        <v>2812</v>
      </c>
      <c r="I758" s="84">
        <v>0</v>
      </c>
      <c r="J758" s="84" t="s">
        <v>2805</v>
      </c>
    </row>
    <row r="759" spans="1:10" ht="12.75" customHeight="1">
      <c r="A759" s="83"/>
      <c r="B759" s="83" t="s">
        <v>2820</v>
      </c>
      <c r="C759" s="84" t="s">
        <v>2805</v>
      </c>
      <c r="D759" s="84" t="s">
        <v>2812</v>
      </c>
      <c r="E759" s="84" t="s">
        <v>2805</v>
      </c>
      <c r="F759" s="84" t="s">
        <v>2812</v>
      </c>
      <c r="G759" s="84">
        <v>0</v>
      </c>
      <c r="H759" s="84" t="s">
        <v>2812</v>
      </c>
      <c r="I759" s="84" t="s">
        <v>2805</v>
      </c>
      <c r="J759" s="84" t="s">
        <v>2805</v>
      </c>
    </row>
    <row r="760" spans="1:10" ht="12.75" customHeight="1">
      <c r="A760" s="83"/>
      <c r="B760" s="83" t="s">
        <v>2821</v>
      </c>
      <c r="C760" s="84" t="s">
        <v>2805</v>
      </c>
      <c r="D760" s="84" t="s">
        <v>2805</v>
      </c>
      <c r="E760" s="84">
        <v>0</v>
      </c>
      <c r="F760" s="84" t="s">
        <v>2812</v>
      </c>
      <c r="G760" s="84" t="s">
        <v>2812</v>
      </c>
      <c r="H760" s="84">
        <v>0</v>
      </c>
      <c r="I760" s="84">
        <v>0</v>
      </c>
      <c r="J760" s="84" t="s">
        <v>2805</v>
      </c>
    </row>
    <row r="761" spans="1:10" ht="12.75" customHeight="1">
      <c r="A761" s="83"/>
      <c r="B761" s="83" t="s">
        <v>2822</v>
      </c>
      <c r="C761" s="84" t="s">
        <v>2805</v>
      </c>
      <c r="D761" s="84" t="s">
        <v>2812</v>
      </c>
      <c r="E761" s="84">
        <v>0</v>
      </c>
      <c r="F761" s="84" t="s">
        <v>2812</v>
      </c>
      <c r="G761" s="84">
        <v>1</v>
      </c>
      <c r="H761" s="84">
        <v>0</v>
      </c>
      <c r="I761" s="84">
        <v>0</v>
      </c>
      <c r="J761" s="84" t="s">
        <v>2805</v>
      </c>
    </row>
    <row r="762" spans="1:10" ht="12.75" customHeight="1">
      <c r="A762" s="83"/>
      <c r="B762" s="81" t="s">
        <v>2823</v>
      </c>
      <c r="C762" s="84">
        <v>240</v>
      </c>
      <c r="D762" s="84">
        <v>0</v>
      </c>
      <c r="E762" s="84">
        <v>0</v>
      </c>
      <c r="F762" s="84">
        <v>0</v>
      </c>
      <c r="G762" s="84">
        <v>0</v>
      </c>
      <c r="H762" s="84" t="s">
        <v>2812</v>
      </c>
      <c r="I762" s="84">
        <v>0</v>
      </c>
      <c r="J762" s="84">
        <v>240</v>
      </c>
    </row>
    <row r="763" spans="1:10" ht="12.75" customHeight="1">
      <c r="A763" s="83"/>
      <c r="B763" s="81"/>
      <c r="C763" s="84"/>
      <c r="D763" s="84"/>
      <c r="E763" s="84"/>
      <c r="F763" s="84"/>
      <c r="G763" s="84"/>
      <c r="H763" s="84"/>
      <c r="I763" s="84"/>
      <c r="J763" s="84"/>
    </row>
    <row r="764" spans="1:10" s="71" customFormat="1" ht="12.75" customHeight="1">
      <c r="A764" s="81" t="s">
        <v>2891</v>
      </c>
      <c r="B764" s="81" t="s">
        <v>2892</v>
      </c>
      <c r="C764" s="86"/>
      <c r="D764" s="86"/>
      <c r="E764" s="86"/>
      <c r="F764" s="86"/>
      <c r="G764" s="86"/>
      <c r="H764" s="86"/>
      <c r="I764" s="86"/>
      <c r="J764" s="86"/>
    </row>
    <row r="765" spans="1:10" ht="12.75" customHeight="1">
      <c r="A765" s="83"/>
      <c r="B765" s="83"/>
      <c r="C765" s="84"/>
      <c r="D765" s="84"/>
      <c r="E765" s="84"/>
      <c r="F765" s="84"/>
      <c r="G765" s="84"/>
      <c r="H765" s="84"/>
      <c r="I765" s="84"/>
      <c r="J765" s="84"/>
    </row>
    <row r="766" spans="1:10" ht="12.75" customHeight="1">
      <c r="A766" s="83"/>
      <c r="B766" s="83"/>
      <c r="C766" s="84"/>
      <c r="D766" s="84"/>
      <c r="E766" s="84"/>
      <c r="F766" s="84"/>
      <c r="G766" s="84"/>
      <c r="H766" s="84"/>
      <c r="I766" s="84"/>
      <c r="J766" s="84"/>
    </row>
    <row r="767" spans="1:10" ht="12.75" customHeight="1">
      <c r="A767" s="83"/>
      <c r="B767" s="81" t="s">
        <v>2803</v>
      </c>
      <c r="C767" s="84">
        <v>161</v>
      </c>
      <c r="D767" s="84">
        <v>74</v>
      </c>
      <c r="E767" s="84">
        <v>0</v>
      </c>
      <c r="F767" s="84" t="s">
        <v>2812</v>
      </c>
      <c r="G767" s="84">
        <v>83</v>
      </c>
      <c r="H767" s="84" t="s">
        <v>2812</v>
      </c>
      <c r="I767" s="84">
        <v>0</v>
      </c>
      <c r="J767" s="84">
        <v>4</v>
      </c>
    </row>
    <row r="768" spans="1:10" ht="12.75" customHeight="1">
      <c r="A768" s="83"/>
      <c r="B768" s="81" t="s">
        <v>2804</v>
      </c>
      <c r="C768" s="84" t="s">
        <v>2805</v>
      </c>
      <c r="D768" s="84" t="s">
        <v>2812</v>
      </c>
      <c r="E768" s="84">
        <v>0</v>
      </c>
      <c r="F768" s="84" t="s">
        <v>2812</v>
      </c>
      <c r="G768" s="84">
        <v>64</v>
      </c>
      <c r="H768" s="84">
        <v>0</v>
      </c>
      <c r="I768" s="84">
        <v>0</v>
      </c>
      <c r="J768" s="84" t="s">
        <v>2805</v>
      </c>
    </row>
    <row r="769" spans="1:10" ht="12.75" customHeight="1">
      <c r="A769" s="83"/>
      <c r="B769" s="83" t="s">
        <v>2806</v>
      </c>
      <c r="C769" s="84" t="s">
        <v>2805</v>
      </c>
      <c r="D769" s="84" t="s">
        <v>2812</v>
      </c>
      <c r="E769" s="84">
        <v>0</v>
      </c>
      <c r="F769" s="84" t="s">
        <v>2812</v>
      </c>
      <c r="G769" s="84">
        <v>9</v>
      </c>
      <c r="H769" s="84">
        <v>0</v>
      </c>
      <c r="I769" s="84">
        <v>0</v>
      </c>
      <c r="J769" s="84" t="s">
        <v>2805</v>
      </c>
    </row>
    <row r="770" spans="1:10" ht="12.75" customHeight="1">
      <c r="A770" s="83"/>
      <c r="B770" s="83" t="s">
        <v>2807</v>
      </c>
      <c r="C770" s="84" t="s">
        <v>2805</v>
      </c>
      <c r="D770" s="84">
        <v>0</v>
      </c>
      <c r="E770" s="84">
        <v>0</v>
      </c>
      <c r="F770" s="84">
        <v>0</v>
      </c>
      <c r="G770" s="84">
        <v>55</v>
      </c>
      <c r="H770" s="84">
        <v>0</v>
      </c>
      <c r="I770" s="84">
        <v>0</v>
      </c>
      <c r="J770" s="84" t="s">
        <v>2805</v>
      </c>
    </row>
    <row r="771" spans="1:10" ht="12.75" customHeight="1">
      <c r="A771" s="83"/>
      <c r="B771" s="81" t="s">
        <v>2808</v>
      </c>
      <c r="C771" s="84" t="s">
        <v>2805</v>
      </c>
      <c r="D771" s="84">
        <v>71</v>
      </c>
      <c r="E771" s="84">
        <v>0</v>
      </c>
      <c r="F771" s="84" t="s">
        <v>2812</v>
      </c>
      <c r="G771" s="84">
        <v>19</v>
      </c>
      <c r="H771" s="84" t="s">
        <v>2812</v>
      </c>
      <c r="I771" s="84">
        <v>0</v>
      </c>
      <c r="J771" s="84" t="s">
        <v>2805</v>
      </c>
    </row>
    <row r="772" spans="1:10" ht="12.75" customHeight="1">
      <c r="A772" s="83"/>
      <c r="B772" s="83" t="s">
        <v>2810</v>
      </c>
      <c r="C772" s="84" t="s">
        <v>2805</v>
      </c>
      <c r="D772" s="84" t="s">
        <v>2812</v>
      </c>
      <c r="E772" s="84">
        <v>0</v>
      </c>
      <c r="F772" s="84">
        <v>0</v>
      </c>
      <c r="G772" s="84">
        <v>5</v>
      </c>
      <c r="H772" s="84">
        <v>0</v>
      </c>
      <c r="I772" s="84">
        <v>0</v>
      </c>
      <c r="J772" s="84" t="s">
        <v>2805</v>
      </c>
    </row>
    <row r="773" spans="1:10" ht="12.75" customHeight="1">
      <c r="A773" s="83"/>
      <c r="B773" s="83" t="s">
        <v>2811</v>
      </c>
      <c r="C773" s="84" t="s">
        <v>2805</v>
      </c>
      <c r="D773" s="84">
        <v>2</v>
      </c>
      <c r="E773" s="84">
        <v>0</v>
      </c>
      <c r="F773" s="84">
        <v>0</v>
      </c>
      <c r="G773" s="84" t="s">
        <v>2812</v>
      </c>
      <c r="H773" s="84" t="s">
        <v>2812</v>
      </c>
      <c r="I773" s="84">
        <v>0</v>
      </c>
      <c r="J773" s="84" t="s">
        <v>2805</v>
      </c>
    </row>
    <row r="774" spans="1:10" ht="12.75" customHeight="1">
      <c r="A774" s="83"/>
      <c r="B774" s="83" t="s">
        <v>2813</v>
      </c>
      <c r="C774" s="84" t="s">
        <v>2805</v>
      </c>
      <c r="D774" s="84">
        <v>72</v>
      </c>
      <c r="E774" s="84">
        <v>0</v>
      </c>
      <c r="F774" s="84" t="s">
        <v>2812</v>
      </c>
      <c r="G774" s="84">
        <v>0</v>
      </c>
      <c r="H774" s="84">
        <v>0</v>
      </c>
      <c r="I774" s="84">
        <v>0</v>
      </c>
      <c r="J774" s="84" t="s">
        <v>2805</v>
      </c>
    </row>
    <row r="775" spans="1:10" ht="12.75" customHeight="1">
      <c r="A775" s="83"/>
      <c r="B775" s="83" t="s">
        <v>2814</v>
      </c>
      <c r="C775" s="84" t="s">
        <v>2805</v>
      </c>
      <c r="D775" s="84">
        <v>-4</v>
      </c>
      <c r="E775" s="84" t="s">
        <v>2805</v>
      </c>
      <c r="F775" s="84" t="s">
        <v>2805</v>
      </c>
      <c r="G775" s="84" t="s">
        <v>2805</v>
      </c>
      <c r="H775" s="84" t="s">
        <v>2805</v>
      </c>
      <c r="I775" s="84" t="s">
        <v>2805</v>
      </c>
      <c r="J775" s="84" t="s">
        <v>2805</v>
      </c>
    </row>
    <row r="776" spans="1:10" ht="12.75" customHeight="1">
      <c r="A776" s="83"/>
      <c r="B776" s="83" t="s">
        <v>2815</v>
      </c>
      <c r="C776" s="84" t="s">
        <v>2805</v>
      </c>
      <c r="D776" s="84">
        <v>1</v>
      </c>
      <c r="E776" s="84">
        <v>0</v>
      </c>
      <c r="F776" s="84">
        <v>0</v>
      </c>
      <c r="G776" s="84">
        <v>14</v>
      </c>
      <c r="H776" s="84">
        <v>0</v>
      </c>
      <c r="I776" s="84">
        <v>0</v>
      </c>
      <c r="J776" s="84" t="s">
        <v>2805</v>
      </c>
    </row>
    <row r="777" spans="1:10" ht="12.75" customHeight="1">
      <c r="A777" s="83"/>
      <c r="B777" s="81" t="s">
        <v>2816</v>
      </c>
      <c r="C777" s="84" t="s">
        <v>2805</v>
      </c>
      <c r="D777" s="84">
        <v>2</v>
      </c>
      <c r="E777" s="84">
        <v>0</v>
      </c>
      <c r="F777" s="84" t="s">
        <v>2812</v>
      </c>
      <c r="G777" s="84" t="s">
        <v>2812</v>
      </c>
      <c r="H777" s="84" t="s">
        <v>2812</v>
      </c>
      <c r="I777" s="84">
        <v>0</v>
      </c>
      <c r="J777" s="84" t="s">
        <v>2805</v>
      </c>
    </row>
    <row r="778" spans="1:10" ht="12.75" customHeight="1">
      <c r="A778" s="83"/>
      <c r="B778" s="83" t="s">
        <v>2817</v>
      </c>
      <c r="C778" s="84" t="s">
        <v>2805</v>
      </c>
      <c r="D778" s="84">
        <v>2</v>
      </c>
      <c r="E778" s="84">
        <v>0</v>
      </c>
      <c r="F778" s="84">
        <v>0</v>
      </c>
      <c r="G778" s="84" t="s">
        <v>2812</v>
      </c>
      <c r="H778" s="84" t="s">
        <v>2812</v>
      </c>
      <c r="I778" s="84">
        <v>0</v>
      </c>
      <c r="J778" s="84" t="s">
        <v>2805</v>
      </c>
    </row>
    <row r="779" spans="1:10" ht="12.75" customHeight="1">
      <c r="A779" s="83"/>
      <c r="B779" s="83" t="s">
        <v>2818</v>
      </c>
      <c r="C779" s="84" t="s">
        <v>2805</v>
      </c>
      <c r="D779" s="84" t="s">
        <v>2812</v>
      </c>
      <c r="E779" s="84" t="s">
        <v>2805</v>
      </c>
      <c r="F779" s="84" t="s">
        <v>2805</v>
      </c>
      <c r="G779" s="84" t="s">
        <v>2805</v>
      </c>
      <c r="H779" s="84" t="s">
        <v>2805</v>
      </c>
      <c r="I779" s="84" t="s">
        <v>2805</v>
      </c>
      <c r="J779" s="84" t="s">
        <v>2805</v>
      </c>
    </row>
    <row r="780" spans="1:10" ht="12.75" customHeight="1">
      <c r="A780" s="83"/>
      <c r="B780" s="83" t="s">
        <v>2819</v>
      </c>
      <c r="C780" s="84" t="s">
        <v>2805</v>
      </c>
      <c r="D780" s="84" t="s">
        <v>2812</v>
      </c>
      <c r="E780" s="84">
        <v>0</v>
      </c>
      <c r="F780" s="84">
        <v>0</v>
      </c>
      <c r="G780" s="84" t="s">
        <v>2812</v>
      </c>
      <c r="H780" s="84">
        <v>0</v>
      </c>
      <c r="I780" s="84">
        <v>0</v>
      </c>
      <c r="J780" s="84" t="s">
        <v>2805</v>
      </c>
    </row>
    <row r="781" spans="1:10" ht="12.75" customHeight="1">
      <c r="A781" s="83"/>
      <c r="B781" s="83" t="s">
        <v>2820</v>
      </c>
      <c r="C781" s="84" t="s">
        <v>2805</v>
      </c>
      <c r="D781" s="84" t="s">
        <v>2812</v>
      </c>
      <c r="E781" s="84" t="s">
        <v>2805</v>
      </c>
      <c r="F781" s="84" t="s">
        <v>2812</v>
      </c>
      <c r="G781" s="84">
        <v>0</v>
      </c>
      <c r="H781" s="84" t="s">
        <v>2812</v>
      </c>
      <c r="I781" s="84" t="s">
        <v>2805</v>
      </c>
      <c r="J781" s="84" t="s">
        <v>2805</v>
      </c>
    </row>
    <row r="782" spans="1:10" ht="12.75" customHeight="1">
      <c r="A782" s="83"/>
      <c r="B782" s="83" t="s">
        <v>2821</v>
      </c>
      <c r="C782" s="84" t="s">
        <v>2805</v>
      </c>
      <c r="D782" s="84" t="s">
        <v>2805</v>
      </c>
      <c r="E782" s="84">
        <v>0</v>
      </c>
      <c r="F782" s="84">
        <v>0</v>
      </c>
      <c r="G782" s="84">
        <v>0</v>
      </c>
      <c r="H782" s="84">
        <v>0</v>
      </c>
      <c r="I782" s="84">
        <v>0</v>
      </c>
      <c r="J782" s="84" t="s">
        <v>2805</v>
      </c>
    </row>
    <row r="783" spans="1:10" ht="12.75" customHeight="1">
      <c r="A783" s="83"/>
      <c r="B783" s="83" t="s">
        <v>2822</v>
      </c>
      <c r="C783" s="84" t="s">
        <v>2805</v>
      </c>
      <c r="D783" s="84" t="s">
        <v>2812</v>
      </c>
      <c r="E783" s="84">
        <v>0</v>
      </c>
      <c r="F783" s="84">
        <v>0</v>
      </c>
      <c r="G783" s="84" t="s">
        <v>2812</v>
      </c>
      <c r="H783" s="84" t="s">
        <v>2812</v>
      </c>
      <c r="I783" s="84">
        <v>0</v>
      </c>
      <c r="J783" s="84" t="s">
        <v>2805</v>
      </c>
    </row>
    <row r="784" spans="1:10" ht="12.75" customHeight="1">
      <c r="A784" s="83"/>
      <c r="B784" s="81" t="s">
        <v>2823</v>
      </c>
      <c r="C784" s="84">
        <v>4</v>
      </c>
      <c r="D784" s="84" t="s">
        <v>2812</v>
      </c>
      <c r="E784" s="84">
        <v>0</v>
      </c>
      <c r="F784" s="84" t="s">
        <v>2812</v>
      </c>
      <c r="G784" s="84">
        <v>0</v>
      </c>
      <c r="H784" s="84" t="s">
        <v>2812</v>
      </c>
      <c r="I784" s="84">
        <v>0</v>
      </c>
      <c r="J784" s="84">
        <v>4</v>
      </c>
    </row>
    <row r="785" spans="1:10" ht="12.75" customHeight="1">
      <c r="A785" s="83"/>
      <c r="B785" s="81"/>
      <c r="C785" s="84"/>
      <c r="D785" s="84"/>
      <c r="E785" s="84"/>
      <c r="F785" s="84"/>
      <c r="G785" s="84"/>
      <c r="H785" s="84"/>
      <c r="I785" s="84"/>
      <c r="J785" s="84"/>
    </row>
    <row r="786" spans="1:10" s="71" customFormat="1" ht="12.75" customHeight="1">
      <c r="A786" s="81" t="s">
        <v>2893</v>
      </c>
      <c r="B786" s="81" t="s">
        <v>2894</v>
      </c>
      <c r="C786" s="86"/>
      <c r="D786" s="86"/>
      <c r="E786" s="86"/>
      <c r="F786" s="86"/>
      <c r="G786" s="86"/>
      <c r="H786" s="86"/>
      <c r="I786" s="86"/>
      <c r="J786" s="86"/>
    </row>
    <row r="787" spans="1:10" s="71" customFormat="1" ht="12.75" customHeight="1">
      <c r="A787" s="81"/>
      <c r="B787" s="81"/>
      <c r="C787" s="86"/>
      <c r="D787" s="86"/>
      <c r="E787" s="86"/>
      <c r="F787" s="86"/>
      <c r="G787" s="86"/>
      <c r="H787" s="86"/>
      <c r="I787" s="86"/>
      <c r="J787" s="86"/>
    </row>
    <row r="788" spans="1:10" s="71" customFormat="1" ht="12.75" customHeight="1">
      <c r="A788" s="81"/>
      <c r="B788" s="81"/>
      <c r="C788" s="86"/>
      <c r="D788" s="86"/>
      <c r="E788" s="86"/>
      <c r="F788" s="86"/>
      <c r="G788" s="86"/>
      <c r="H788" s="86"/>
      <c r="I788" s="86"/>
      <c r="J788" s="86"/>
    </row>
    <row r="789" spans="1:10" ht="12.75" customHeight="1">
      <c r="A789" s="83"/>
      <c r="B789" s="81" t="s">
        <v>2803</v>
      </c>
      <c r="C789" s="84">
        <v>425</v>
      </c>
      <c r="D789" s="84">
        <v>101</v>
      </c>
      <c r="E789" s="84">
        <v>0</v>
      </c>
      <c r="F789" s="84" t="s">
        <v>2812</v>
      </c>
      <c r="G789" s="84">
        <v>218</v>
      </c>
      <c r="H789" s="84" t="s">
        <v>2812</v>
      </c>
      <c r="I789" s="84">
        <v>33</v>
      </c>
      <c r="J789" s="84">
        <v>72</v>
      </c>
    </row>
    <row r="790" spans="1:10" ht="12.75" customHeight="1">
      <c r="A790" s="83"/>
      <c r="B790" s="81" t="s">
        <v>2804</v>
      </c>
      <c r="C790" s="84" t="s">
        <v>2805</v>
      </c>
      <c r="D790" s="84" t="s">
        <v>2812</v>
      </c>
      <c r="E790" s="84">
        <v>0</v>
      </c>
      <c r="F790" s="84" t="s">
        <v>2812</v>
      </c>
      <c r="G790" s="84">
        <v>99</v>
      </c>
      <c r="H790" s="84" t="s">
        <v>2812</v>
      </c>
      <c r="I790" s="84">
        <v>30</v>
      </c>
      <c r="J790" s="84" t="s">
        <v>2805</v>
      </c>
    </row>
    <row r="791" spans="1:10" ht="12.75" customHeight="1">
      <c r="A791" s="83"/>
      <c r="B791" s="83" t="s">
        <v>2806</v>
      </c>
      <c r="C791" s="84" t="s">
        <v>2805</v>
      </c>
      <c r="D791" s="84" t="s">
        <v>2812</v>
      </c>
      <c r="E791" s="84">
        <v>0</v>
      </c>
      <c r="F791" s="84" t="s">
        <v>2812</v>
      </c>
      <c r="G791" s="84">
        <v>17</v>
      </c>
      <c r="H791" s="84" t="s">
        <v>2812</v>
      </c>
      <c r="I791" s="84">
        <v>4</v>
      </c>
      <c r="J791" s="84" t="s">
        <v>2805</v>
      </c>
    </row>
    <row r="792" spans="1:10" ht="12.75" customHeight="1">
      <c r="A792" s="83"/>
      <c r="B792" s="83" t="s">
        <v>2807</v>
      </c>
      <c r="C792" s="84" t="s">
        <v>2805</v>
      </c>
      <c r="D792" s="84">
        <v>0</v>
      </c>
      <c r="E792" s="84">
        <v>0</v>
      </c>
      <c r="F792" s="84" t="s">
        <v>2812</v>
      </c>
      <c r="G792" s="84">
        <v>82</v>
      </c>
      <c r="H792" s="84" t="s">
        <v>2812</v>
      </c>
      <c r="I792" s="84">
        <v>26</v>
      </c>
      <c r="J792" s="84" t="s">
        <v>2805</v>
      </c>
    </row>
    <row r="793" spans="1:10" ht="12.75" customHeight="1">
      <c r="A793" s="83"/>
      <c r="B793" s="81" t="s">
        <v>2808</v>
      </c>
      <c r="C793" s="84" t="s">
        <v>2805</v>
      </c>
      <c r="D793" s="84">
        <v>90</v>
      </c>
      <c r="E793" s="84">
        <v>0</v>
      </c>
      <c r="F793" s="84" t="s">
        <v>2812</v>
      </c>
      <c r="G793" s="84">
        <v>115</v>
      </c>
      <c r="H793" s="84" t="s">
        <v>2812</v>
      </c>
      <c r="I793" s="84">
        <v>3</v>
      </c>
      <c r="J793" s="84" t="s">
        <v>2805</v>
      </c>
    </row>
    <row r="794" spans="1:10" ht="12.75" customHeight="1">
      <c r="A794" s="83"/>
      <c r="B794" s="83" t="s">
        <v>2810</v>
      </c>
      <c r="C794" s="84" t="s">
        <v>2805</v>
      </c>
      <c r="D794" s="84">
        <v>7</v>
      </c>
      <c r="E794" s="84">
        <v>0</v>
      </c>
      <c r="F794" s="84">
        <v>0</v>
      </c>
      <c r="G794" s="84">
        <v>58</v>
      </c>
      <c r="H794" s="84" t="s">
        <v>2812</v>
      </c>
      <c r="I794" s="84">
        <v>3</v>
      </c>
      <c r="J794" s="84" t="s">
        <v>2805</v>
      </c>
    </row>
    <row r="795" spans="1:10" ht="12.75" customHeight="1">
      <c r="A795" s="83"/>
      <c r="B795" s="83" t="s">
        <v>2811</v>
      </c>
      <c r="C795" s="84" t="s">
        <v>2805</v>
      </c>
      <c r="D795" s="84">
        <v>4</v>
      </c>
      <c r="E795" s="84">
        <v>0</v>
      </c>
      <c r="F795" s="84">
        <v>0</v>
      </c>
      <c r="G795" s="84">
        <v>1</v>
      </c>
      <c r="H795" s="84">
        <v>0</v>
      </c>
      <c r="I795" s="84">
        <v>0</v>
      </c>
      <c r="J795" s="84" t="s">
        <v>2805</v>
      </c>
    </row>
    <row r="796" spans="1:10" ht="12.75" customHeight="1">
      <c r="A796" s="83"/>
      <c r="B796" s="83" t="s">
        <v>2813</v>
      </c>
      <c r="C796" s="84" t="s">
        <v>2805</v>
      </c>
      <c r="D796" s="84">
        <v>20</v>
      </c>
      <c r="E796" s="84">
        <v>0</v>
      </c>
      <c r="F796" s="84" t="s">
        <v>2812</v>
      </c>
      <c r="G796" s="84">
        <v>52</v>
      </c>
      <c r="H796" s="84" t="s">
        <v>2812</v>
      </c>
      <c r="I796" s="84">
        <v>0</v>
      </c>
      <c r="J796" s="84" t="s">
        <v>2805</v>
      </c>
    </row>
    <row r="797" spans="1:10" ht="12.75" customHeight="1">
      <c r="A797" s="83"/>
      <c r="B797" s="83" t="s">
        <v>2814</v>
      </c>
      <c r="C797" s="84" t="s">
        <v>2805</v>
      </c>
      <c r="D797" s="84">
        <v>55</v>
      </c>
      <c r="E797" s="84" t="s">
        <v>2805</v>
      </c>
      <c r="F797" s="84" t="s">
        <v>2805</v>
      </c>
      <c r="G797" s="84" t="s">
        <v>2805</v>
      </c>
      <c r="H797" s="84" t="s">
        <v>2805</v>
      </c>
      <c r="I797" s="84" t="s">
        <v>2805</v>
      </c>
      <c r="J797" s="84" t="s">
        <v>2805</v>
      </c>
    </row>
    <row r="798" spans="1:10" ht="12.75" customHeight="1">
      <c r="A798" s="83"/>
      <c r="B798" s="83" t="s">
        <v>2815</v>
      </c>
      <c r="C798" s="84" t="s">
        <v>2805</v>
      </c>
      <c r="D798" s="84">
        <v>5</v>
      </c>
      <c r="E798" s="84">
        <v>0</v>
      </c>
      <c r="F798" s="84" t="s">
        <v>2812</v>
      </c>
      <c r="G798" s="84">
        <v>5</v>
      </c>
      <c r="H798" s="84" t="s">
        <v>2812</v>
      </c>
      <c r="I798" s="84">
        <v>0</v>
      </c>
      <c r="J798" s="84" t="s">
        <v>2805</v>
      </c>
    </row>
    <row r="799" spans="1:10" ht="12.75" customHeight="1">
      <c r="A799" s="83"/>
      <c r="B799" s="81" t="s">
        <v>2816</v>
      </c>
      <c r="C799" s="84" t="s">
        <v>2805</v>
      </c>
      <c r="D799" s="84">
        <v>6</v>
      </c>
      <c r="E799" s="84">
        <v>0</v>
      </c>
      <c r="F799" s="84" t="s">
        <v>2812</v>
      </c>
      <c r="G799" s="84">
        <v>4</v>
      </c>
      <c r="H799" s="84" t="s">
        <v>2812</v>
      </c>
      <c r="I799" s="84">
        <v>0</v>
      </c>
      <c r="J799" s="84" t="s">
        <v>2805</v>
      </c>
    </row>
    <row r="800" spans="1:10" ht="12.75" customHeight="1">
      <c r="A800" s="83"/>
      <c r="B800" s="83" t="s">
        <v>2817</v>
      </c>
      <c r="C800" s="84" t="s">
        <v>2805</v>
      </c>
      <c r="D800" s="84">
        <v>3</v>
      </c>
      <c r="E800" s="84">
        <v>0</v>
      </c>
      <c r="F800" s="84" t="s">
        <v>2812</v>
      </c>
      <c r="G800" s="84">
        <v>3</v>
      </c>
      <c r="H800" s="84" t="s">
        <v>2812</v>
      </c>
      <c r="I800" s="84">
        <v>0</v>
      </c>
      <c r="J800" s="84" t="s">
        <v>2805</v>
      </c>
    </row>
    <row r="801" spans="1:10" ht="12.75" customHeight="1">
      <c r="A801" s="83"/>
      <c r="B801" s="83" t="s">
        <v>2818</v>
      </c>
      <c r="C801" s="84" t="s">
        <v>2805</v>
      </c>
      <c r="D801" s="84">
        <v>2</v>
      </c>
      <c r="E801" s="84" t="s">
        <v>2805</v>
      </c>
      <c r="F801" s="84" t="s">
        <v>2805</v>
      </c>
      <c r="G801" s="84" t="s">
        <v>2805</v>
      </c>
      <c r="H801" s="84" t="s">
        <v>2805</v>
      </c>
      <c r="I801" s="84" t="s">
        <v>2805</v>
      </c>
      <c r="J801" s="84" t="s">
        <v>2805</v>
      </c>
    </row>
    <row r="802" spans="1:10" ht="12.75" customHeight="1">
      <c r="A802" s="83"/>
      <c r="B802" s="83" t="s">
        <v>2819</v>
      </c>
      <c r="C802" s="84" t="s">
        <v>2805</v>
      </c>
      <c r="D802" s="84" t="s">
        <v>2812</v>
      </c>
      <c r="E802" s="84">
        <v>0</v>
      </c>
      <c r="F802" s="84" t="s">
        <v>2812</v>
      </c>
      <c r="G802" s="84" t="s">
        <v>2812</v>
      </c>
      <c r="H802" s="84">
        <v>0</v>
      </c>
      <c r="I802" s="84">
        <v>0</v>
      </c>
      <c r="J802" s="84" t="s">
        <v>2805</v>
      </c>
    </row>
    <row r="803" spans="1:10" ht="12.75" customHeight="1">
      <c r="A803" s="83"/>
      <c r="B803" s="83" t="s">
        <v>2820</v>
      </c>
      <c r="C803" s="84" t="s">
        <v>2805</v>
      </c>
      <c r="D803" s="84" t="s">
        <v>2812</v>
      </c>
      <c r="E803" s="84" t="s">
        <v>2805</v>
      </c>
      <c r="F803" s="84" t="s">
        <v>2812</v>
      </c>
      <c r="G803" s="84" t="s">
        <v>2812</v>
      </c>
      <c r="H803" s="84" t="s">
        <v>2812</v>
      </c>
      <c r="I803" s="84" t="s">
        <v>2805</v>
      </c>
      <c r="J803" s="84" t="s">
        <v>2805</v>
      </c>
    </row>
    <row r="804" spans="1:10" ht="12.75" customHeight="1">
      <c r="A804" s="83"/>
      <c r="B804" s="83" t="s">
        <v>2821</v>
      </c>
      <c r="C804" s="84" t="s">
        <v>2805</v>
      </c>
      <c r="D804" s="84" t="s">
        <v>2805</v>
      </c>
      <c r="E804" s="84">
        <v>0</v>
      </c>
      <c r="F804" s="84" t="s">
        <v>2812</v>
      </c>
      <c r="G804" s="84" t="s">
        <v>2812</v>
      </c>
      <c r="H804" s="84">
        <v>0</v>
      </c>
      <c r="I804" s="84">
        <v>0</v>
      </c>
      <c r="J804" s="84" t="s">
        <v>2805</v>
      </c>
    </row>
    <row r="805" spans="1:10" ht="12.75" customHeight="1">
      <c r="A805" s="83"/>
      <c r="B805" s="83" t="s">
        <v>2822</v>
      </c>
      <c r="C805" s="84" t="s">
        <v>2805</v>
      </c>
      <c r="D805" s="84" t="s">
        <v>2812</v>
      </c>
      <c r="E805" s="84">
        <v>0</v>
      </c>
      <c r="F805" s="84" t="s">
        <v>2812</v>
      </c>
      <c r="G805" s="84" t="s">
        <v>2826</v>
      </c>
      <c r="H805" s="84" t="s">
        <v>2812</v>
      </c>
      <c r="I805" s="84">
        <v>0</v>
      </c>
      <c r="J805" s="84" t="s">
        <v>2805</v>
      </c>
    </row>
    <row r="806" spans="1:10" ht="12.75" customHeight="1">
      <c r="A806" s="83"/>
      <c r="B806" s="81" t="s">
        <v>2823</v>
      </c>
      <c r="C806" s="84">
        <v>77</v>
      </c>
      <c r="D806" s="84">
        <v>5</v>
      </c>
      <c r="E806" s="84">
        <v>0</v>
      </c>
      <c r="F806" s="84">
        <v>0</v>
      </c>
      <c r="G806" s="84">
        <v>1</v>
      </c>
      <c r="H806" s="84" t="s">
        <v>2812</v>
      </c>
      <c r="I806" s="84">
        <v>0</v>
      </c>
      <c r="J806" s="84">
        <v>72</v>
      </c>
    </row>
    <row r="807" spans="1:10" ht="12.75" customHeight="1">
      <c r="A807" s="83"/>
      <c r="B807" s="81"/>
      <c r="C807" s="84"/>
      <c r="D807" s="84"/>
      <c r="E807" s="84"/>
      <c r="F807" s="84"/>
      <c r="G807" s="84"/>
      <c r="H807" s="84"/>
      <c r="I807" s="84"/>
      <c r="J807" s="84"/>
    </row>
    <row r="808" spans="1:10" s="71" customFormat="1" ht="12.75" customHeight="1">
      <c r="A808" s="81" t="s">
        <v>2895</v>
      </c>
      <c r="B808" s="81" t="s">
        <v>2896</v>
      </c>
      <c r="C808" s="86"/>
      <c r="D808" s="86"/>
      <c r="E808" s="86"/>
      <c r="F808" s="86"/>
      <c r="G808" s="86"/>
      <c r="H808" s="86"/>
      <c r="I808" s="86"/>
      <c r="J808" s="86"/>
    </row>
    <row r="809" spans="1:10" s="71" customFormat="1" ht="12.75" customHeight="1">
      <c r="A809" s="81"/>
      <c r="B809" s="81"/>
      <c r="C809" s="86"/>
      <c r="D809" s="86"/>
      <c r="E809" s="86"/>
      <c r="F809" s="86"/>
      <c r="G809" s="86"/>
      <c r="H809" s="86"/>
      <c r="I809" s="86"/>
      <c r="J809" s="86"/>
    </row>
    <row r="810" spans="1:10" s="71" customFormat="1" ht="12.75" customHeight="1">
      <c r="A810" s="81"/>
      <c r="B810" s="81"/>
      <c r="C810" s="86"/>
      <c r="D810" s="86"/>
      <c r="E810" s="86"/>
      <c r="F810" s="86"/>
      <c r="G810" s="86"/>
      <c r="H810" s="86"/>
      <c r="I810" s="86"/>
      <c r="J810" s="86"/>
    </row>
    <row r="811" spans="1:10" ht="12.75" customHeight="1">
      <c r="A811" s="83"/>
      <c r="B811" s="81" t="s">
        <v>2803</v>
      </c>
      <c r="C811" s="84">
        <v>453</v>
      </c>
      <c r="D811" s="84">
        <v>37</v>
      </c>
      <c r="E811" s="84">
        <v>0</v>
      </c>
      <c r="F811" s="84" t="s">
        <v>2812</v>
      </c>
      <c r="G811" s="84">
        <v>359</v>
      </c>
      <c r="H811" s="84" t="s">
        <v>2812</v>
      </c>
      <c r="I811" s="84">
        <v>44</v>
      </c>
      <c r="J811" s="84">
        <v>13</v>
      </c>
    </row>
    <row r="812" spans="1:10" ht="12.75" customHeight="1">
      <c r="A812" s="83"/>
      <c r="B812" s="81" t="s">
        <v>2804</v>
      </c>
      <c r="C812" s="84" t="s">
        <v>2805</v>
      </c>
      <c r="D812" s="84">
        <v>1</v>
      </c>
      <c r="E812" s="84">
        <v>0</v>
      </c>
      <c r="F812" s="84">
        <v>0</v>
      </c>
      <c r="G812" s="84">
        <v>205</v>
      </c>
      <c r="H812" s="84" t="s">
        <v>2812</v>
      </c>
      <c r="I812" s="84">
        <v>44</v>
      </c>
      <c r="J812" s="84" t="s">
        <v>2805</v>
      </c>
    </row>
    <row r="813" spans="1:10" ht="12.75" customHeight="1">
      <c r="A813" s="83"/>
      <c r="B813" s="83" t="s">
        <v>2806</v>
      </c>
      <c r="C813" s="84" t="s">
        <v>2805</v>
      </c>
      <c r="D813" s="84">
        <v>1</v>
      </c>
      <c r="E813" s="84">
        <v>0</v>
      </c>
      <c r="F813" s="84">
        <v>0</v>
      </c>
      <c r="G813" s="84">
        <v>115</v>
      </c>
      <c r="H813" s="84" t="s">
        <v>2812</v>
      </c>
      <c r="I813" s="84">
        <v>0</v>
      </c>
      <c r="J813" s="84" t="s">
        <v>2805</v>
      </c>
    </row>
    <row r="814" spans="1:10" ht="12.75" customHeight="1">
      <c r="A814" s="83"/>
      <c r="B814" s="83" t="s">
        <v>2807</v>
      </c>
      <c r="C814" s="84" t="s">
        <v>2805</v>
      </c>
      <c r="D814" s="84">
        <v>0</v>
      </c>
      <c r="E814" s="84">
        <v>0</v>
      </c>
      <c r="F814" s="84">
        <v>0</v>
      </c>
      <c r="G814" s="84">
        <v>90</v>
      </c>
      <c r="H814" s="84" t="s">
        <v>2812</v>
      </c>
      <c r="I814" s="84">
        <v>44</v>
      </c>
      <c r="J814" s="84" t="s">
        <v>2805</v>
      </c>
    </row>
    <row r="815" spans="1:10" ht="12.75" customHeight="1">
      <c r="A815" s="83"/>
      <c r="B815" s="81" t="s">
        <v>2808</v>
      </c>
      <c r="C815" s="84" t="s">
        <v>2805</v>
      </c>
      <c r="D815" s="84">
        <v>33</v>
      </c>
      <c r="E815" s="84">
        <v>0</v>
      </c>
      <c r="F815" s="84" t="s">
        <v>2812</v>
      </c>
      <c r="G815" s="84">
        <v>143</v>
      </c>
      <c r="H815" s="84" t="s">
        <v>2812</v>
      </c>
      <c r="I815" s="84">
        <v>0</v>
      </c>
      <c r="J815" s="84" t="s">
        <v>2805</v>
      </c>
    </row>
    <row r="816" spans="1:10" ht="12.75" customHeight="1">
      <c r="A816" s="83"/>
      <c r="B816" s="83" t="s">
        <v>2810</v>
      </c>
      <c r="C816" s="84" t="s">
        <v>2805</v>
      </c>
      <c r="D816" s="84">
        <v>1</v>
      </c>
      <c r="E816" s="84">
        <v>0</v>
      </c>
      <c r="F816" s="84">
        <v>0</v>
      </c>
      <c r="G816" s="84">
        <v>127</v>
      </c>
      <c r="H816" s="84" t="s">
        <v>2812</v>
      </c>
      <c r="I816" s="84">
        <v>0</v>
      </c>
      <c r="J816" s="84" t="s">
        <v>2805</v>
      </c>
    </row>
    <row r="817" spans="1:10" ht="12.75" customHeight="1">
      <c r="A817" s="83"/>
      <c r="B817" s="83" t="s">
        <v>2811</v>
      </c>
      <c r="C817" s="84" t="s">
        <v>2805</v>
      </c>
      <c r="D817" s="84">
        <v>5</v>
      </c>
      <c r="E817" s="84">
        <v>0</v>
      </c>
      <c r="F817" s="84" t="s">
        <v>2812</v>
      </c>
      <c r="G817" s="84">
        <v>1</v>
      </c>
      <c r="H817" s="84">
        <v>0</v>
      </c>
      <c r="I817" s="84">
        <v>0</v>
      </c>
      <c r="J817" s="84" t="s">
        <v>2805</v>
      </c>
    </row>
    <row r="818" spans="1:10" ht="12.75" customHeight="1">
      <c r="A818" s="83"/>
      <c r="B818" s="83" t="s">
        <v>2813</v>
      </c>
      <c r="C818" s="84" t="s">
        <v>2805</v>
      </c>
      <c r="D818" s="84">
        <v>26</v>
      </c>
      <c r="E818" s="84">
        <v>0</v>
      </c>
      <c r="F818" s="84" t="s">
        <v>2812</v>
      </c>
      <c r="G818" s="84">
        <v>1</v>
      </c>
      <c r="H818" s="84" t="s">
        <v>2812</v>
      </c>
      <c r="I818" s="84">
        <v>0</v>
      </c>
      <c r="J818" s="84" t="s">
        <v>2805</v>
      </c>
    </row>
    <row r="819" spans="1:10" ht="12.75" customHeight="1">
      <c r="A819" s="83"/>
      <c r="B819" s="83" t="s">
        <v>2814</v>
      </c>
      <c r="C819" s="84" t="s">
        <v>2805</v>
      </c>
      <c r="D819" s="84" t="s">
        <v>2826</v>
      </c>
      <c r="E819" s="84" t="s">
        <v>2805</v>
      </c>
      <c r="F819" s="84" t="s">
        <v>2805</v>
      </c>
      <c r="G819" s="84" t="s">
        <v>2805</v>
      </c>
      <c r="H819" s="84" t="s">
        <v>2805</v>
      </c>
      <c r="I819" s="84" t="s">
        <v>2805</v>
      </c>
      <c r="J819" s="84" t="s">
        <v>2805</v>
      </c>
    </row>
    <row r="820" spans="1:10" ht="12.75" customHeight="1">
      <c r="A820" s="83"/>
      <c r="B820" s="83" t="s">
        <v>2815</v>
      </c>
      <c r="C820" s="84" t="s">
        <v>2805</v>
      </c>
      <c r="D820" s="84" t="s">
        <v>2812</v>
      </c>
      <c r="E820" s="84">
        <v>0</v>
      </c>
      <c r="F820" s="84" t="s">
        <v>2812</v>
      </c>
      <c r="G820" s="84">
        <v>14</v>
      </c>
      <c r="H820" s="84">
        <v>0</v>
      </c>
      <c r="I820" s="84">
        <v>0</v>
      </c>
      <c r="J820" s="84" t="s">
        <v>2805</v>
      </c>
    </row>
    <row r="821" spans="1:10" ht="12.75" customHeight="1">
      <c r="A821" s="83"/>
      <c r="B821" s="81" t="s">
        <v>2816</v>
      </c>
      <c r="C821" s="84" t="s">
        <v>2805</v>
      </c>
      <c r="D821" s="84">
        <v>2</v>
      </c>
      <c r="E821" s="84">
        <v>0</v>
      </c>
      <c r="F821" s="84" t="s">
        <v>2812</v>
      </c>
      <c r="G821" s="84">
        <v>11</v>
      </c>
      <c r="H821" s="84" t="s">
        <v>2812</v>
      </c>
      <c r="I821" s="84">
        <v>0</v>
      </c>
      <c r="J821" s="84" t="s">
        <v>2805</v>
      </c>
    </row>
    <row r="822" spans="1:10" ht="12.75" customHeight="1">
      <c r="A822" s="83"/>
      <c r="B822" s="83" t="s">
        <v>2817</v>
      </c>
      <c r="C822" s="84" t="s">
        <v>2805</v>
      </c>
      <c r="D822" s="84">
        <v>1</v>
      </c>
      <c r="E822" s="84">
        <v>0</v>
      </c>
      <c r="F822" s="84" t="s">
        <v>2812</v>
      </c>
      <c r="G822" s="84">
        <v>7</v>
      </c>
      <c r="H822" s="84" t="s">
        <v>2812</v>
      </c>
      <c r="I822" s="84">
        <v>0</v>
      </c>
      <c r="J822" s="84" t="s">
        <v>2805</v>
      </c>
    </row>
    <row r="823" spans="1:10" ht="12.75" customHeight="1">
      <c r="A823" s="83"/>
      <c r="B823" s="83" t="s">
        <v>2818</v>
      </c>
      <c r="C823" s="84" t="s">
        <v>2805</v>
      </c>
      <c r="D823" s="84">
        <v>1</v>
      </c>
      <c r="E823" s="84" t="s">
        <v>2805</v>
      </c>
      <c r="F823" s="84" t="s">
        <v>2805</v>
      </c>
      <c r="G823" s="84" t="s">
        <v>2805</v>
      </c>
      <c r="H823" s="84" t="s">
        <v>2805</v>
      </c>
      <c r="I823" s="84" t="s">
        <v>2805</v>
      </c>
      <c r="J823" s="84" t="s">
        <v>2805</v>
      </c>
    </row>
    <row r="824" spans="1:10" ht="12.75" customHeight="1">
      <c r="A824" s="83"/>
      <c r="B824" s="83" t="s">
        <v>2819</v>
      </c>
      <c r="C824" s="84" t="s">
        <v>2805</v>
      </c>
      <c r="D824" s="84" t="s">
        <v>2812</v>
      </c>
      <c r="E824" s="84">
        <v>0</v>
      </c>
      <c r="F824" s="84" t="s">
        <v>2812</v>
      </c>
      <c r="G824" s="84">
        <v>4</v>
      </c>
      <c r="H824" s="84" t="s">
        <v>2812</v>
      </c>
      <c r="I824" s="84">
        <v>0</v>
      </c>
      <c r="J824" s="84" t="s">
        <v>2805</v>
      </c>
    </row>
    <row r="825" spans="1:10" ht="12.75" customHeight="1">
      <c r="A825" s="83"/>
      <c r="B825" s="83" t="s">
        <v>2820</v>
      </c>
      <c r="C825" s="84" t="s">
        <v>2805</v>
      </c>
      <c r="D825" s="84" t="s">
        <v>2812</v>
      </c>
      <c r="E825" s="84" t="s">
        <v>2805</v>
      </c>
      <c r="F825" s="84" t="s">
        <v>2812</v>
      </c>
      <c r="G825" s="84" t="s">
        <v>2812</v>
      </c>
      <c r="H825" s="84" t="s">
        <v>2812</v>
      </c>
      <c r="I825" s="84" t="s">
        <v>2805</v>
      </c>
      <c r="J825" s="84" t="s">
        <v>2805</v>
      </c>
    </row>
    <row r="826" spans="1:10" ht="12.75" customHeight="1">
      <c r="A826" s="83"/>
      <c r="B826" s="83" t="s">
        <v>2821</v>
      </c>
      <c r="C826" s="84" t="s">
        <v>2805</v>
      </c>
      <c r="D826" s="84" t="s">
        <v>2805</v>
      </c>
      <c r="E826" s="84">
        <v>0</v>
      </c>
      <c r="F826" s="84" t="s">
        <v>2812</v>
      </c>
      <c r="G826" s="84" t="s">
        <v>2812</v>
      </c>
      <c r="H826" s="84">
        <v>0</v>
      </c>
      <c r="I826" s="84">
        <v>0</v>
      </c>
      <c r="J826" s="84" t="s">
        <v>2805</v>
      </c>
    </row>
    <row r="827" spans="1:10" ht="12.75" customHeight="1">
      <c r="A827" s="83"/>
      <c r="B827" s="83" t="s">
        <v>2822</v>
      </c>
      <c r="C827" s="84" t="s">
        <v>2805</v>
      </c>
      <c r="D827" s="84" t="s">
        <v>2812</v>
      </c>
      <c r="E827" s="84">
        <v>0</v>
      </c>
      <c r="F827" s="84" t="s">
        <v>2812</v>
      </c>
      <c r="G827" s="84" t="s">
        <v>2812</v>
      </c>
      <c r="H827" s="84" t="s">
        <v>2812</v>
      </c>
      <c r="I827" s="84">
        <v>0</v>
      </c>
      <c r="J827" s="84" t="s">
        <v>2805</v>
      </c>
    </row>
    <row r="828" spans="1:10" ht="12.75" customHeight="1">
      <c r="A828" s="83"/>
      <c r="B828" s="81" t="s">
        <v>2823</v>
      </c>
      <c r="C828" s="84">
        <v>13</v>
      </c>
      <c r="D828" s="84">
        <v>0</v>
      </c>
      <c r="E828" s="84">
        <v>0</v>
      </c>
      <c r="F828" s="84">
        <v>0</v>
      </c>
      <c r="G828" s="84">
        <v>0</v>
      </c>
      <c r="H828" s="84" t="s">
        <v>2812</v>
      </c>
      <c r="I828" s="84">
        <v>0</v>
      </c>
      <c r="J828" s="84">
        <v>13</v>
      </c>
    </row>
    <row r="829" spans="1:10" ht="12.75" customHeight="1">
      <c r="A829" s="83"/>
      <c r="B829" s="81"/>
      <c r="C829" s="84"/>
      <c r="D829" s="84"/>
      <c r="E829" s="84"/>
      <c r="F829" s="84"/>
      <c r="G829" s="84"/>
      <c r="H829" s="84"/>
      <c r="I829" s="84"/>
      <c r="J829" s="84"/>
    </row>
    <row r="830" spans="1:10" s="71" customFormat="1" ht="12.75" customHeight="1">
      <c r="A830" s="81" t="s">
        <v>2897</v>
      </c>
      <c r="B830" s="81" t="s">
        <v>2898</v>
      </c>
      <c r="C830" s="86"/>
      <c r="D830" s="86"/>
      <c r="E830" s="86"/>
      <c r="F830" s="86"/>
      <c r="G830" s="86"/>
      <c r="H830" s="86"/>
      <c r="I830" s="86"/>
      <c r="J830" s="86"/>
    </row>
    <row r="831" spans="1:10" ht="12.75" customHeight="1">
      <c r="A831" s="83"/>
      <c r="B831" s="83"/>
      <c r="C831" s="84"/>
      <c r="D831" s="84"/>
      <c r="E831" s="84"/>
      <c r="F831" s="84"/>
      <c r="G831" s="84"/>
      <c r="H831" s="84"/>
      <c r="I831" s="84"/>
      <c r="J831" s="84"/>
    </row>
    <row r="832" spans="1:10" ht="12.75" customHeight="1">
      <c r="A832" s="83"/>
      <c r="B832" s="83"/>
      <c r="C832" s="84"/>
      <c r="D832" s="84"/>
      <c r="E832" s="84"/>
      <c r="F832" s="84"/>
      <c r="G832" s="84"/>
      <c r="H832" s="84"/>
      <c r="I832" s="84"/>
      <c r="J832" s="84"/>
    </row>
    <row r="833" spans="1:10" ht="12.75" customHeight="1">
      <c r="A833" s="83"/>
      <c r="B833" s="81" t="s">
        <v>2803</v>
      </c>
      <c r="C833" s="84">
        <v>88</v>
      </c>
      <c r="D833" s="84">
        <v>11</v>
      </c>
      <c r="E833" s="84">
        <v>0</v>
      </c>
      <c r="F833" s="84" t="s">
        <v>2812</v>
      </c>
      <c r="G833" s="84">
        <v>51</v>
      </c>
      <c r="H833" s="84" t="s">
        <v>2812</v>
      </c>
      <c r="I833" s="84">
        <v>0</v>
      </c>
      <c r="J833" s="84">
        <v>26</v>
      </c>
    </row>
    <row r="834" spans="1:10" ht="12.75" customHeight="1">
      <c r="A834" s="83"/>
      <c r="B834" s="81" t="s">
        <v>2804</v>
      </c>
      <c r="C834" s="84" t="s">
        <v>2805</v>
      </c>
      <c r="D834" s="84" t="s">
        <v>2812</v>
      </c>
      <c r="E834" s="84">
        <v>0</v>
      </c>
      <c r="F834" s="84" t="s">
        <v>2812</v>
      </c>
      <c r="G834" s="84">
        <v>23</v>
      </c>
      <c r="H834" s="84" t="s">
        <v>2812</v>
      </c>
      <c r="I834" s="84">
        <v>0</v>
      </c>
      <c r="J834" s="84" t="s">
        <v>2805</v>
      </c>
    </row>
    <row r="835" spans="1:10" ht="12.75" customHeight="1">
      <c r="A835" s="83"/>
      <c r="B835" s="83" t="s">
        <v>2806</v>
      </c>
      <c r="C835" s="84" t="s">
        <v>2805</v>
      </c>
      <c r="D835" s="84" t="s">
        <v>2812</v>
      </c>
      <c r="E835" s="84">
        <v>0</v>
      </c>
      <c r="F835" s="84" t="s">
        <v>2812</v>
      </c>
      <c r="G835" s="84">
        <v>11</v>
      </c>
      <c r="H835" s="84" t="s">
        <v>2812</v>
      </c>
      <c r="I835" s="84">
        <v>0</v>
      </c>
      <c r="J835" s="84" t="s">
        <v>2805</v>
      </c>
    </row>
    <row r="836" spans="1:10" ht="12.75" customHeight="1">
      <c r="A836" s="83"/>
      <c r="B836" s="83" t="s">
        <v>2807</v>
      </c>
      <c r="C836" s="84" t="s">
        <v>2805</v>
      </c>
      <c r="D836" s="84">
        <v>0</v>
      </c>
      <c r="E836" s="84">
        <v>0</v>
      </c>
      <c r="F836" s="84" t="s">
        <v>2812</v>
      </c>
      <c r="G836" s="84">
        <v>12</v>
      </c>
      <c r="H836" s="84">
        <v>0</v>
      </c>
      <c r="I836" s="84">
        <v>0</v>
      </c>
      <c r="J836" s="84" t="s">
        <v>2805</v>
      </c>
    </row>
    <row r="837" spans="1:10" ht="12.75" customHeight="1">
      <c r="A837" s="83"/>
      <c r="B837" s="81" t="s">
        <v>2808</v>
      </c>
      <c r="C837" s="84" t="s">
        <v>2805</v>
      </c>
      <c r="D837" s="84">
        <v>9</v>
      </c>
      <c r="E837" s="84">
        <v>0</v>
      </c>
      <c r="F837" s="84" t="s">
        <v>2812</v>
      </c>
      <c r="G837" s="84">
        <v>27</v>
      </c>
      <c r="H837" s="84" t="s">
        <v>2812</v>
      </c>
      <c r="I837" s="84">
        <v>0</v>
      </c>
      <c r="J837" s="84" t="s">
        <v>2805</v>
      </c>
    </row>
    <row r="838" spans="1:10" ht="12.75" customHeight="1">
      <c r="A838" s="83"/>
      <c r="B838" s="83" t="s">
        <v>2810</v>
      </c>
      <c r="C838" s="84" t="s">
        <v>2805</v>
      </c>
      <c r="D838" s="84">
        <v>1</v>
      </c>
      <c r="E838" s="84">
        <v>0</v>
      </c>
      <c r="F838" s="84" t="s">
        <v>2812</v>
      </c>
      <c r="G838" s="84">
        <v>19</v>
      </c>
      <c r="H838" s="84" t="s">
        <v>2812</v>
      </c>
      <c r="I838" s="84">
        <v>0</v>
      </c>
      <c r="J838" s="84" t="s">
        <v>2805</v>
      </c>
    </row>
    <row r="839" spans="1:10" ht="12.75" customHeight="1">
      <c r="A839" s="83"/>
      <c r="B839" s="83" t="s">
        <v>2811</v>
      </c>
      <c r="C839" s="84" t="s">
        <v>2805</v>
      </c>
      <c r="D839" s="84">
        <v>2</v>
      </c>
      <c r="E839" s="84">
        <v>0</v>
      </c>
      <c r="F839" s="84">
        <v>0</v>
      </c>
      <c r="G839" s="84" t="s">
        <v>2812</v>
      </c>
      <c r="H839" s="84">
        <v>0</v>
      </c>
      <c r="I839" s="84">
        <v>0</v>
      </c>
      <c r="J839" s="84" t="s">
        <v>2805</v>
      </c>
    </row>
    <row r="840" spans="1:10" ht="12.75" customHeight="1">
      <c r="A840" s="83"/>
      <c r="B840" s="83" t="s">
        <v>2813</v>
      </c>
      <c r="C840" s="84" t="s">
        <v>2805</v>
      </c>
      <c r="D840" s="84">
        <v>5</v>
      </c>
      <c r="E840" s="84">
        <v>0</v>
      </c>
      <c r="F840" s="84" t="s">
        <v>2812</v>
      </c>
      <c r="G840" s="84">
        <v>0</v>
      </c>
      <c r="H840" s="84" t="s">
        <v>2812</v>
      </c>
      <c r="I840" s="84">
        <v>0</v>
      </c>
      <c r="J840" s="84" t="s">
        <v>2805</v>
      </c>
    </row>
    <row r="841" spans="1:10" ht="12.75" customHeight="1">
      <c r="A841" s="83"/>
      <c r="B841" s="83" t="s">
        <v>2814</v>
      </c>
      <c r="C841" s="84" t="s">
        <v>2805</v>
      </c>
      <c r="D841" s="84">
        <v>1</v>
      </c>
      <c r="E841" s="84" t="s">
        <v>2805</v>
      </c>
      <c r="F841" s="84" t="s">
        <v>2805</v>
      </c>
      <c r="G841" s="84" t="s">
        <v>2805</v>
      </c>
      <c r="H841" s="84" t="s">
        <v>2805</v>
      </c>
      <c r="I841" s="84" t="s">
        <v>2805</v>
      </c>
      <c r="J841" s="84" t="s">
        <v>2805</v>
      </c>
    </row>
    <row r="842" spans="1:10" ht="12.75" customHeight="1">
      <c r="A842" s="83"/>
      <c r="B842" s="83" t="s">
        <v>2815</v>
      </c>
      <c r="C842" s="84" t="s">
        <v>2805</v>
      </c>
      <c r="D842" s="84" t="s">
        <v>2812</v>
      </c>
      <c r="E842" s="84">
        <v>0</v>
      </c>
      <c r="F842" s="84">
        <v>0</v>
      </c>
      <c r="G842" s="84">
        <v>8</v>
      </c>
      <c r="H842" s="84">
        <v>0</v>
      </c>
      <c r="I842" s="84">
        <v>0</v>
      </c>
      <c r="J842" s="84" t="s">
        <v>2805</v>
      </c>
    </row>
    <row r="843" spans="1:10" ht="12.75" customHeight="1">
      <c r="A843" s="83"/>
      <c r="B843" s="81" t="s">
        <v>2816</v>
      </c>
      <c r="C843" s="84" t="s">
        <v>2805</v>
      </c>
      <c r="D843" s="84">
        <v>2</v>
      </c>
      <c r="E843" s="84">
        <v>0</v>
      </c>
      <c r="F843" s="84" t="s">
        <v>2812</v>
      </c>
      <c r="G843" s="84" t="s">
        <v>2812</v>
      </c>
      <c r="H843" s="84" t="s">
        <v>2812</v>
      </c>
      <c r="I843" s="84">
        <v>0</v>
      </c>
      <c r="J843" s="84" t="s">
        <v>2805</v>
      </c>
    </row>
    <row r="844" spans="1:10" ht="12.75" customHeight="1">
      <c r="A844" s="83"/>
      <c r="B844" s="83" t="s">
        <v>2817</v>
      </c>
      <c r="C844" s="84" t="s">
        <v>2805</v>
      </c>
      <c r="D844" s="84">
        <v>1</v>
      </c>
      <c r="E844" s="84">
        <v>0</v>
      </c>
      <c r="F844" s="84" t="s">
        <v>2812</v>
      </c>
      <c r="G844" s="84" t="s">
        <v>2812</v>
      </c>
      <c r="H844" s="84" t="s">
        <v>2812</v>
      </c>
      <c r="I844" s="84">
        <v>0</v>
      </c>
      <c r="J844" s="84" t="s">
        <v>2805</v>
      </c>
    </row>
    <row r="845" spans="1:10" ht="12.75" customHeight="1">
      <c r="A845" s="83"/>
      <c r="B845" s="83" t="s">
        <v>2818</v>
      </c>
      <c r="C845" s="84" t="s">
        <v>2805</v>
      </c>
      <c r="D845" s="84">
        <v>1</v>
      </c>
      <c r="E845" s="84" t="s">
        <v>2805</v>
      </c>
      <c r="F845" s="84" t="s">
        <v>2805</v>
      </c>
      <c r="G845" s="84" t="s">
        <v>2805</v>
      </c>
      <c r="H845" s="84" t="s">
        <v>2805</v>
      </c>
      <c r="I845" s="84" t="s">
        <v>2805</v>
      </c>
      <c r="J845" s="84" t="s">
        <v>2805</v>
      </c>
    </row>
    <row r="846" spans="1:10" ht="12.75" customHeight="1">
      <c r="A846" s="83"/>
      <c r="B846" s="83" t="s">
        <v>2819</v>
      </c>
      <c r="C846" s="84" t="s">
        <v>2805</v>
      </c>
      <c r="D846" s="84" t="s">
        <v>2812</v>
      </c>
      <c r="E846" s="84">
        <v>0</v>
      </c>
      <c r="F846" s="84">
        <v>0</v>
      </c>
      <c r="G846" s="84" t="s">
        <v>2812</v>
      </c>
      <c r="H846" s="84" t="s">
        <v>2812</v>
      </c>
      <c r="I846" s="84">
        <v>0</v>
      </c>
      <c r="J846" s="84" t="s">
        <v>2805</v>
      </c>
    </row>
    <row r="847" spans="1:10" ht="12.75" customHeight="1">
      <c r="A847" s="83"/>
      <c r="B847" s="83" t="s">
        <v>2820</v>
      </c>
      <c r="C847" s="84" t="s">
        <v>2805</v>
      </c>
      <c r="D847" s="84" t="s">
        <v>2812</v>
      </c>
      <c r="E847" s="84" t="s">
        <v>2805</v>
      </c>
      <c r="F847" s="84" t="s">
        <v>2812</v>
      </c>
      <c r="G847" s="84" t="s">
        <v>2812</v>
      </c>
      <c r="H847" s="84" t="s">
        <v>2812</v>
      </c>
      <c r="I847" s="84" t="s">
        <v>2805</v>
      </c>
      <c r="J847" s="84" t="s">
        <v>2805</v>
      </c>
    </row>
    <row r="848" spans="1:10" ht="12.75" customHeight="1">
      <c r="A848" s="83"/>
      <c r="B848" s="83" t="s">
        <v>2821</v>
      </c>
      <c r="C848" s="84" t="s">
        <v>2805</v>
      </c>
      <c r="D848" s="84" t="s">
        <v>2805</v>
      </c>
      <c r="E848" s="84">
        <v>0</v>
      </c>
      <c r="F848" s="84" t="s">
        <v>2812</v>
      </c>
      <c r="G848" s="84">
        <v>0</v>
      </c>
      <c r="H848" s="84">
        <v>0</v>
      </c>
      <c r="I848" s="84">
        <v>0</v>
      </c>
      <c r="J848" s="84" t="s">
        <v>2805</v>
      </c>
    </row>
    <row r="849" spans="1:10" ht="12.75" customHeight="1">
      <c r="A849" s="83"/>
      <c r="B849" s="83" t="s">
        <v>2822</v>
      </c>
      <c r="C849" s="84" t="s">
        <v>2805</v>
      </c>
      <c r="D849" s="84" t="s">
        <v>2812</v>
      </c>
      <c r="E849" s="84">
        <v>0</v>
      </c>
      <c r="F849" s="84" t="s">
        <v>2812</v>
      </c>
      <c r="G849" s="84">
        <v>0</v>
      </c>
      <c r="H849" s="84">
        <v>0</v>
      </c>
      <c r="I849" s="84">
        <v>0</v>
      </c>
      <c r="J849" s="84" t="s">
        <v>2805</v>
      </c>
    </row>
    <row r="850" spans="1:10" ht="12.75" customHeight="1">
      <c r="A850" s="83"/>
      <c r="B850" s="81" t="s">
        <v>2823</v>
      </c>
      <c r="C850" s="84">
        <v>28</v>
      </c>
      <c r="D850" s="84" t="s">
        <v>2812</v>
      </c>
      <c r="E850" s="84">
        <v>0</v>
      </c>
      <c r="F850" s="84">
        <v>0</v>
      </c>
      <c r="G850" s="84">
        <v>2</v>
      </c>
      <c r="H850" s="84" t="s">
        <v>2812</v>
      </c>
      <c r="I850" s="84">
        <v>0</v>
      </c>
      <c r="J850" s="84">
        <v>26</v>
      </c>
    </row>
    <row r="851" spans="1:10" ht="12.75" customHeight="1">
      <c r="A851" s="83"/>
      <c r="B851" s="81"/>
      <c r="C851" s="84"/>
      <c r="D851" s="84"/>
      <c r="E851" s="84"/>
      <c r="F851" s="84"/>
      <c r="G851" s="84"/>
      <c r="H851" s="84"/>
      <c r="I851" s="84"/>
      <c r="J851" s="84"/>
    </row>
    <row r="852" spans="1:10" s="71" customFormat="1" ht="12.75" customHeight="1">
      <c r="A852" s="81" t="s">
        <v>2899</v>
      </c>
      <c r="B852" s="81" t="s">
        <v>2900</v>
      </c>
      <c r="C852" s="86"/>
      <c r="D852" s="86"/>
      <c r="E852" s="86"/>
      <c r="F852" s="86"/>
      <c r="G852" s="86"/>
      <c r="H852" s="86"/>
      <c r="I852" s="86"/>
      <c r="J852" s="86"/>
    </row>
    <row r="853" spans="1:10" ht="12.75" customHeight="1">
      <c r="A853" s="83"/>
      <c r="B853" s="83"/>
      <c r="C853" s="84"/>
      <c r="D853" s="84"/>
      <c r="E853" s="84"/>
      <c r="F853" s="84"/>
      <c r="G853" s="84"/>
      <c r="H853" s="84"/>
      <c r="I853" s="84"/>
      <c r="J853" s="84"/>
    </row>
    <row r="854" spans="1:10" ht="12.75" customHeight="1">
      <c r="A854" s="83"/>
      <c r="B854" s="83"/>
      <c r="C854" s="84"/>
      <c r="D854" s="84"/>
      <c r="E854" s="84"/>
      <c r="F854" s="84"/>
      <c r="G854" s="84"/>
      <c r="H854" s="84"/>
      <c r="I854" s="84"/>
      <c r="J854" s="84"/>
    </row>
    <row r="855" spans="1:10" ht="12.75" customHeight="1">
      <c r="A855" s="83"/>
      <c r="B855" s="81" t="s">
        <v>2803</v>
      </c>
      <c r="C855" s="84">
        <v>742</v>
      </c>
      <c r="D855" s="84">
        <v>65</v>
      </c>
      <c r="E855" s="84">
        <v>2</v>
      </c>
      <c r="F855" s="84">
        <v>1</v>
      </c>
      <c r="G855" s="84">
        <v>401</v>
      </c>
      <c r="H855" s="84" t="s">
        <v>2812</v>
      </c>
      <c r="I855" s="84">
        <v>30</v>
      </c>
      <c r="J855" s="84">
        <v>243</v>
      </c>
    </row>
    <row r="856" spans="1:10" ht="12.75" customHeight="1">
      <c r="A856" s="83"/>
      <c r="B856" s="81" t="s">
        <v>2804</v>
      </c>
      <c r="C856" s="84" t="s">
        <v>2805</v>
      </c>
      <c r="D856" s="84">
        <v>1</v>
      </c>
      <c r="E856" s="84">
        <v>2</v>
      </c>
      <c r="F856" s="84" t="s">
        <v>2812</v>
      </c>
      <c r="G856" s="84">
        <v>214</v>
      </c>
      <c r="H856" s="84" t="s">
        <v>2812</v>
      </c>
      <c r="I856" s="84">
        <v>22</v>
      </c>
      <c r="J856" s="84" t="s">
        <v>2805</v>
      </c>
    </row>
    <row r="857" spans="1:10" ht="12.75" customHeight="1">
      <c r="A857" s="83"/>
      <c r="B857" s="83" t="s">
        <v>2806</v>
      </c>
      <c r="C857" s="84" t="s">
        <v>2805</v>
      </c>
      <c r="D857" s="84">
        <v>1</v>
      </c>
      <c r="E857" s="84">
        <v>2</v>
      </c>
      <c r="F857" s="84" t="s">
        <v>2812</v>
      </c>
      <c r="G857" s="84">
        <v>72</v>
      </c>
      <c r="H857" s="84" t="s">
        <v>2812</v>
      </c>
      <c r="I857" s="84">
        <v>1</v>
      </c>
      <c r="J857" s="84" t="s">
        <v>2805</v>
      </c>
    </row>
    <row r="858" spans="1:10" ht="12.75" customHeight="1">
      <c r="A858" s="83"/>
      <c r="B858" s="83" t="s">
        <v>2807</v>
      </c>
      <c r="C858" s="84" t="s">
        <v>2805</v>
      </c>
      <c r="D858" s="84">
        <v>0</v>
      </c>
      <c r="E858" s="84" t="s">
        <v>2812</v>
      </c>
      <c r="F858" s="84" t="s">
        <v>2812</v>
      </c>
      <c r="G858" s="84">
        <v>142</v>
      </c>
      <c r="H858" s="84" t="s">
        <v>2812</v>
      </c>
      <c r="I858" s="84">
        <v>21</v>
      </c>
      <c r="J858" s="84" t="s">
        <v>2805</v>
      </c>
    </row>
    <row r="859" spans="1:10" ht="12.75" customHeight="1">
      <c r="A859" s="83"/>
      <c r="B859" s="81" t="s">
        <v>2808</v>
      </c>
      <c r="C859" s="84" t="s">
        <v>2805</v>
      </c>
      <c r="D859" s="84">
        <v>53</v>
      </c>
      <c r="E859" s="84">
        <v>0</v>
      </c>
      <c r="F859" s="84" t="s">
        <v>2812</v>
      </c>
      <c r="G859" s="84">
        <v>169</v>
      </c>
      <c r="H859" s="84" t="s">
        <v>2812</v>
      </c>
      <c r="I859" s="84">
        <v>8</v>
      </c>
      <c r="J859" s="84" t="s">
        <v>2805</v>
      </c>
    </row>
    <row r="860" spans="1:10" ht="12.75" customHeight="1">
      <c r="A860" s="83"/>
      <c r="B860" s="83" t="s">
        <v>2810</v>
      </c>
      <c r="C860" s="84" t="s">
        <v>2805</v>
      </c>
      <c r="D860" s="84">
        <v>1</v>
      </c>
      <c r="E860" s="84">
        <v>0</v>
      </c>
      <c r="F860" s="84" t="s">
        <v>2812</v>
      </c>
      <c r="G860" s="84">
        <v>120</v>
      </c>
      <c r="H860" s="84" t="s">
        <v>2812</v>
      </c>
      <c r="I860" s="84" t="s">
        <v>2812</v>
      </c>
      <c r="J860" s="84" t="s">
        <v>2805</v>
      </c>
    </row>
    <row r="861" spans="1:10" ht="12.75" customHeight="1">
      <c r="A861" s="83"/>
      <c r="B861" s="83" t="s">
        <v>2811</v>
      </c>
      <c r="C861" s="84" t="s">
        <v>2805</v>
      </c>
      <c r="D861" s="84">
        <v>8</v>
      </c>
      <c r="E861" s="84">
        <v>0</v>
      </c>
      <c r="F861" s="84" t="s">
        <v>2812</v>
      </c>
      <c r="G861" s="84">
        <v>1</v>
      </c>
      <c r="H861" s="84" t="s">
        <v>2812</v>
      </c>
      <c r="I861" s="84">
        <v>0</v>
      </c>
      <c r="J861" s="84" t="s">
        <v>2805</v>
      </c>
    </row>
    <row r="862" spans="1:10" ht="12.75" customHeight="1">
      <c r="A862" s="83"/>
      <c r="B862" s="83" t="s">
        <v>2813</v>
      </c>
      <c r="C862" s="84" t="s">
        <v>2805</v>
      </c>
      <c r="D862" s="84">
        <v>41</v>
      </c>
      <c r="E862" s="84">
        <v>0</v>
      </c>
      <c r="F862" s="84" t="s">
        <v>2812</v>
      </c>
      <c r="G862" s="84">
        <v>11</v>
      </c>
      <c r="H862" s="84" t="s">
        <v>2812</v>
      </c>
      <c r="I862" s="84">
        <v>0</v>
      </c>
      <c r="J862" s="84" t="s">
        <v>2805</v>
      </c>
    </row>
    <row r="863" spans="1:10" ht="12.75" customHeight="1">
      <c r="A863" s="83"/>
      <c r="B863" s="83" t="s">
        <v>2814</v>
      </c>
      <c r="C863" s="84" t="s">
        <v>2805</v>
      </c>
      <c r="D863" s="84">
        <v>1</v>
      </c>
      <c r="E863" s="84" t="s">
        <v>2805</v>
      </c>
      <c r="F863" s="84" t="s">
        <v>2805</v>
      </c>
      <c r="G863" s="84" t="s">
        <v>2805</v>
      </c>
      <c r="H863" s="84" t="s">
        <v>2805</v>
      </c>
      <c r="I863" s="84" t="s">
        <v>2805</v>
      </c>
      <c r="J863" s="84" t="s">
        <v>2805</v>
      </c>
    </row>
    <row r="864" spans="1:10" ht="12.75" customHeight="1">
      <c r="A864" s="83"/>
      <c r="B864" s="83" t="s">
        <v>2815</v>
      </c>
      <c r="C864" s="84" t="s">
        <v>2805</v>
      </c>
      <c r="D864" s="84">
        <v>1</v>
      </c>
      <c r="E864" s="84">
        <v>0</v>
      </c>
      <c r="F864" s="84" t="s">
        <v>2812</v>
      </c>
      <c r="G864" s="84">
        <v>36</v>
      </c>
      <c r="H864" s="84" t="s">
        <v>2812</v>
      </c>
      <c r="I864" s="84">
        <v>8</v>
      </c>
      <c r="J864" s="84" t="s">
        <v>2805</v>
      </c>
    </row>
    <row r="865" spans="1:10" ht="12.75" customHeight="1">
      <c r="A865" s="83"/>
      <c r="B865" s="81" t="s">
        <v>2816</v>
      </c>
      <c r="C865" s="84" t="s">
        <v>2805</v>
      </c>
      <c r="D865" s="84">
        <v>8</v>
      </c>
      <c r="E865" s="84">
        <v>0</v>
      </c>
      <c r="F865" s="84">
        <v>1</v>
      </c>
      <c r="G865" s="84">
        <v>6</v>
      </c>
      <c r="H865" s="84" t="s">
        <v>2812</v>
      </c>
      <c r="I865" s="84">
        <v>0</v>
      </c>
      <c r="J865" s="84" t="s">
        <v>2805</v>
      </c>
    </row>
    <row r="866" spans="1:10" ht="12.75" customHeight="1">
      <c r="A866" s="83"/>
      <c r="B866" s="83" t="s">
        <v>2817</v>
      </c>
      <c r="C866" s="84" t="s">
        <v>2805</v>
      </c>
      <c r="D866" s="84">
        <v>4</v>
      </c>
      <c r="E866" s="84">
        <v>0</v>
      </c>
      <c r="F866" s="84">
        <v>0</v>
      </c>
      <c r="G866" s="84">
        <v>3</v>
      </c>
      <c r="H866" s="84" t="s">
        <v>2812</v>
      </c>
      <c r="I866" s="84">
        <v>0</v>
      </c>
      <c r="J866" s="84" t="s">
        <v>2805</v>
      </c>
    </row>
    <row r="867" spans="1:10" ht="12.75" customHeight="1">
      <c r="A867" s="83"/>
      <c r="B867" s="83" t="s">
        <v>2818</v>
      </c>
      <c r="C867" s="84" t="s">
        <v>2805</v>
      </c>
      <c r="D867" s="84">
        <v>3</v>
      </c>
      <c r="E867" s="84" t="s">
        <v>2805</v>
      </c>
      <c r="F867" s="84" t="s">
        <v>2805</v>
      </c>
      <c r="G867" s="84" t="s">
        <v>2805</v>
      </c>
      <c r="H867" s="84" t="s">
        <v>2805</v>
      </c>
      <c r="I867" s="84" t="s">
        <v>2805</v>
      </c>
      <c r="J867" s="84" t="s">
        <v>2805</v>
      </c>
    </row>
    <row r="868" spans="1:10" ht="12.75" customHeight="1">
      <c r="A868" s="83"/>
      <c r="B868" s="83" t="s">
        <v>2819</v>
      </c>
      <c r="C868" s="84" t="s">
        <v>2805</v>
      </c>
      <c r="D868" s="84">
        <v>1</v>
      </c>
      <c r="E868" s="84">
        <v>0</v>
      </c>
      <c r="F868" s="84" t="s">
        <v>2812</v>
      </c>
      <c r="G868" s="84">
        <v>2</v>
      </c>
      <c r="H868" s="84" t="s">
        <v>2812</v>
      </c>
      <c r="I868" s="84">
        <v>0</v>
      </c>
      <c r="J868" s="84" t="s">
        <v>2805</v>
      </c>
    </row>
    <row r="869" spans="1:10" ht="12.75" customHeight="1">
      <c r="A869" s="83"/>
      <c r="B869" s="83" t="s">
        <v>2820</v>
      </c>
      <c r="C869" s="84" t="s">
        <v>2805</v>
      </c>
      <c r="D869" s="84" t="s">
        <v>2812</v>
      </c>
      <c r="E869" s="84" t="s">
        <v>2805</v>
      </c>
      <c r="F869" s="84">
        <v>1</v>
      </c>
      <c r="G869" s="84" t="s">
        <v>2812</v>
      </c>
      <c r="H869" s="84" t="s">
        <v>2812</v>
      </c>
      <c r="I869" s="84" t="s">
        <v>2805</v>
      </c>
      <c r="J869" s="84" t="s">
        <v>2805</v>
      </c>
    </row>
    <row r="870" spans="1:10" ht="12.75" customHeight="1">
      <c r="A870" s="83"/>
      <c r="B870" s="83" t="s">
        <v>2821</v>
      </c>
      <c r="C870" s="84" t="s">
        <v>2805</v>
      </c>
      <c r="D870" s="84" t="s">
        <v>2805</v>
      </c>
      <c r="E870" s="84">
        <v>0</v>
      </c>
      <c r="F870" s="84" t="s">
        <v>2812</v>
      </c>
      <c r="G870" s="84" t="s">
        <v>2812</v>
      </c>
      <c r="H870" s="84" t="s">
        <v>2812</v>
      </c>
      <c r="I870" s="84">
        <v>0</v>
      </c>
      <c r="J870" s="84" t="s">
        <v>2805</v>
      </c>
    </row>
    <row r="871" spans="1:10" ht="12.75" customHeight="1">
      <c r="A871" s="83"/>
      <c r="B871" s="83" t="s">
        <v>2822</v>
      </c>
      <c r="C871" s="84" t="s">
        <v>2805</v>
      </c>
      <c r="D871" s="84" t="s">
        <v>2812</v>
      </c>
      <c r="E871" s="84">
        <v>0</v>
      </c>
      <c r="F871" s="84" t="s">
        <v>2812</v>
      </c>
      <c r="G871" s="84" t="s">
        <v>2812</v>
      </c>
      <c r="H871" s="84" t="s">
        <v>2812</v>
      </c>
      <c r="I871" s="84">
        <v>0</v>
      </c>
      <c r="J871" s="84" t="s">
        <v>2805</v>
      </c>
    </row>
    <row r="872" spans="1:10" ht="12.75" customHeight="1">
      <c r="A872" s="83"/>
      <c r="B872" s="81" t="s">
        <v>2823</v>
      </c>
      <c r="C872" s="84">
        <v>258</v>
      </c>
      <c r="D872" s="84">
        <v>3</v>
      </c>
      <c r="E872" s="84">
        <v>0</v>
      </c>
      <c r="F872" s="84">
        <v>0</v>
      </c>
      <c r="G872" s="84">
        <v>12</v>
      </c>
      <c r="H872" s="84" t="s">
        <v>2812</v>
      </c>
      <c r="I872" s="84">
        <v>0</v>
      </c>
      <c r="J872" s="84">
        <v>243</v>
      </c>
    </row>
    <row r="873" spans="1:10" ht="12.75" customHeight="1">
      <c r="A873" s="83"/>
      <c r="B873" s="81"/>
      <c r="C873" s="84"/>
      <c r="D873" s="84"/>
      <c r="E873" s="84"/>
      <c r="F873" s="84"/>
      <c r="G873" s="84"/>
      <c r="H873" s="84"/>
      <c r="I873" s="84"/>
      <c r="J873" s="84"/>
    </row>
    <row r="874" spans="1:10" s="71" customFormat="1" ht="12.75" customHeight="1">
      <c r="A874" s="81" t="s">
        <v>2901</v>
      </c>
      <c r="B874" s="81" t="s">
        <v>2902</v>
      </c>
      <c r="C874" s="86"/>
      <c r="D874" s="86"/>
      <c r="E874" s="86"/>
      <c r="F874" s="86"/>
      <c r="G874" s="86"/>
      <c r="H874" s="86"/>
      <c r="I874" s="86"/>
      <c r="J874" s="86"/>
    </row>
    <row r="875" spans="1:10" ht="12.75" customHeight="1">
      <c r="A875" s="83"/>
      <c r="B875" s="83"/>
      <c r="C875" s="84"/>
      <c r="D875" s="84"/>
      <c r="E875" s="84"/>
      <c r="F875" s="84"/>
      <c r="G875" s="84"/>
      <c r="H875" s="84"/>
      <c r="I875" s="84"/>
      <c r="J875" s="84"/>
    </row>
    <row r="876" spans="1:10" ht="12.75" customHeight="1">
      <c r="A876" s="83"/>
      <c r="B876" s="83"/>
      <c r="C876" s="84"/>
      <c r="D876" s="84"/>
      <c r="E876" s="84"/>
      <c r="F876" s="84"/>
      <c r="G876" s="84"/>
      <c r="H876" s="84"/>
      <c r="I876" s="84"/>
      <c r="J876" s="84"/>
    </row>
    <row r="877" spans="1:10" ht="12.75" customHeight="1">
      <c r="A877" s="83"/>
      <c r="B877" s="81" t="s">
        <v>2803</v>
      </c>
      <c r="C877" s="84">
        <v>668</v>
      </c>
      <c r="D877" s="84">
        <v>58</v>
      </c>
      <c r="E877" s="84">
        <v>0</v>
      </c>
      <c r="F877" s="84" t="s">
        <v>2809</v>
      </c>
      <c r="G877" s="84">
        <v>418</v>
      </c>
      <c r="H877" s="84" t="s">
        <v>2809</v>
      </c>
      <c r="I877" s="84" t="s">
        <v>2809</v>
      </c>
      <c r="J877" s="84">
        <v>186</v>
      </c>
    </row>
    <row r="878" spans="1:10" ht="12.75" customHeight="1">
      <c r="A878" s="83"/>
      <c r="B878" s="81" t="s">
        <v>2804</v>
      </c>
      <c r="C878" s="84" t="s">
        <v>2805</v>
      </c>
      <c r="D878" s="84" t="s">
        <v>2812</v>
      </c>
      <c r="E878" s="84">
        <v>0</v>
      </c>
      <c r="F878" s="84" t="s">
        <v>2812</v>
      </c>
      <c r="G878" s="84">
        <v>283</v>
      </c>
      <c r="H878" s="84" t="s">
        <v>2826</v>
      </c>
      <c r="I878" s="84">
        <v>0</v>
      </c>
      <c r="J878" s="84" t="s">
        <v>2805</v>
      </c>
    </row>
    <row r="879" spans="1:10" ht="12.75" customHeight="1">
      <c r="A879" s="83"/>
      <c r="B879" s="83" t="s">
        <v>2806</v>
      </c>
      <c r="C879" s="84" t="s">
        <v>2805</v>
      </c>
      <c r="D879" s="84" t="s">
        <v>2812</v>
      </c>
      <c r="E879" s="84">
        <v>0</v>
      </c>
      <c r="F879" s="84" t="s">
        <v>2812</v>
      </c>
      <c r="G879" s="84">
        <v>38</v>
      </c>
      <c r="H879" s="84" t="s">
        <v>2812</v>
      </c>
      <c r="I879" s="84">
        <v>0</v>
      </c>
      <c r="J879" s="84" t="s">
        <v>2805</v>
      </c>
    </row>
    <row r="880" spans="1:10" ht="12.75" customHeight="1">
      <c r="A880" s="83"/>
      <c r="B880" s="83" t="s">
        <v>2807</v>
      </c>
      <c r="C880" s="84" t="s">
        <v>2805</v>
      </c>
      <c r="D880" s="84">
        <v>0</v>
      </c>
      <c r="E880" s="84">
        <v>0</v>
      </c>
      <c r="F880" s="84" t="s">
        <v>2812</v>
      </c>
      <c r="G880" s="84">
        <v>244</v>
      </c>
      <c r="H880" s="84" t="s">
        <v>2812</v>
      </c>
      <c r="I880" s="84">
        <v>0</v>
      </c>
      <c r="J880" s="84" t="s">
        <v>2805</v>
      </c>
    </row>
    <row r="881" spans="1:10" ht="12.75" customHeight="1">
      <c r="A881" s="83"/>
      <c r="B881" s="81" t="s">
        <v>2808</v>
      </c>
      <c r="C881" s="84" t="s">
        <v>2805</v>
      </c>
      <c r="D881" s="84">
        <v>51</v>
      </c>
      <c r="E881" s="84">
        <v>0</v>
      </c>
      <c r="F881" s="84" t="s">
        <v>2809</v>
      </c>
      <c r="G881" s="84">
        <v>130</v>
      </c>
      <c r="H881" s="84" t="s">
        <v>2809</v>
      </c>
      <c r="I881" s="84" t="s">
        <v>2809</v>
      </c>
      <c r="J881" s="84" t="s">
        <v>2805</v>
      </c>
    </row>
    <row r="882" spans="1:10" ht="12.75" customHeight="1">
      <c r="A882" s="83"/>
      <c r="B882" s="83" t="s">
        <v>2810</v>
      </c>
      <c r="C882" s="84" t="s">
        <v>2805</v>
      </c>
      <c r="D882" s="84">
        <v>2</v>
      </c>
      <c r="E882" s="84">
        <v>0</v>
      </c>
      <c r="F882" s="84" t="s">
        <v>2809</v>
      </c>
      <c r="G882" s="84">
        <v>82</v>
      </c>
      <c r="H882" s="84" t="s">
        <v>2812</v>
      </c>
      <c r="I882" s="84" t="s">
        <v>2809</v>
      </c>
      <c r="J882" s="84" t="s">
        <v>2805</v>
      </c>
    </row>
    <row r="883" spans="1:10" ht="12.75" customHeight="1">
      <c r="A883" s="83"/>
      <c r="B883" s="83" t="s">
        <v>2811</v>
      </c>
      <c r="C883" s="84" t="s">
        <v>2805</v>
      </c>
      <c r="D883" s="84">
        <v>4</v>
      </c>
      <c r="E883" s="84">
        <v>0</v>
      </c>
      <c r="F883" s="84" t="s">
        <v>2812</v>
      </c>
      <c r="G883" s="84">
        <v>1</v>
      </c>
      <c r="H883" s="84">
        <v>0</v>
      </c>
      <c r="I883" s="84">
        <v>0</v>
      </c>
      <c r="J883" s="84" t="s">
        <v>2805</v>
      </c>
    </row>
    <row r="884" spans="1:10" ht="12.75" customHeight="1">
      <c r="A884" s="83"/>
      <c r="B884" s="83" t="s">
        <v>2813</v>
      </c>
      <c r="C884" s="84" t="s">
        <v>2805</v>
      </c>
      <c r="D884" s="84">
        <v>37</v>
      </c>
      <c r="E884" s="84">
        <v>0</v>
      </c>
      <c r="F884" s="84" t="s">
        <v>2812</v>
      </c>
      <c r="G884" s="84">
        <v>4</v>
      </c>
      <c r="H884" s="84" t="s">
        <v>2812</v>
      </c>
      <c r="I884" s="84">
        <v>0</v>
      </c>
      <c r="J884" s="84" t="s">
        <v>2805</v>
      </c>
    </row>
    <row r="885" spans="1:10" ht="12.75" customHeight="1">
      <c r="A885" s="83"/>
      <c r="B885" s="83" t="s">
        <v>2814</v>
      </c>
      <c r="C885" s="84" t="s">
        <v>2805</v>
      </c>
      <c r="D885" s="84">
        <v>7</v>
      </c>
      <c r="E885" s="84" t="s">
        <v>2805</v>
      </c>
      <c r="F885" s="84" t="s">
        <v>2805</v>
      </c>
      <c r="G885" s="84" t="s">
        <v>2805</v>
      </c>
      <c r="H885" s="84" t="s">
        <v>2805</v>
      </c>
      <c r="I885" s="84" t="s">
        <v>2805</v>
      </c>
      <c r="J885" s="84" t="s">
        <v>2805</v>
      </c>
    </row>
    <row r="886" spans="1:10" ht="12.75" customHeight="1">
      <c r="A886" s="83"/>
      <c r="B886" s="83" t="s">
        <v>2815</v>
      </c>
      <c r="C886" s="84" t="s">
        <v>2805</v>
      </c>
      <c r="D886" s="84">
        <v>1</v>
      </c>
      <c r="E886" s="84">
        <v>0</v>
      </c>
      <c r="F886" s="84" t="s">
        <v>2812</v>
      </c>
      <c r="G886" s="84">
        <v>43</v>
      </c>
      <c r="H886" s="84" t="s">
        <v>2809</v>
      </c>
      <c r="I886" s="84">
        <v>0</v>
      </c>
      <c r="J886" s="84" t="s">
        <v>2805</v>
      </c>
    </row>
    <row r="887" spans="1:10" ht="12.75" customHeight="1">
      <c r="A887" s="83"/>
      <c r="B887" s="81" t="s">
        <v>2816</v>
      </c>
      <c r="C887" s="84" t="s">
        <v>2805</v>
      </c>
      <c r="D887" s="84">
        <v>6</v>
      </c>
      <c r="E887" s="84">
        <v>0</v>
      </c>
      <c r="F887" s="84">
        <v>1</v>
      </c>
      <c r="G887" s="84">
        <v>4</v>
      </c>
      <c r="H887" s="84" t="s">
        <v>2812</v>
      </c>
      <c r="I887" s="84">
        <v>0</v>
      </c>
      <c r="J887" s="84" t="s">
        <v>2805</v>
      </c>
    </row>
    <row r="888" spans="1:10" ht="12.75" customHeight="1">
      <c r="A888" s="83"/>
      <c r="B888" s="83" t="s">
        <v>2817</v>
      </c>
      <c r="C888" s="84" t="s">
        <v>2805</v>
      </c>
      <c r="D888" s="84">
        <v>3</v>
      </c>
      <c r="E888" s="84">
        <v>0</v>
      </c>
      <c r="F888" s="84" t="s">
        <v>2812</v>
      </c>
      <c r="G888" s="84">
        <v>3</v>
      </c>
      <c r="H888" s="84" t="s">
        <v>2812</v>
      </c>
      <c r="I888" s="84">
        <v>0</v>
      </c>
      <c r="J888" s="84" t="s">
        <v>2805</v>
      </c>
    </row>
    <row r="889" spans="1:10" ht="12.75" customHeight="1">
      <c r="A889" s="83"/>
      <c r="B889" s="83" t="s">
        <v>2818</v>
      </c>
      <c r="C889" s="84" t="s">
        <v>2805</v>
      </c>
      <c r="D889" s="84">
        <v>2</v>
      </c>
      <c r="E889" s="84" t="s">
        <v>2805</v>
      </c>
      <c r="F889" s="84" t="s">
        <v>2805</v>
      </c>
      <c r="G889" s="84" t="s">
        <v>2805</v>
      </c>
      <c r="H889" s="84" t="s">
        <v>2805</v>
      </c>
      <c r="I889" s="84" t="s">
        <v>2805</v>
      </c>
      <c r="J889" s="84" t="s">
        <v>2805</v>
      </c>
    </row>
    <row r="890" spans="1:10" ht="12.75" customHeight="1">
      <c r="A890" s="83"/>
      <c r="B890" s="83" t="s">
        <v>2819</v>
      </c>
      <c r="C890" s="84" t="s">
        <v>2805</v>
      </c>
      <c r="D890" s="84">
        <v>1</v>
      </c>
      <c r="E890" s="84">
        <v>0</v>
      </c>
      <c r="F890" s="84" t="s">
        <v>2812</v>
      </c>
      <c r="G890" s="84">
        <v>1</v>
      </c>
      <c r="H890" s="84" t="s">
        <v>2812</v>
      </c>
      <c r="I890" s="84">
        <v>0</v>
      </c>
      <c r="J890" s="84" t="s">
        <v>2805</v>
      </c>
    </row>
    <row r="891" spans="1:10" ht="12.75" customHeight="1">
      <c r="A891" s="83"/>
      <c r="B891" s="83" t="s">
        <v>2820</v>
      </c>
      <c r="C891" s="84" t="s">
        <v>2805</v>
      </c>
      <c r="D891" s="84" t="s">
        <v>2812</v>
      </c>
      <c r="E891" s="84" t="s">
        <v>2805</v>
      </c>
      <c r="F891" s="84" t="s">
        <v>2812</v>
      </c>
      <c r="G891" s="84" t="s">
        <v>2812</v>
      </c>
      <c r="H891" s="84" t="s">
        <v>2812</v>
      </c>
      <c r="I891" s="84" t="s">
        <v>2805</v>
      </c>
      <c r="J891" s="84" t="s">
        <v>2805</v>
      </c>
    </row>
    <row r="892" spans="1:10" ht="12.75" customHeight="1">
      <c r="A892" s="83"/>
      <c r="B892" s="83" t="s">
        <v>2821</v>
      </c>
      <c r="C892" s="84" t="s">
        <v>2805</v>
      </c>
      <c r="D892" s="84" t="s">
        <v>2805</v>
      </c>
      <c r="E892" s="84">
        <v>0</v>
      </c>
      <c r="F892" s="84" t="s">
        <v>2812</v>
      </c>
      <c r="G892" s="84" t="s">
        <v>2812</v>
      </c>
      <c r="H892" s="84">
        <v>0</v>
      </c>
      <c r="I892" s="84">
        <v>0</v>
      </c>
      <c r="J892" s="84" t="s">
        <v>2805</v>
      </c>
    </row>
    <row r="893" spans="1:10" ht="12.75" customHeight="1">
      <c r="A893" s="83"/>
      <c r="B893" s="83" t="s">
        <v>2822</v>
      </c>
      <c r="C893" s="84" t="s">
        <v>2805</v>
      </c>
      <c r="D893" s="84" t="s">
        <v>2812</v>
      </c>
      <c r="E893" s="84">
        <v>0</v>
      </c>
      <c r="F893" s="84" t="s">
        <v>2812</v>
      </c>
      <c r="G893" s="84" t="s">
        <v>2812</v>
      </c>
      <c r="H893" s="84" t="s">
        <v>2812</v>
      </c>
      <c r="I893" s="84">
        <v>0</v>
      </c>
      <c r="J893" s="84" t="s">
        <v>2805</v>
      </c>
    </row>
    <row r="894" spans="1:10" ht="12.75" customHeight="1">
      <c r="A894" s="83"/>
      <c r="B894" s="81" t="s">
        <v>2823</v>
      </c>
      <c r="C894" s="84">
        <v>188</v>
      </c>
      <c r="D894" s="84" t="s">
        <v>2826</v>
      </c>
      <c r="E894" s="84">
        <v>0</v>
      </c>
      <c r="F894" s="84" t="s">
        <v>2812</v>
      </c>
      <c r="G894" s="84" t="s">
        <v>2812</v>
      </c>
      <c r="H894" s="84" t="s">
        <v>2812</v>
      </c>
      <c r="I894" s="84">
        <v>0</v>
      </c>
      <c r="J894" s="84">
        <v>186</v>
      </c>
    </row>
    <row r="895" spans="1:10" ht="12.75" customHeight="1">
      <c r="A895" s="83"/>
      <c r="B895" s="81"/>
      <c r="C895" s="84"/>
      <c r="D895" s="84"/>
      <c r="E895" s="84"/>
      <c r="F895" s="84"/>
      <c r="G895" s="84"/>
      <c r="H895" s="84"/>
      <c r="I895" s="84"/>
      <c r="J895" s="84"/>
    </row>
    <row r="896" spans="1:10" s="71" customFormat="1" ht="12.75" customHeight="1">
      <c r="A896" s="81" t="s">
        <v>2903</v>
      </c>
      <c r="B896" s="81" t="s">
        <v>2904</v>
      </c>
      <c r="C896" s="86"/>
      <c r="D896" s="86"/>
      <c r="E896" s="86"/>
      <c r="F896" s="86"/>
      <c r="G896" s="86"/>
      <c r="H896" s="86"/>
      <c r="I896" s="86"/>
      <c r="J896" s="86"/>
    </row>
    <row r="897" spans="1:10" s="71" customFormat="1" ht="12.75" customHeight="1">
      <c r="A897" s="81"/>
      <c r="B897" s="81"/>
      <c r="C897" s="86"/>
      <c r="D897" s="86"/>
      <c r="E897" s="86"/>
      <c r="F897" s="86"/>
      <c r="G897" s="86"/>
      <c r="H897" s="86"/>
      <c r="I897" s="86"/>
      <c r="J897" s="86"/>
    </row>
    <row r="898" spans="1:10" s="71" customFormat="1" ht="12.75" customHeight="1">
      <c r="A898" s="81"/>
      <c r="B898" s="81"/>
      <c r="C898" s="86"/>
      <c r="D898" s="86"/>
      <c r="E898" s="86"/>
      <c r="F898" s="86"/>
      <c r="G898" s="86"/>
      <c r="H898" s="86"/>
      <c r="I898" s="86"/>
      <c r="J898" s="86"/>
    </row>
    <row r="899" spans="1:10" ht="12.75" customHeight="1">
      <c r="A899" s="83"/>
      <c r="B899" s="81" t="s">
        <v>2803</v>
      </c>
      <c r="C899" s="84">
        <v>35</v>
      </c>
      <c r="D899" s="84">
        <v>5</v>
      </c>
      <c r="E899" s="84">
        <v>0</v>
      </c>
      <c r="F899" s="84" t="s">
        <v>2812</v>
      </c>
      <c r="G899" s="84">
        <v>19</v>
      </c>
      <c r="H899" s="84" t="s">
        <v>2812</v>
      </c>
      <c r="I899" s="84">
        <v>2</v>
      </c>
      <c r="J899" s="84">
        <v>9</v>
      </c>
    </row>
    <row r="900" spans="1:10" ht="12.75" customHeight="1">
      <c r="A900" s="83"/>
      <c r="B900" s="81" t="s">
        <v>2804</v>
      </c>
      <c r="C900" s="84" t="s">
        <v>2805</v>
      </c>
      <c r="D900" s="84" t="s">
        <v>2812</v>
      </c>
      <c r="E900" s="84">
        <v>0</v>
      </c>
      <c r="F900" s="84" t="s">
        <v>2812</v>
      </c>
      <c r="G900" s="84">
        <v>17</v>
      </c>
      <c r="H900" s="84" t="s">
        <v>2812</v>
      </c>
      <c r="I900" s="84">
        <v>2</v>
      </c>
      <c r="J900" s="84" t="s">
        <v>2805</v>
      </c>
    </row>
    <row r="901" spans="1:10" ht="12.75" customHeight="1">
      <c r="A901" s="83"/>
      <c r="B901" s="83" t="s">
        <v>2806</v>
      </c>
      <c r="C901" s="84" t="s">
        <v>2805</v>
      </c>
      <c r="D901" s="84" t="s">
        <v>2812</v>
      </c>
      <c r="E901" s="84">
        <v>0</v>
      </c>
      <c r="F901" s="84" t="s">
        <v>2812</v>
      </c>
      <c r="G901" s="84">
        <v>10</v>
      </c>
      <c r="H901" s="84" t="s">
        <v>2812</v>
      </c>
      <c r="I901" s="84">
        <v>1</v>
      </c>
      <c r="J901" s="84" t="s">
        <v>2805</v>
      </c>
    </row>
    <row r="902" spans="1:10" ht="12.75" customHeight="1">
      <c r="A902" s="83"/>
      <c r="B902" s="83" t="s">
        <v>2807</v>
      </c>
      <c r="C902" s="84" t="s">
        <v>2805</v>
      </c>
      <c r="D902" s="84">
        <v>0</v>
      </c>
      <c r="E902" s="84">
        <v>0</v>
      </c>
      <c r="F902" s="84" t="s">
        <v>2812</v>
      </c>
      <c r="G902" s="84">
        <v>6</v>
      </c>
      <c r="H902" s="84">
        <v>0</v>
      </c>
      <c r="I902" s="84" t="s">
        <v>2812</v>
      </c>
      <c r="J902" s="84" t="s">
        <v>2805</v>
      </c>
    </row>
    <row r="903" spans="1:10" ht="12.75" customHeight="1">
      <c r="A903" s="83"/>
      <c r="B903" s="81" t="s">
        <v>2808</v>
      </c>
      <c r="C903" s="84" t="s">
        <v>2805</v>
      </c>
      <c r="D903" s="84">
        <v>4</v>
      </c>
      <c r="E903" s="84">
        <v>0</v>
      </c>
      <c r="F903" s="84" t="s">
        <v>2812</v>
      </c>
      <c r="G903" s="84">
        <v>2</v>
      </c>
      <c r="H903" s="84" t="s">
        <v>2812</v>
      </c>
      <c r="I903" s="84">
        <v>0</v>
      </c>
      <c r="J903" s="84" t="s">
        <v>2805</v>
      </c>
    </row>
    <row r="904" spans="1:10" ht="12.75" customHeight="1">
      <c r="A904" s="83"/>
      <c r="B904" s="83" t="s">
        <v>2810</v>
      </c>
      <c r="C904" s="84" t="s">
        <v>2805</v>
      </c>
      <c r="D904" s="84" t="s">
        <v>2812</v>
      </c>
      <c r="E904" s="84">
        <v>0</v>
      </c>
      <c r="F904" s="84">
        <v>0</v>
      </c>
      <c r="G904" s="84">
        <v>2</v>
      </c>
      <c r="H904" s="84" t="s">
        <v>2812</v>
      </c>
      <c r="I904" s="84">
        <v>0</v>
      </c>
      <c r="J904" s="84" t="s">
        <v>2805</v>
      </c>
    </row>
    <row r="905" spans="1:10" ht="12.75" customHeight="1">
      <c r="A905" s="83"/>
      <c r="B905" s="83" t="s">
        <v>2811</v>
      </c>
      <c r="C905" s="84" t="s">
        <v>2805</v>
      </c>
      <c r="D905" s="84">
        <v>1</v>
      </c>
      <c r="E905" s="84">
        <v>0</v>
      </c>
      <c r="F905" s="84">
        <v>0</v>
      </c>
      <c r="G905" s="84" t="s">
        <v>2812</v>
      </c>
      <c r="H905" s="84" t="s">
        <v>2812</v>
      </c>
      <c r="I905" s="84">
        <v>0</v>
      </c>
      <c r="J905" s="84" t="s">
        <v>2805</v>
      </c>
    </row>
    <row r="906" spans="1:10" ht="12.75" customHeight="1">
      <c r="A906" s="83"/>
      <c r="B906" s="83" t="s">
        <v>2813</v>
      </c>
      <c r="C906" s="84" t="s">
        <v>2805</v>
      </c>
      <c r="D906" s="84">
        <v>3</v>
      </c>
      <c r="E906" s="84">
        <v>0</v>
      </c>
      <c r="F906" s="84" t="s">
        <v>2812</v>
      </c>
      <c r="G906" s="84" t="s">
        <v>2812</v>
      </c>
      <c r="H906" s="84" t="s">
        <v>2812</v>
      </c>
      <c r="I906" s="84">
        <v>0</v>
      </c>
      <c r="J906" s="84" t="s">
        <v>2805</v>
      </c>
    </row>
    <row r="907" spans="1:10" ht="12.75" customHeight="1">
      <c r="A907" s="83"/>
      <c r="B907" s="83" t="s">
        <v>2814</v>
      </c>
      <c r="C907" s="84" t="s">
        <v>2805</v>
      </c>
      <c r="D907" s="84" t="s">
        <v>2812</v>
      </c>
      <c r="E907" s="84" t="s">
        <v>2805</v>
      </c>
      <c r="F907" s="84" t="s">
        <v>2805</v>
      </c>
      <c r="G907" s="84" t="s">
        <v>2805</v>
      </c>
      <c r="H907" s="84" t="s">
        <v>2805</v>
      </c>
      <c r="I907" s="84" t="s">
        <v>2805</v>
      </c>
      <c r="J907" s="84" t="s">
        <v>2805</v>
      </c>
    </row>
    <row r="908" spans="1:10" ht="12.75" customHeight="1">
      <c r="A908" s="83"/>
      <c r="B908" s="83" t="s">
        <v>2815</v>
      </c>
      <c r="C908" s="84" t="s">
        <v>2805</v>
      </c>
      <c r="D908" s="84" t="s">
        <v>2812</v>
      </c>
      <c r="E908" s="84">
        <v>0</v>
      </c>
      <c r="F908" s="84" t="s">
        <v>2812</v>
      </c>
      <c r="G908" s="84" t="s">
        <v>2812</v>
      </c>
      <c r="H908" s="84" t="s">
        <v>2812</v>
      </c>
      <c r="I908" s="84">
        <v>0</v>
      </c>
      <c r="J908" s="84" t="s">
        <v>2805</v>
      </c>
    </row>
    <row r="909" spans="1:10" ht="12.75" customHeight="1">
      <c r="A909" s="83"/>
      <c r="B909" s="81" t="s">
        <v>2816</v>
      </c>
      <c r="C909" s="84" t="s">
        <v>2805</v>
      </c>
      <c r="D909" s="84">
        <v>1</v>
      </c>
      <c r="E909" s="84">
        <v>0</v>
      </c>
      <c r="F909" s="84" t="s">
        <v>2812</v>
      </c>
      <c r="G909" s="84" t="s">
        <v>2812</v>
      </c>
      <c r="H909" s="84" t="s">
        <v>2812</v>
      </c>
      <c r="I909" s="84">
        <v>0</v>
      </c>
      <c r="J909" s="84" t="s">
        <v>2805</v>
      </c>
    </row>
    <row r="910" spans="1:10" ht="12.75" customHeight="1">
      <c r="A910" s="83"/>
      <c r="B910" s="83" t="s">
        <v>2817</v>
      </c>
      <c r="C910" s="84" t="s">
        <v>2805</v>
      </c>
      <c r="D910" s="84" t="s">
        <v>2812</v>
      </c>
      <c r="E910" s="84">
        <v>0</v>
      </c>
      <c r="F910" s="84">
        <v>0</v>
      </c>
      <c r="G910" s="84" t="s">
        <v>2812</v>
      </c>
      <c r="H910" s="84" t="s">
        <v>2812</v>
      </c>
      <c r="I910" s="84">
        <v>0</v>
      </c>
      <c r="J910" s="84" t="s">
        <v>2805</v>
      </c>
    </row>
    <row r="911" spans="1:10" ht="12.75" customHeight="1">
      <c r="A911" s="83"/>
      <c r="B911" s="83" t="s">
        <v>2818</v>
      </c>
      <c r="C911" s="84" t="s">
        <v>2805</v>
      </c>
      <c r="D911" s="84" t="s">
        <v>2812</v>
      </c>
      <c r="E911" s="84" t="s">
        <v>2805</v>
      </c>
      <c r="F911" s="84" t="s">
        <v>2805</v>
      </c>
      <c r="G911" s="84" t="s">
        <v>2805</v>
      </c>
      <c r="H911" s="84" t="s">
        <v>2805</v>
      </c>
      <c r="I911" s="84" t="s">
        <v>2805</v>
      </c>
      <c r="J911" s="84" t="s">
        <v>2805</v>
      </c>
    </row>
    <row r="912" spans="1:10" ht="12.75" customHeight="1">
      <c r="A912" s="83"/>
      <c r="B912" s="83" t="s">
        <v>2819</v>
      </c>
      <c r="C912" s="84" t="s">
        <v>2805</v>
      </c>
      <c r="D912" s="84" t="s">
        <v>2812</v>
      </c>
      <c r="E912" s="84">
        <v>0</v>
      </c>
      <c r="F912" s="84" t="s">
        <v>2812</v>
      </c>
      <c r="G912" s="84" t="s">
        <v>2812</v>
      </c>
      <c r="H912" s="84" t="s">
        <v>2812</v>
      </c>
      <c r="I912" s="84">
        <v>0</v>
      </c>
      <c r="J912" s="84" t="s">
        <v>2805</v>
      </c>
    </row>
    <row r="913" spans="1:10" ht="12.75" customHeight="1">
      <c r="A913" s="83"/>
      <c r="B913" s="83" t="s">
        <v>2820</v>
      </c>
      <c r="C913" s="84" t="s">
        <v>2805</v>
      </c>
      <c r="D913" s="84" t="s">
        <v>2812</v>
      </c>
      <c r="E913" s="84" t="s">
        <v>2805</v>
      </c>
      <c r="F913" s="84" t="s">
        <v>2812</v>
      </c>
      <c r="G913" s="84" t="s">
        <v>2812</v>
      </c>
      <c r="H913" s="84" t="s">
        <v>2812</v>
      </c>
      <c r="I913" s="84" t="s">
        <v>2805</v>
      </c>
      <c r="J913" s="84" t="s">
        <v>2805</v>
      </c>
    </row>
    <row r="914" spans="1:10" ht="12.75" customHeight="1">
      <c r="A914" s="83"/>
      <c r="B914" s="83" t="s">
        <v>2821</v>
      </c>
      <c r="C914" s="84" t="s">
        <v>2805</v>
      </c>
      <c r="D914" s="84" t="s">
        <v>2805</v>
      </c>
      <c r="E914" s="84">
        <v>0</v>
      </c>
      <c r="F914" s="84" t="s">
        <v>2812</v>
      </c>
      <c r="G914" s="84">
        <v>0</v>
      </c>
      <c r="H914" s="84">
        <v>0</v>
      </c>
      <c r="I914" s="84">
        <v>0</v>
      </c>
      <c r="J914" s="84" t="s">
        <v>2805</v>
      </c>
    </row>
    <row r="915" spans="1:10" ht="12.75" customHeight="1">
      <c r="A915" s="83"/>
      <c r="B915" s="83" t="s">
        <v>2822</v>
      </c>
      <c r="C915" s="84" t="s">
        <v>2805</v>
      </c>
      <c r="D915" s="84" t="s">
        <v>2812</v>
      </c>
      <c r="E915" s="84">
        <v>0</v>
      </c>
      <c r="F915" s="84" t="s">
        <v>2812</v>
      </c>
      <c r="G915" s="84" t="s">
        <v>2812</v>
      </c>
      <c r="H915" s="84">
        <v>0</v>
      </c>
      <c r="I915" s="84">
        <v>0</v>
      </c>
      <c r="J915" s="84" t="s">
        <v>2805</v>
      </c>
    </row>
    <row r="916" spans="1:10" ht="12.75" customHeight="1">
      <c r="A916" s="83"/>
      <c r="B916" s="81" t="s">
        <v>2823</v>
      </c>
      <c r="C916" s="84">
        <v>9</v>
      </c>
      <c r="D916" s="84" t="s">
        <v>2812</v>
      </c>
      <c r="E916" s="84">
        <v>0</v>
      </c>
      <c r="F916" s="84">
        <v>0</v>
      </c>
      <c r="G916" s="84" t="s">
        <v>2812</v>
      </c>
      <c r="H916" s="84" t="s">
        <v>2812</v>
      </c>
      <c r="I916" s="84">
        <v>0</v>
      </c>
      <c r="J916" s="84">
        <v>9</v>
      </c>
    </row>
    <row r="917" spans="1:10" ht="12.75" customHeight="1">
      <c r="A917" s="83"/>
      <c r="B917" s="81"/>
      <c r="C917" s="84"/>
      <c r="D917" s="84"/>
      <c r="E917" s="84"/>
      <c r="F917" s="84"/>
      <c r="G917" s="84"/>
      <c r="H917" s="84"/>
      <c r="I917" s="84"/>
      <c r="J917" s="84"/>
    </row>
    <row r="918" spans="1:10" s="71" customFormat="1" ht="12.75" customHeight="1">
      <c r="A918" s="81" t="s">
        <v>2905</v>
      </c>
      <c r="B918" s="81" t="s">
        <v>2906</v>
      </c>
      <c r="C918" s="86"/>
      <c r="D918" s="86"/>
      <c r="E918" s="86"/>
      <c r="F918" s="86"/>
      <c r="G918" s="86"/>
      <c r="H918" s="86"/>
      <c r="I918" s="86"/>
      <c r="J918" s="86"/>
    </row>
    <row r="919" spans="1:10" s="71" customFormat="1" ht="12.75" customHeight="1">
      <c r="A919" s="81"/>
      <c r="B919" s="81"/>
      <c r="C919" s="86"/>
      <c r="D919" s="86"/>
      <c r="E919" s="86"/>
      <c r="F919" s="86"/>
      <c r="G919" s="86"/>
      <c r="H919" s="86"/>
      <c r="I919" s="86"/>
      <c r="J919" s="86"/>
    </row>
    <row r="920" spans="1:10" s="71" customFormat="1" ht="12.75" customHeight="1">
      <c r="A920" s="81"/>
      <c r="B920" s="81"/>
      <c r="C920" s="86"/>
      <c r="D920" s="86"/>
      <c r="E920" s="86"/>
      <c r="F920" s="86"/>
      <c r="G920" s="86"/>
      <c r="H920" s="86"/>
      <c r="I920" s="86"/>
      <c r="J920" s="86"/>
    </row>
    <row r="921" spans="1:10" ht="12.75" customHeight="1">
      <c r="A921" s="83"/>
      <c r="B921" s="81" t="s">
        <v>2803</v>
      </c>
      <c r="C921" s="84">
        <v>33</v>
      </c>
      <c r="D921" s="84">
        <v>9</v>
      </c>
      <c r="E921" s="84">
        <v>0</v>
      </c>
      <c r="F921" s="84" t="s">
        <v>2812</v>
      </c>
      <c r="G921" s="84">
        <v>23</v>
      </c>
      <c r="H921" s="84" t="s">
        <v>2812</v>
      </c>
      <c r="I921" s="84" t="s">
        <v>2812</v>
      </c>
      <c r="J921" s="84" t="s">
        <v>2812</v>
      </c>
    </row>
    <row r="922" spans="1:10" ht="12.75" customHeight="1">
      <c r="A922" s="83"/>
      <c r="B922" s="81" t="s">
        <v>2804</v>
      </c>
      <c r="C922" s="84" t="s">
        <v>2805</v>
      </c>
      <c r="D922" s="84" t="s">
        <v>2812</v>
      </c>
      <c r="E922" s="84">
        <v>0</v>
      </c>
      <c r="F922" s="84" t="s">
        <v>2812</v>
      </c>
      <c r="G922" s="84">
        <v>14</v>
      </c>
      <c r="H922" s="84" t="s">
        <v>2812</v>
      </c>
      <c r="I922" s="84" t="s">
        <v>2812</v>
      </c>
      <c r="J922" s="84" t="s">
        <v>2805</v>
      </c>
    </row>
    <row r="923" spans="1:10" ht="12.75" customHeight="1">
      <c r="A923" s="83"/>
      <c r="B923" s="83" t="s">
        <v>2806</v>
      </c>
      <c r="C923" s="84" t="s">
        <v>2805</v>
      </c>
      <c r="D923" s="84" t="s">
        <v>2812</v>
      </c>
      <c r="E923" s="84">
        <v>0</v>
      </c>
      <c r="F923" s="84" t="s">
        <v>2812</v>
      </c>
      <c r="G923" s="84">
        <v>9</v>
      </c>
      <c r="H923" s="84" t="s">
        <v>2812</v>
      </c>
      <c r="I923" s="84">
        <v>0</v>
      </c>
      <c r="J923" s="84" t="s">
        <v>2805</v>
      </c>
    </row>
    <row r="924" spans="1:10" ht="12.75" customHeight="1">
      <c r="A924" s="83"/>
      <c r="B924" s="83" t="s">
        <v>2807</v>
      </c>
      <c r="C924" s="84" t="s">
        <v>2805</v>
      </c>
      <c r="D924" s="84">
        <v>0</v>
      </c>
      <c r="E924" s="84">
        <v>0</v>
      </c>
      <c r="F924" s="84">
        <v>0</v>
      </c>
      <c r="G924" s="84">
        <v>5</v>
      </c>
      <c r="H924" s="84" t="s">
        <v>2812</v>
      </c>
      <c r="I924" s="84" t="s">
        <v>2812</v>
      </c>
      <c r="J924" s="84" t="s">
        <v>2805</v>
      </c>
    </row>
    <row r="925" spans="1:10" ht="12.75" customHeight="1">
      <c r="A925" s="83"/>
      <c r="B925" s="81" t="s">
        <v>2808</v>
      </c>
      <c r="C925" s="84" t="s">
        <v>2805</v>
      </c>
      <c r="D925" s="84">
        <v>7</v>
      </c>
      <c r="E925" s="84">
        <v>0</v>
      </c>
      <c r="F925" s="84" t="s">
        <v>2812</v>
      </c>
      <c r="G925" s="84">
        <v>7</v>
      </c>
      <c r="H925" s="84" t="s">
        <v>2812</v>
      </c>
      <c r="I925" s="84">
        <v>0</v>
      </c>
      <c r="J925" s="84" t="s">
        <v>2805</v>
      </c>
    </row>
    <row r="926" spans="1:10" ht="12.75" customHeight="1">
      <c r="A926" s="83"/>
      <c r="B926" s="83" t="s">
        <v>2810</v>
      </c>
      <c r="C926" s="84" t="s">
        <v>2805</v>
      </c>
      <c r="D926" s="84">
        <v>1</v>
      </c>
      <c r="E926" s="84">
        <v>0</v>
      </c>
      <c r="F926" s="84" t="s">
        <v>2812</v>
      </c>
      <c r="G926" s="84">
        <v>6</v>
      </c>
      <c r="H926" s="84" t="s">
        <v>2812</v>
      </c>
      <c r="I926" s="84">
        <v>0</v>
      </c>
      <c r="J926" s="84" t="s">
        <v>2805</v>
      </c>
    </row>
    <row r="927" spans="1:10" ht="12.75" customHeight="1">
      <c r="A927" s="83"/>
      <c r="B927" s="83" t="s">
        <v>2811</v>
      </c>
      <c r="C927" s="84" t="s">
        <v>2805</v>
      </c>
      <c r="D927" s="84">
        <v>1</v>
      </c>
      <c r="E927" s="84">
        <v>0</v>
      </c>
      <c r="F927" s="84">
        <v>0</v>
      </c>
      <c r="G927" s="84">
        <v>0</v>
      </c>
      <c r="H927" s="84">
        <v>0</v>
      </c>
      <c r="I927" s="84">
        <v>0</v>
      </c>
      <c r="J927" s="84" t="s">
        <v>2805</v>
      </c>
    </row>
    <row r="928" spans="1:10" ht="12.75" customHeight="1">
      <c r="A928" s="83"/>
      <c r="B928" s="83" t="s">
        <v>2813</v>
      </c>
      <c r="C928" s="84" t="s">
        <v>2805</v>
      </c>
      <c r="D928" s="84">
        <v>6</v>
      </c>
      <c r="E928" s="84">
        <v>0</v>
      </c>
      <c r="F928" s="84" t="s">
        <v>2812</v>
      </c>
      <c r="G928" s="84" t="s">
        <v>2812</v>
      </c>
      <c r="H928" s="84" t="s">
        <v>2812</v>
      </c>
      <c r="I928" s="84">
        <v>0</v>
      </c>
      <c r="J928" s="84" t="s">
        <v>2805</v>
      </c>
    </row>
    <row r="929" spans="1:10" ht="12.75" customHeight="1">
      <c r="A929" s="83"/>
      <c r="B929" s="83" t="s">
        <v>2814</v>
      </c>
      <c r="C929" s="84" t="s">
        <v>2805</v>
      </c>
      <c r="D929" s="84" t="s">
        <v>2812</v>
      </c>
      <c r="E929" s="84" t="s">
        <v>2805</v>
      </c>
      <c r="F929" s="84" t="s">
        <v>2805</v>
      </c>
      <c r="G929" s="84" t="s">
        <v>2805</v>
      </c>
      <c r="H929" s="84" t="s">
        <v>2805</v>
      </c>
      <c r="I929" s="84" t="s">
        <v>2805</v>
      </c>
      <c r="J929" s="84" t="s">
        <v>2805</v>
      </c>
    </row>
    <row r="930" spans="1:10" ht="12.75" customHeight="1">
      <c r="A930" s="83"/>
      <c r="B930" s="83" t="s">
        <v>2815</v>
      </c>
      <c r="C930" s="84" t="s">
        <v>2805</v>
      </c>
      <c r="D930" s="84" t="s">
        <v>2812</v>
      </c>
      <c r="E930" s="84">
        <v>0</v>
      </c>
      <c r="F930" s="84">
        <v>0</v>
      </c>
      <c r="G930" s="84" t="s">
        <v>2812</v>
      </c>
      <c r="H930" s="84" t="s">
        <v>2812</v>
      </c>
      <c r="I930" s="84">
        <v>0</v>
      </c>
      <c r="J930" s="84" t="s">
        <v>2805</v>
      </c>
    </row>
    <row r="931" spans="1:10" ht="12.75" customHeight="1">
      <c r="A931" s="83"/>
      <c r="B931" s="81" t="s">
        <v>2816</v>
      </c>
      <c r="C931" s="84" t="s">
        <v>2805</v>
      </c>
      <c r="D931" s="84">
        <v>2</v>
      </c>
      <c r="E931" s="84">
        <v>0</v>
      </c>
      <c r="F931" s="84" t="s">
        <v>2812</v>
      </c>
      <c r="G931" s="84">
        <v>2</v>
      </c>
      <c r="H931" s="84" t="s">
        <v>2812</v>
      </c>
      <c r="I931" s="84">
        <v>0</v>
      </c>
      <c r="J931" s="84" t="s">
        <v>2805</v>
      </c>
    </row>
    <row r="932" spans="1:10" ht="12.75" customHeight="1">
      <c r="A932" s="83"/>
      <c r="B932" s="83" t="s">
        <v>2817</v>
      </c>
      <c r="C932" s="84" t="s">
        <v>2805</v>
      </c>
      <c r="D932" s="84">
        <v>1</v>
      </c>
      <c r="E932" s="84">
        <v>0</v>
      </c>
      <c r="F932" s="84">
        <v>0</v>
      </c>
      <c r="G932" s="84">
        <v>2</v>
      </c>
      <c r="H932" s="84" t="s">
        <v>2812</v>
      </c>
      <c r="I932" s="84">
        <v>0</v>
      </c>
      <c r="J932" s="84" t="s">
        <v>2805</v>
      </c>
    </row>
    <row r="933" spans="1:10" ht="12.75" customHeight="1">
      <c r="A933" s="83"/>
      <c r="B933" s="83" t="s">
        <v>2818</v>
      </c>
      <c r="C933" s="84" t="s">
        <v>2805</v>
      </c>
      <c r="D933" s="84" t="s">
        <v>2812</v>
      </c>
      <c r="E933" s="84" t="s">
        <v>2805</v>
      </c>
      <c r="F933" s="84" t="s">
        <v>2805</v>
      </c>
      <c r="G933" s="84" t="s">
        <v>2805</v>
      </c>
      <c r="H933" s="84" t="s">
        <v>2805</v>
      </c>
      <c r="I933" s="84" t="s">
        <v>2805</v>
      </c>
      <c r="J933" s="84" t="s">
        <v>2805</v>
      </c>
    </row>
    <row r="934" spans="1:10" ht="12.75" customHeight="1">
      <c r="A934" s="83"/>
      <c r="B934" s="83" t="s">
        <v>2819</v>
      </c>
      <c r="C934" s="84" t="s">
        <v>2805</v>
      </c>
      <c r="D934" s="84" t="s">
        <v>2812</v>
      </c>
      <c r="E934" s="84">
        <v>0</v>
      </c>
      <c r="F934" s="84">
        <v>0</v>
      </c>
      <c r="G934" s="84" t="s">
        <v>2812</v>
      </c>
      <c r="H934" s="84" t="s">
        <v>2812</v>
      </c>
      <c r="I934" s="84">
        <v>0</v>
      </c>
      <c r="J934" s="84" t="s">
        <v>2805</v>
      </c>
    </row>
    <row r="935" spans="1:10" ht="12.75" customHeight="1">
      <c r="A935" s="83"/>
      <c r="B935" s="83" t="s">
        <v>2820</v>
      </c>
      <c r="C935" s="84" t="s">
        <v>2805</v>
      </c>
      <c r="D935" s="84" t="s">
        <v>2812</v>
      </c>
      <c r="E935" s="84" t="s">
        <v>2805</v>
      </c>
      <c r="F935" s="84" t="s">
        <v>2812</v>
      </c>
      <c r="G935" s="84">
        <v>0</v>
      </c>
      <c r="H935" s="84" t="s">
        <v>2812</v>
      </c>
      <c r="I935" s="84" t="s">
        <v>2805</v>
      </c>
      <c r="J935" s="84" t="s">
        <v>2805</v>
      </c>
    </row>
    <row r="936" spans="1:10" ht="12.75" customHeight="1">
      <c r="A936" s="83"/>
      <c r="B936" s="83" t="s">
        <v>2821</v>
      </c>
      <c r="C936" s="84" t="s">
        <v>2805</v>
      </c>
      <c r="D936" s="84" t="s">
        <v>2805</v>
      </c>
      <c r="E936" s="84">
        <v>0</v>
      </c>
      <c r="F936" s="84">
        <v>0</v>
      </c>
      <c r="G936" s="84">
        <v>0</v>
      </c>
      <c r="H936" s="84">
        <v>0</v>
      </c>
      <c r="I936" s="84">
        <v>0</v>
      </c>
      <c r="J936" s="84" t="s">
        <v>2805</v>
      </c>
    </row>
    <row r="937" spans="1:10" ht="12.75" customHeight="1">
      <c r="A937" s="83"/>
      <c r="B937" s="83" t="s">
        <v>2822</v>
      </c>
      <c r="C937" s="84" t="s">
        <v>2805</v>
      </c>
      <c r="D937" s="84" t="s">
        <v>2812</v>
      </c>
      <c r="E937" s="84">
        <v>0</v>
      </c>
      <c r="F937" s="84" t="s">
        <v>2812</v>
      </c>
      <c r="G937" s="84">
        <v>0</v>
      </c>
      <c r="H937" s="84" t="s">
        <v>2812</v>
      </c>
      <c r="I937" s="84">
        <v>0</v>
      </c>
      <c r="J937" s="84" t="s">
        <v>2805</v>
      </c>
    </row>
    <row r="938" spans="1:10" ht="12.75" customHeight="1">
      <c r="A938" s="83"/>
      <c r="B938" s="81" t="s">
        <v>2823</v>
      </c>
      <c r="C938" s="84" t="s">
        <v>2812</v>
      </c>
      <c r="D938" s="84" t="s">
        <v>2812</v>
      </c>
      <c r="E938" s="84">
        <v>0</v>
      </c>
      <c r="F938" s="84">
        <v>0</v>
      </c>
      <c r="G938" s="84">
        <v>0</v>
      </c>
      <c r="H938" s="84" t="s">
        <v>2812</v>
      </c>
      <c r="I938" s="84">
        <v>0</v>
      </c>
      <c r="J938" s="84" t="s">
        <v>2812</v>
      </c>
    </row>
    <row r="939" spans="1:10" ht="12.75" customHeight="1">
      <c r="A939" s="83"/>
      <c r="B939" s="81"/>
      <c r="C939" s="84"/>
      <c r="D939" s="84"/>
      <c r="E939" s="84"/>
      <c r="F939" s="84"/>
      <c r="G939" s="84"/>
      <c r="H939" s="84"/>
      <c r="I939" s="84"/>
      <c r="J939" s="84"/>
    </row>
    <row r="940" spans="1:10" s="71" customFormat="1" ht="12.75" customHeight="1">
      <c r="A940" s="81" t="s">
        <v>2907</v>
      </c>
      <c r="B940" s="81" t="s">
        <v>2908</v>
      </c>
      <c r="C940" s="86"/>
      <c r="D940" s="86"/>
      <c r="E940" s="86"/>
      <c r="F940" s="86"/>
      <c r="G940" s="86"/>
      <c r="H940" s="86"/>
      <c r="I940" s="86"/>
      <c r="J940" s="86"/>
    </row>
    <row r="941" spans="1:10" s="71" customFormat="1" ht="12.75" customHeight="1">
      <c r="A941" s="81"/>
      <c r="B941" s="81"/>
      <c r="C941" s="86"/>
      <c r="D941" s="86"/>
      <c r="E941" s="86"/>
      <c r="F941" s="86"/>
      <c r="G941" s="86"/>
      <c r="H941" s="86"/>
      <c r="I941" s="86"/>
      <c r="J941" s="86"/>
    </row>
    <row r="942" spans="1:10" s="71" customFormat="1" ht="12.75" customHeight="1">
      <c r="A942" s="81"/>
      <c r="B942" s="81"/>
      <c r="C942" s="86"/>
      <c r="D942" s="86"/>
      <c r="E942" s="86"/>
      <c r="F942" s="86"/>
      <c r="G942" s="86"/>
      <c r="H942" s="86"/>
      <c r="I942" s="86"/>
      <c r="J942" s="86"/>
    </row>
    <row r="943" spans="1:10" ht="12.75" customHeight="1">
      <c r="A943" s="83"/>
      <c r="B943" s="81" t="s">
        <v>2803</v>
      </c>
      <c r="C943" s="84">
        <v>233</v>
      </c>
      <c r="D943" s="84">
        <v>18</v>
      </c>
      <c r="E943" s="84">
        <v>0</v>
      </c>
      <c r="F943" s="84" t="s">
        <v>2812</v>
      </c>
      <c r="G943" s="84">
        <v>213</v>
      </c>
      <c r="H943" s="84" t="s">
        <v>2812</v>
      </c>
      <c r="I943" s="84">
        <v>0</v>
      </c>
      <c r="J943" s="84">
        <v>2</v>
      </c>
    </row>
    <row r="944" spans="1:10" ht="12.75" customHeight="1">
      <c r="A944" s="83"/>
      <c r="B944" s="81" t="s">
        <v>2804</v>
      </c>
      <c r="C944" s="84" t="s">
        <v>2805</v>
      </c>
      <c r="D944" s="84" t="s">
        <v>2812</v>
      </c>
      <c r="E944" s="84">
        <v>0</v>
      </c>
      <c r="F944" s="84" t="s">
        <v>2812</v>
      </c>
      <c r="G944" s="84">
        <v>53</v>
      </c>
      <c r="H944" s="84" t="s">
        <v>2812</v>
      </c>
      <c r="I944" s="84">
        <v>0</v>
      </c>
      <c r="J944" s="84" t="s">
        <v>2805</v>
      </c>
    </row>
    <row r="945" spans="1:10" ht="12.75" customHeight="1">
      <c r="A945" s="83"/>
      <c r="B945" s="83" t="s">
        <v>2806</v>
      </c>
      <c r="C945" s="84" t="s">
        <v>2805</v>
      </c>
      <c r="D945" s="84" t="s">
        <v>2812</v>
      </c>
      <c r="E945" s="84">
        <v>0</v>
      </c>
      <c r="F945" s="84" t="s">
        <v>2812</v>
      </c>
      <c r="G945" s="84">
        <v>26</v>
      </c>
      <c r="H945" s="84" t="s">
        <v>2812</v>
      </c>
      <c r="I945" s="84">
        <v>0</v>
      </c>
      <c r="J945" s="84" t="s">
        <v>2805</v>
      </c>
    </row>
    <row r="946" spans="1:10" ht="12.75" customHeight="1">
      <c r="A946" s="83"/>
      <c r="B946" s="83" t="s">
        <v>2807</v>
      </c>
      <c r="C946" s="84" t="s">
        <v>2805</v>
      </c>
      <c r="D946" s="84">
        <v>0</v>
      </c>
      <c r="E946" s="84">
        <v>0</v>
      </c>
      <c r="F946" s="84" t="s">
        <v>2812</v>
      </c>
      <c r="G946" s="84">
        <v>27</v>
      </c>
      <c r="H946" s="84">
        <v>0</v>
      </c>
      <c r="I946" s="84">
        <v>0</v>
      </c>
      <c r="J946" s="84" t="s">
        <v>2805</v>
      </c>
    </row>
    <row r="947" spans="1:10" ht="12.75" customHeight="1">
      <c r="A947" s="83"/>
      <c r="B947" s="81" t="s">
        <v>2808</v>
      </c>
      <c r="C947" s="84" t="s">
        <v>2805</v>
      </c>
      <c r="D947" s="84">
        <v>16</v>
      </c>
      <c r="E947" s="84">
        <v>0</v>
      </c>
      <c r="F947" s="84" t="s">
        <v>2812</v>
      </c>
      <c r="G947" s="84">
        <v>159</v>
      </c>
      <c r="H947" s="84" t="s">
        <v>2812</v>
      </c>
      <c r="I947" s="84">
        <v>0</v>
      </c>
      <c r="J947" s="84" t="s">
        <v>2805</v>
      </c>
    </row>
    <row r="948" spans="1:10" ht="12.75" customHeight="1">
      <c r="A948" s="83"/>
      <c r="B948" s="83" t="s">
        <v>2810</v>
      </c>
      <c r="C948" s="84" t="s">
        <v>2805</v>
      </c>
      <c r="D948" s="84" t="s">
        <v>2812</v>
      </c>
      <c r="E948" s="84">
        <v>0</v>
      </c>
      <c r="F948" s="84">
        <v>0</v>
      </c>
      <c r="G948" s="84">
        <v>136</v>
      </c>
      <c r="H948" s="84" t="s">
        <v>2812</v>
      </c>
      <c r="I948" s="84">
        <v>0</v>
      </c>
      <c r="J948" s="84" t="s">
        <v>2805</v>
      </c>
    </row>
    <row r="949" spans="1:10" ht="12.75" customHeight="1">
      <c r="A949" s="83"/>
      <c r="B949" s="83" t="s">
        <v>2811</v>
      </c>
      <c r="C949" s="84" t="s">
        <v>2805</v>
      </c>
      <c r="D949" s="84">
        <v>2</v>
      </c>
      <c r="E949" s="84">
        <v>0</v>
      </c>
      <c r="F949" s="84">
        <v>0</v>
      </c>
      <c r="G949" s="84">
        <v>0</v>
      </c>
      <c r="H949" s="84">
        <v>0</v>
      </c>
      <c r="I949" s="84">
        <v>0</v>
      </c>
      <c r="J949" s="84" t="s">
        <v>2805</v>
      </c>
    </row>
    <row r="950" spans="1:10" ht="12.75" customHeight="1">
      <c r="A950" s="83"/>
      <c r="B950" s="83" t="s">
        <v>2813</v>
      </c>
      <c r="C950" s="84" t="s">
        <v>2805</v>
      </c>
      <c r="D950" s="84">
        <v>14</v>
      </c>
      <c r="E950" s="84">
        <v>0</v>
      </c>
      <c r="F950" s="84" t="s">
        <v>2812</v>
      </c>
      <c r="G950" s="84">
        <v>4</v>
      </c>
      <c r="H950" s="84" t="s">
        <v>2812</v>
      </c>
      <c r="I950" s="84">
        <v>0</v>
      </c>
      <c r="J950" s="84" t="s">
        <v>2805</v>
      </c>
    </row>
    <row r="951" spans="1:10" ht="12.75" customHeight="1">
      <c r="A951" s="83"/>
      <c r="B951" s="83" t="s">
        <v>2814</v>
      </c>
      <c r="C951" s="84" t="s">
        <v>2805</v>
      </c>
      <c r="D951" s="84" t="s">
        <v>2812</v>
      </c>
      <c r="E951" s="84" t="s">
        <v>2805</v>
      </c>
      <c r="F951" s="84" t="s">
        <v>2805</v>
      </c>
      <c r="G951" s="84" t="s">
        <v>2805</v>
      </c>
      <c r="H951" s="84" t="s">
        <v>2805</v>
      </c>
      <c r="I951" s="84" t="s">
        <v>2805</v>
      </c>
      <c r="J951" s="84" t="s">
        <v>2805</v>
      </c>
    </row>
    <row r="952" spans="1:10" ht="12.75" customHeight="1">
      <c r="A952" s="83"/>
      <c r="B952" s="83" t="s">
        <v>2815</v>
      </c>
      <c r="C952" s="84" t="s">
        <v>2805</v>
      </c>
      <c r="D952" s="84" t="s">
        <v>2812</v>
      </c>
      <c r="E952" s="84">
        <v>0</v>
      </c>
      <c r="F952" s="84" t="s">
        <v>2812</v>
      </c>
      <c r="G952" s="84">
        <v>20</v>
      </c>
      <c r="H952" s="84">
        <v>0</v>
      </c>
      <c r="I952" s="84">
        <v>0</v>
      </c>
      <c r="J952" s="84" t="s">
        <v>2805</v>
      </c>
    </row>
    <row r="953" spans="1:10" ht="12.75" customHeight="1">
      <c r="A953" s="83"/>
      <c r="B953" s="81" t="s">
        <v>2816</v>
      </c>
      <c r="C953" s="84" t="s">
        <v>2805</v>
      </c>
      <c r="D953" s="84">
        <v>2</v>
      </c>
      <c r="E953" s="84">
        <v>0</v>
      </c>
      <c r="F953" s="84" t="s">
        <v>2812</v>
      </c>
      <c r="G953" s="84">
        <v>1</v>
      </c>
      <c r="H953" s="84" t="s">
        <v>2812</v>
      </c>
      <c r="I953" s="84">
        <v>0</v>
      </c>
      <c r="J953" s="84" t="s">
        <v>2805</v>
      </c>
    </row>
    <row r="954" spans="1:10" ht="12.75" customHeight="1">
      <c r="A954" s="83"/>
      <c r="B954" s="83" t="s">
        <v>2817</v>
      </c>
      <c r="C954" s="84" t="s">
        <v>2805</v>
      </c>
      <c r="D954" s="84">
        <v>1</v>
      </c>
      <c r="E954" s="84">
        <v>0</v>
      </c>
      <c r="F954" s="84" t="s">
        <v>2812</v>
      </c>
      <c r="G954" s="84">
        <v>1</v>
      </c>
      <c r="H954" s="84" t="s">
        <v>2812</v>
      </c>
      <c r="I954" s="84">
        <v>0</v>
      </c>
      <c r="J954" s="84" t="s">
        <v>2805</v>
      </c>
    </row>
    <row r="955" spans="1:10" ht="12.75" customHeight="1">
      <c r="A955" s="83"/>
      <c r="B955" s="83" t="s">
        <v>2818</v>
      </c>
      <c r="C955" s="84" t="s">
        <v>2805</v>
      </c>
      <c r="D955" s="84">
        <v>1</v>
      </c>
      <c r="E955" s="84" t="s">
        <v>2805</v>
      </c>
      <c r="F955" s="84" t="s">
        <v>2805</v>
      </c>
      <c r="G955" s="84" t="s">
        <v>2805</v>
      </c>
      <c r="H955" s="84" t="s">
        <v>2805</v>
      </c>
      <c r="I955" s="84" t="s">
        <v>2805</v>
      </c>
      <c r="J955" s="84" t="s">
        <v>2805</v>
      </c>
    </row>
    <row r="956" spans="1:10" ht="12.75" customHeight="1">
      <c r="A956" s="83"/>
      <c r="B956" s="83" t="s">
        <v>2819</v>
      </c>
      <c r="C956" s="84" t="s">
        <v>2805</v>
      </c>
      <c r="D956" s="84" t="s">
        <v>2812</v>
      </c>
      <c r="E956" s="84">
        <v>0</v>
      </c>
      <c r="F956" s="84">
        <v>0</v>
      </c>
      <c r="G956" s="84" t="s">
        <v>2812</v>
      </c>
      <c r="H956" s="84" t="s">
        <v>2812</v>
      </c>
      <c r="I956" s="84">
        <v>0</v>
      </c>
      <c r="J956" s="84" t="s">
        <v>2805</v>
      </c>
    </row>
    <row r="957" spans="1:10" ht="12.75" customHeight="1">
      <c r="A957" s="83"/>
      <c r="B957" s="83" t="s">
        <v>2820</v>
      </c>
      <c r="C957" s="84" t="s">
        <v>2805</v>
      </c>
      <c r="D957" s="84" t="s">
        <v>2812</v>
      </c>
      <c r="E957" s="84" t="s">
        <v>2805</v>
      </c>
      <c r="F957" s="84" t="s">
        <v>2812</v>
      </c>
      <c r="G957" s="84">
        <v>0</v>
      </c>
      <c r="H957" s="84" t="s">
        <v>2812</v>
      </c>
      <c r="I957" s="84" t="s">
        <v>2805</v>
      </c>
      <c r="J957" s="84" t="s">
        <v>2805</v>
      </c>
    </row>
    <row r="958" spans="1:10" ht="12.75" customHeight="1">
      <c r="A958" s="83"/>
      <c r="B958" s="83" t="s">
        <v>2821</v>
      </c>
      <c r="C958" s="84" t="s">
        <v>2805</v>
      </c>
      <c r="D958" s="84" t="s">
        <v>2805</v>
      </c>
      <c r="E958" s="84">
        <v>0</v>
      </c>
      <c r="F958" s="84" t="s">
        <v>2812</v>
      </c>
      <c r="G958" s="84" t="s">
        <v>2812</v>
      </c>
      <c r="H958" s="84">
        <v>0</v>
      </c>
      <c r="I958" s="84">
        <v>0</v>
      </c>
      <c r="J958" s="84" t="s">
        <v>2805</v>
      </c>
    </row>
    <row r="959" spans="1:10" ht="12.75" customHeight="1">
      <c r="A959" s="83"/>
      <c r="B959" s="83" t="s">
        <v>2822</v>
      </c>
      <c r="C959" s="84" t="s">
        <v>2805</v>
      </c>
      <c r="D959" s="84" t="s">
        <v>2812</v>
      </c>
      <c r="E959" s="84">
        <v>0</v>
      </c>
      <c r="F959" s="84" t="s">
        <v>2812</v>
      </c>
      <c r="G959" s="84">
        <v>0</v>
      </c>
      <c r="H959" s="84">
        <v>0</v>
      </c>
      <c r="I959" s="84">
        <v>0</v>
      </c>
      <c r="J959" s="84" t="s">
        <v>2805</v>
      </c>
    </row>
    <row r="960" spans="1:10" ht="12.75" customHeight="1">
      <c r="A960" s="83"/>
      <c r="B960" s="81" t="s">
        <v>2823</v>
      </c>
      <c r="C960" s="84">
        <v>2</v>
      </c>
      <c r="D960" s="84">
        <v>0</v>
      </c>
      <c r="E960" s="84">
        <v>0</v>
      </c>
      <c r="F960" s="84">
        <v>0</v>
      </c>
      <c r="G960" s="84">
        <v>0</v>
      </c>
      <c r="H960" s="84" t="s">
        <v>2812</v>
      </c>
      <c r="I960" s="84">
        <v>0</v>
      </c>
      <c r="J960" s="84">
        <v>2</v>
      </c>
    </row>
    <row r="961" spans="1:10" ht="12.75" customHeight="1">
      <c r="A961" s="83"/>
      <c r="B961" s="81"/>
      <c r="C961" s="84"/>
      <c r="D961" s="84"/>
      <c r="E961" s="84"/>
      <c r="F961" s="84"/>
      <c r="G961" s="84"/>
      <c r="H961" s="84"/>
      <c r="I961" s="84"/>
      <c r="J961" s="84"/>
    </row>
    <row r="962" spans="1:10" s="71" customFormat="1" ht="12.75" customHeight="1">
      <c r="A962" s="81" t="s">
        <v>2909</v>
      </c>
      <c r="B962" s="81" t="s">
        <v>2910</v>
      </c>
      <c r="C962" s="86"/>
      <c r="D962" s="86"/>
      <c r="E962" s="86"/>
      <c r="F962" s="86"/>
      <c r="G962" s="86"/>
      <c r="H962" s="86"/>
      <c r="I962" s="86"/>
      <c r="J962" s="86"/>
    </row>
    <row r="963" spans="1:10" s="71" customFormat="1" ht="12.75" customHeight="1">
      <c r="A963" s="81"/>
      <c r="B963" s="81"/>
      <c r="C963" s="86"/>
      <c r="D963" s="86"/>
      <c r="E963" s="86"/>
      <c r="F963" s="86"/>
      <c r="G963" s="86"/>
      <c r="H963" s="86"/>
      <c r="I963" s="86"/>
      <c r="J963" s="86"/>
    </row>
    <row r="964" spans="1:10" s="71" customFormat="1" ht="12.75" customHeight="1">
      <c r="A964" s="81"/>
      <c r="B964" s="81"/>
      <c r="C964" s="86"/>
      <c r="D964" s="86"/>
      <c r="E964" s="86"/>
      <c r="F964" s="86"/>
      <c r="G964" s="86"/>
      <c r="H964" s="86"/>
      <c r="I964" s="86"/>
      <c r="J964" s="86"/>
    </row>
    <row r="965" spans="1:10" ht="12.75" customHeight="1">
      <c r="A965" s="83"/>
      <c r="B965" s="81" t="s">
        <v>2803</v>
      </c>
      <c r="C965" s="84">
        <v>33</v>
      </c>
      <c r="D965" s="84" t="s">
        <v>2809</v>
      </c>
      <c r="E965" s="84" t="s">
        <v>2812</v>
      </c>
      <c r="F965" s="84" t="s">
        <v>2809</v>
      </c>
      <c r="G965" s="84">
        <v>24</v>
      </c>
      <c r="H965" s="84" t="s">
        <v>2812</v>
      </c>
      <c r="I965" s="84" t="s">
        <v>2809</v>
      </c>
      <c r="J965" s="84" t="s">
        <v>2812</v>
      </c>
    </row>
    <row r="966" spans="1:10" ht="12.75" customHeight="1">
      <c r="A966" s="83"/>
      <c r="B966" s="81" t="s">
        <v>2804</v>
      </c>
      <c r="C966" s="84" t="s">
        <v>2805</v>
      </c>
      <c r="D966" s="84" t="s">
        <v>2812</v>
      </c>
      <c r="E966" s="84">
        <v>0</v>
      </c>
      <c r="F966" s="84" t="s">
        <v>2812</v>
      </c>
      <c r="G966" s="84">
        <v>2</v>
      </c>
      <c r="H966" s="84" t="s">
        <v>2812</v>
      </c>
      <c r="I966" s="84">
        <v>0</v>
      </c>
      <c r="J966" s="84" t="s">
        <v>2805</v>
      </c>
    </row>
    <row r="967" spans="1:10" ht="12.75" customHeight="1">
      <c r="A967" s="83"/>
      <c r="B967" s="83" t="s">
        <v>2806</v>
      </c>
      <c r="C967" s="84" t="s">
        <v>2805</v>
      </c>
      <c r="D967" s="84" t="s">
        <v>2812</v>
      </c>
      <c r="E967" s="84">
        <v>0</v>
      </c>
      <c r="F967" s="84">
        <v>0</v>
      </c>
      <c r="G967" s="84">
        <v>1</v>
      </c>
      <c r="H967" s="84" t="s">
        <v>2812</v>
      </c>
      <c r="I967" s="84">
        <v>0</v>
      </c>
      <c r="J967" s="84" t="s">
        <v>2805</v>
      </c>
    </row>
    <row r="968" spans="1:10" ht="12.75" customHeight="1">
      <c r="A968" s="83"/>
      <c r="B968" s="83" t="s">
        <v>2807</v>
      </c>
      <c r="C968" s="84" t="s">
        <v>2805</v>
      </c>
      <c r="D968" s="84">
        <v>0</v>
      </c>
      <c r="E968" s="84">
        <v>0</v>
      </c>
      <c r="F968" s="84" t="s">
        <v>2812</v>
      </c>
      <c r="G968" s="84">
        <v>1</v>
      </c>
      <c r="H968" s="84" t="s">
        <v>2812</v>
      </c>
      <c r="I968" s="84">
        <v>0</v>
      </c>
      <c r="J968" s="84" t="s">
        <v>2805</v>
      </c>
    </row>
    <row r="969" spans="1:10" ht="12.75" customHeight="1">
      <c r="A969" s="83"/>
      <c r="B969" s="81" t="s">
        <v>2808</v>
      </c>
      <c r="C969" s="84" t="s">
        <v>2805</v>
      </c>
      <c r="D969" s="84" t="s">
        <v>2809</v>
      </c>
      <c r="E969" s="84" t="s">
        <v>2812</v>
      </c>
      <c r="F969" s="84" t="s">
        <v>2809</v>
      </c>
      <c r="G969" s="84">
        <v>22</v>
      </c>
      <c r="H969" s="84" t="s">
        <v>2812</v>
      </c>
      <c r="I969" s="84" t="s">
        <v>2809</v>
      </c>
      <c r="J969" s="84" t="s">
        <v>2805</v>
      </c>
    </row>
    <row r="970" spans="1:10" ht="12.75" customHeight="1">
      <c r="A970" s="83"/>
      <c r="B970" s="83" t="s">
        <v>2810</v>
      </c>
      <c r="C970" s="84" t="s">
        <v>2805</v>
      </c>
      <c r="D970" s="84" t="s">
        <v>2812</v>
      </c>
      <c r="E970" s="84" t="s">
        <v>2812</v>
      </c>
      <c r="F970" s="84" t="s">
        <v>2809</v>
      </c>
      <c r="G970" s="84">
        <v>20</v>
      </c>
      <c r="H970" s="84" t="s">
        <v>2812</v>
      </c>
      <c r="I970" s="84" t="s">
        <v>2809</v>
      </c>
      <c r="J970" s="84" t="s">
        <v>2805</v>
      </c>
    </row>
    <row r="971" spans="1:10" ht="12.75" customHeight="1">
      <c r="A971" s="83"/>
      <c r="B971" s="83" t="s">
        <v>2811</v>
      </c>
      <c r="C971" s="84" t="s">
        <v>2805</v>
      </c>
      <c r="D971" s="84" t="s">
        <v>2812</v>
      </c>
      <c r="E971" s="84">
        <v>0</v>
      </c>
      <c r="F971" s="84">
        <v>0</v>
      </c>
      <c r="G971" s="84">
        <v>0</v>
      </c>
      <c r="H971" s="84">
        <v>0</v>
      </c>
      <c r="I971" s="84">
        <v>0</v>
      </c>
      <c r="J971" s="84" t="s">
        <v>2805</v>
      </c>
    </row>
    <row r="972" spans="1:10" ht="12.75" customHeight="1">
      <c r="A972" s="83"/>
      <c r="B972" s="83" t="s">
        <v>2813</v>
      </c>
      <c r="C972" s="84" t="s">
        <v>2805</v>
      </c>
      <c r="D972" s="84" t="s">
        <v>2809</v>
      </c>
      <c r="E972" s="84">
        <v>0</v>
      </c>
      <c r="F972" s="84" t="s">
        <v>2812</v>
      </c>
      <c r="G972" s="84" t="s">
        <v>2812</v>
      </c>
      <c r="H972" s="84" t="s">
        <v>2812</v>
      </c>
      <c r="I972" s="84">
        <v>0</v>
      </c>
      <c r="J972" s="84" t="s">
        <v>2805</v>
      </c>
    </row>
    <row r="973" spans="1:10" ht="12.75" customHeight="1">
      <c r="A973" s="83"/>
      <c r="B973" s="83" t="s">
        <v>2814</v>
      </c>
      <c r="C973" s="84" t="s">
        <v>2805</v>
      </c>
      <c r="D973" s="84">
        <v>0</v>
      </c>
      <c r="E973" s="84" t="s">
        <v>2805</v>
      </c>
      <c r="F973" s="84" t="s">
        <v>2805</v>
      </c>
      <c r="G973" s="84" t="s">
        <v>2805</v>
      </c>
      <c r="H973" s="84" t="s">
        <v>2805</v>
      </c>
      <c r="I973" s="84" t="s">
        <v>2805</v>
      </c>
      <c r="J973" s="84" t="s">
        <v>2805</v>
      </c>
    </row>
    <row r="974" spans="1:10" ht="12.75" customHeight="1">
      <c r="A974" s="83"/>
      <c r="B974" s="83" t="s">
        <v>2815</v>
      </c>
      <c r="C974" s="84" t="s">
        <v>2805</v>
      </c>
      <c r="D974" s="84">
        <v>0</v>
      </c>
      <c r="E974" s="84">
        <v>0</v>
      </c>
      <c r="F974" s="84" t="s">
        <v>2812</v>
      </c>
      <c r="G974" s="84">
        <v>1</v>
      </c>
      <c r="H974" s="84">
        <v>0</v>
      </c>
      <c r="I974" s="84">
        <v>0</v>
      </c>
      <c r="J974" s="84" t="s">
        <v>2805</v>
      </c>
    </row>
    <row r="975" spans="1:10" ht="12.75" customHeight="1">
      <c r="A975" s="83"/>
      <c r="B975" s="81" t="s">
        <v>2816</v>
      </c>
      <c r="C975" s="84" t="s">
        <v>2805</v>
      </c>
      <c r="D975" s="84">
        <v>1</v>
      </c>
      <c r="E975" s="84">
        <v>0</v>
      </c>
      <c r="F975" s="84" t="s">
        <v>2812</v>
      </c>
      <c r="G975" s="84" t="s">
        <v>2812</v>
      </c>
      <c r="H975" s="84" t="s">
        <v>2812</v>
      </c>
      <c r="I975" s="84">
        <v>0</v>
      </c>
      <c r="J975" s="84" t="s">
        <v>2805</v>
      </c>
    </row>
    <row r="976" spans="1:10" ht="12.75" customHeight="1">
      <c r="A976" s="83"/>
      <c r="B976" s="83" t="s">
        <v>2817</v>
      </c>
      <c r="C976" s="84" t="s">
        <v>2805</v>
      </c>
      <c r="D976" s="84" t="s">
        <v>2812</v>
      </c>
      <c r="E976" s="84">
        <v>0</v>
      </c>
      <c r="F976" s="84" t="s">
        <v>2812</v>
      </c>
      <c r="G976" s="84" t="s">
        <v>2812</v>
      </c>
      <c r="H976" s="84" t="s">
        <v>2812</v>
      </c>
      <c r="I976" s="84">
        <v>0</v>
      </c>
      <c r="J976" s="84" t="s">
        <v>2805</v>
      </c>
    </row>
    <row r="977" spans="1:10" ht="12.75" customHeight="1">
      <c r="A977" s="83"/>
      <c r="B977" s="83" t="s">
        <v>2818</v>
      </c>
      <c r="C977" s="84" t="s">
        <v>2805</v>
      </c>
      <c r="D977" s="84" t="s">
        <v>2812</v>
      </c>
      <c r="E977" s="84" t="s">
        <v>2805</v>
      </c>
      <c r="F977" s="84" t="s">
        <v>2805</v>
      </c>
      <c r="G977" s="84" t="s">
        <v>2805</v>
      </c>
      <c r="H977" s="84" t="s">
        <v>2805</v>
      </c>
      <c r="I977" s="84" t="s">
        <v>2805</v>
      </c>
      <c r="J977" s="84" t="s">
        <v>2805</v>
      </c>
    </row>
    <row r="978" spans="1:10" ht="12.75" customHeight="1">
      <c r="A978" s="83"/>
      <c r="B978" s="83" t="s">
        <v>2819</v>
      </c>
      <c r="C978" s="84" t="s">
        <v>2805</v>
      </c>
      <c r="D978" s="84" t="s">
        <v>2812</v>
      </c>
      <c r="E978" s="84">
        <v>0</v>
      </c>
      <c r="F978" s="84" t="s">
        <v>2812</v>
      </c>
      <c r="G978" s="84" t="s">
        <v>2812</v>
      </c>
      <c r="H978" s="84" t="s">
        <v>2812</v>
      </c>
      <c r="I978" s="84">
        <v>0</v>
      </c>
      <c r="J978" s="84" t="s">
        <v>2805</v>
      </c>
    </row>
    <row r="979" spans="1:10" ht="12.75" customHeight="1">
      <c r="A979" s="83"/>
      <c r="B979" s="83" t="s">
        <v>2820</v>
      </c>
      <c r="C979" s="84" t="s">
        <v>2805</v>
      </c>
      <c r="D979" s="84" t="s">
        <v>2812</v>
      </c>
      <c r="E979" s="84" t="s">
        <v>2805</v>
      </c>
      <c r="F979" s="84" t="s">
        <v>2812</v>
      </c>
      <c r="G979" s="84">
        <v>0</v>
      </c>
      <c r="H979" s="84" t="s">
        <v>2812</v>
      </c>
      <c r="I979" s="84" t="s">
        <v>2805</v>
      </c>
      <c r="J979" s="84" t="s">
        <v>2805</v>
      </c>
    </row>
    <row r="980" spans="1:10" ht="12.75" customHeight="1">
      <c r="A980" s="83"/>
      <c r="B980" s="83" t="s">
        <v>2821</v>
      </c>
      <c r="C980" s="84" t="s">
        <v>2805</v>
      </c>
      <c r="D980" s="84" t="s">
        <v>2805</v>
      </c>
      <c r="E980" s="84">
        <v>0</v>
      </c>
      <c r="F980" s="84" t="s">
        <v>2812</v>
      </c>
      <c r="G980" s="84">
        <v>0</v>
      </c>
      <c r="H980" s="84">
        <v>0</v>
      </c>
      <c r="I980" s="84">
        <v>0</v>
      </c>
      <c r="J980" s="84" t="s">
        <v>2805</v>
      </c>
    </row>
    <row r="981" spans="1:10" ht="12.75" customHeight="1">
      <c r="A981" s="83"/>
      <c r="B981" s="83" t="s">
        <v>2822</v>
      </c>
      <c r="C981" s="84" t="s">
        <v>2805</v>
      </c>
      <c r="D981" s="84">
        <v>0</v>
      </c>
      <c r="E981" s="84">
        <v>0</v>
      </c>
      <c r="F981" s="84" t="s">
        <v>2812</v>
      </c>
      <c r="G981" s="84">
        <v>0</v>
      </c>
      <c r="H981" s="84">
        <v>0</v>
      </c>
      <c r="I981" s="84">
        <v>0</v>
      </c>
      <c r="J981" s="84" t="s">
        <v>2805</v>
      </c>
    </row>
    <row r="982" spans="1:10" ht="12.75" customHeight="1">
      <c r="A982" s="83"/>
      <c r="B982" s="81" t="s">
        <v>2823</v>
      </c>
      <c r="C982" s="84" t="s">
        <v>2812</v>
      </c>
      <c r="D982" s="84">
        <v>0</v>
      </c>
      <c r="E982" s="84">
        <v>0</v>
      </c>
      <c r="F982" s="84">
        <v>0</v>
      </c>
      <c r="G982" s="84">
        <v>0</v>
      </c>
      <c r="H982" s="84" t="s">
        <v>2812</v>
      </c>
      <c r="I982" s="84">
        <v>0</v>
      </c>
      <c r="J982" s="84" t="s">
        <v>2812</v>
      </c>
    </row>
    <row r="983" spans="1:10" ht="12.75" customHeight="1">
      <c r="A983" s="83"/>
      <c r="B983" s="81"/>
      <c r="C983" s="84"/>
      <c r="D983" s="84"/>
      <c r="E983" s="84"/>
      <c r="F983" s="84"/>
      <c r="G983" s="84"/>
      <c r="H983" s="84"/>
      <c r="I983" s="84"/>
      <c r="J983" s="84"/>
    </row>
    <row r="984" spans="1:10" s="71" customFormat="1" ht="12.75" customHeight="1">
      <c r="A984" s="81" t="s">
        <v>2911</v>
      </c>
      <c r="B984" s="81" t="s">
        <v>2912</v>
      </c>
      <c r="C984" s="86"/>
      <c r="D984" s="86"/>
      <c r="E984" s="86"/>
      <c r="F984" s="86"/>
      <c r="G984" s="86"/>
      <c r="H984" s="86"/>
      <c r="I984" s="86"/>
      <c r="J984" s="86"/>
    </row>
    <row r="985" spans="1:10" s="71" customFormat="1" ht="12.75" customHeight="1">
      <c r="A985" s="81"/>
      <c r="B985" s="81"/>
      <c r="C985" s="86"/>
      <c r="D985" s="86"/>
      <c r="E985" s="86"/>
      <c r="F985" s="86"/>
      <c r="G985" s="86"/>
      <c r="H985" s="86"/>
      <c r="I985" s="86"/>
      <c r="J985" s="86"/>
    </row>
    <row r="986" spans="1:10" s="71" customFormat="1" ht="12.75" customHeight="1">
      <c r="A986" s="81"/>
      <c r="B986" s="81"/>
      <c r="C986" s="86"/>
      <c r="D986" s="86"/>
      <c r="E986" s="86"/>
      <c r="F986" s="86"/>
      <c r="G986" s="86"/>
      <c r="H986" s="86"/>
      <c r="I986" s="86"/>
      <c r="J986" s="86"/>
    </row>
    <row r="987" spans="1:10" ht="12.75" customHeight="1">
      <c r="A987" s="83"/>
      <c r="B987" s="81" t="s">
        <v>2803</v>
      </c>
      <c r="C987" s="84">
        <v>114</v>
      </c>
      <c r="D987" s="84">
        <v>36</v>
      </c>
      <c r="E987" s="84">
        <v>0</v>
      </c>
      <c r="F987" s="84">
        <v>1</v>
      </c>
      <c r="G987" s="84">
        <v>62</v>
      </c>
      <c r="H987" s="84" t="s">
        <v>2812</v>
      </c>
      <c r="I987" s="84" t="s">
        <v>2812</v>
      </c>
      <c r="J987" s="84">
        <v>16</v>
      </c>
    </row>
    <row r="988" spans="1:10" ht="12.75" customHeight="1">
      <c r="A988" s="83"/>
      <c r="B988" s="81" t="s">
        <v>2804</v>
      </c>
      <c r="C988" s="84" t="s">
        <v>2805</v>
      </c>
      <c r="D988" s="84">
        <v>1</v>
      </c>
      <c r="E988" s="84">
        <v>0</v>
      </c>
      <c r="F988" s="84" t="s">
        <v>2812</v>
      </c>
      <c r="G988" s="84">
        <v>37</v>
      </c>
      <c r="H988" s="84" t="s">
        <v>2812</v>
      </c>
      <c r="I988" s="84" t="s">
        <v>2812</v>
      </c>
      <c r="J988" s="84" t="s">
        <v>2805</v>
      </c>
    </row>
    <row r="989" spans="1:10" ht="12.75" customHeight="1">
      <c r="A989" s="83"/>
      <c r="B989" s="83" t="s">
        <v>2806</v>
      </c>
      <c r="C989" s="84" t="s">
        <v>2805</v>
      </c>
      <c r="D989" s="84">
        <v>1</v>
      </c>
      <c r="E989" s="84">
        <v>0</v>
      </c>
      <c r="F989" s="84" t="s">
        <v>2812</v>
      </c>
      <c r="G989" s="84">
        <v>20</v>
      </c>
      <c r="H989" s="84" t="s">
        <v>2812</v>
      </c>
      <c r="I989" s="84" t="s">
        <v>2812</v>
      </c>
      <c r="J989" s="84" t="s">
        <v>2805</v>
      </c>
    </row>
    <row r="990" spans="1:10" ht="12.75" customHeight="1">
      <c r="A990" s="83"/>
      <c r="B990" s="83" t="s">
        <v>2807</v>
      </c>
      <c r="C990" s="84" t="s">
        <v>2805</v>
      </c>
      <c r="D990" s="84">
        <v>0</v>
      </c>
      <c r="E990" s="84">
        <v>0</v>
      </c>
      <c r="F990" s="84" t="s">
        <v>2812</v>
      </c>
      <c r="G990" s="84">
        <v>17</v>
      </c>
      <c r="H990" s="84" t="s">
        <v>2812</v>
      </c>
      <c r="I990" s="84">
        <v>0</v>
      </c>
      <c r="J990" s="84" t="s">
        <v>2805</v>
      </c>
    </row>
    <row r="991" spans="1:10" ht="12.75" customHeight="1">
      <c r="A991" s="83"/>
      <c r="B991" s="81" t="s">
        <v>2808</v>
      </c>
      <c r="C991" s="84" t="s">
        <v>2805</v>
      </c>
      <c r="D991" s="84">
        <v>18</v>
      </c>
      <c r="E991" s="84">
        <v>0</v>
      </c>
      <c r="F991" s="84" t="s">
        <v>2812</v>
      </c>
      <c r="G991" s="84">
        <v>8</v>
      </c>
      <c r="H991" s="84" t="s">
        <v>2812</v>
      </c>
      <c r="I991" s="84">
        <v>0</v>
      </c>
      <c r="J991" s="84" t="s">
        <v>2805</v>
      </c>
    </row>
    <row r="992" spans="1:10" ht="12.75" customHeight="1">
      <c r="A992" s="83"/>
      <c r="B992" s="83" t="s">
        <v>2810</v>
      </c>
      <c r="C992" s="84" t="s">
        <v>2805</v>
      </c>
      <c r="D992" s="84">
        <v>1</v>
      </c>
      <c r="E992" s="84">
        <v>0</v>
      </c>
      <c r="F992" s="84" t="s">
        <v>2812</v>
      </c>
      <c r="G992" s="84">
        <v>6</v>
      </c>
      <c r="H992" s="84" t="s">
        <v>2812</v>
      </c>
      <c r="I992" s="84">
        <v>0</v>
      </c>
      <c r="J992" s="84" t="s">
        <v>2805</v>
      </c>
    </row>
    <row r="993" spans="1:10" ht="12.75" customHeight="1">
      <c r="A993" s="83"/>
      <c r="B993" s="83" t="s">
        <v>2811</v>
      </c>
      <c r="C993" s="84" t="s">
        <v>2805</v>
      </c>
      <c r="D993" s="84">
        <v>6</v>
      </c>
      <c r="E993" s="84">
        <v>0</v>
      </c>
      <c r="F993" s="84" t="s">
        <v>2812</v>
      </c>
      <c r="G993" s="84" t="s">
        <v>2812</v>
      </c>
      <c r="H993" s="84">
        <v>0</v>
      </c>
      <c r="I993" s="84">
        <v>0</v>
      </c>
      <c r="J993" s="84" t="s">
        <v>2805</v>
      </c>
    </row>
    <row r="994" spans="1:10" ht="12.75" customHeight="1">
      <c r="A994" s="83"/>
      <c r="B994" s="83" t="s">
        <v>2813</v>
      </c>
      <c r="C994" s="84" t="s">
        <v>2805</v>
      </c>
      <c r="D994" s="84">
        <v>10</v>
      </c>
      <c r="E994" s="84">
        <v>0</v>
      </c>
      <c r="F994" s="84" t="s">
        <v>2812</v>
      </c>
      <c r="G994" s="84">
        <v>1</v>
      </c>
      <c r="H994" s="84" t="s">
        <v>2812</v>
      </c>
      <c r="I994" s="84">
        <v>0</v>
      </c>
      <c r="J994" s="84" t="s">
        <v>2805</v>
      </c>
    </row>
    <row r="995" spans="1:10" ht="12.75" customHeight="1">
      <c r="A995" s="83"/>
      <c r="B995" s="83" t="s">
        <v>2814</v>
      </c>
      <c r="C995" s="84" t="s">
        <v>2805</v>
      </c>
      <c r="D995" s="84" t="s">
        <v>2812</v>
      </c>
      <c r="E995" s="84" t="s">
        <v>2805</v>
      </c>
      <c r="F995" s="84" t="s">
        <v>2805</v>
      </c>
      <c r="G995" s="84" t="s">
        <v>2805</v>
      </c>
      <c r="H995" s="84" t="s">
        <v>2805</v>
      </c>
      <c r="I995" s="84" t="s">
        <v>2805</v>
      </c>
      <c r="J995" s="84" t="s">
        <v>2805</v>
      </c>
    </row>
    <row r="996" spans="1:10" ht="12.75" customHeight="1">
      <c r="A996" s="83"/>
      <c r="B996" s="83" t="s">
        <v>2815</v>
      </c>
      <c r="C996" s="84" t="s">
        <v>2805</v>
      </c>
      <c r="D996" s="84">
        <v>1</v>
      </c>
      <c r="E996" s="84">
        <v>0</v>
      </c>
      <c r="F996" s="84" t="s">
        <v>2812</v>
      </c>
      <c r="G996" s="84" t="s">
        <v>2812</v>
      </c>
      <c r="H996" s="84" t="s">
        <v>2812</v>
      </c>
      <c r="I996" s="84">
        <v>0</v>
      </c>
      <c r="J996" s="84" t="s">
        <v>2805</v>
      </c>
    </row>
    <row r="997" spans="1:10" ht="12.75" customHeight="1">
      <c r="A997" s="83"/>
      <c r="B997" s="81" t="s">
        <v>2816</v>
      </c>
      <c r="C997" s="84" t="s">
        <v>2805</v>
      </c>
      <c r="D997" s="84">
        <v>16</v>
      </c>
      <c r="E997" s="84">
        <v>0</v>
      </c>
      <c r="F997" s="84" t="s">
        <v>2812</v>
      </c>
      <c r="G997" s="84">
        <v>17</v>
      </c>
      <c r="H997" s="84" t="s">
        <v>2812</v>
      </c>
      <c r="I997" s="84" t="s">
        <v>2812</v>
      </c>
      <c r="J997" s="84" t="s">
        <v>2805</v>
      </c>
    </row>
    <row r="998" spans="1:10" ht="12.75" customHeight="1">
      <c r="A998" s="83"/>
      <c r="B998" s="83" t="s">
        <v>2817</v>
      </c>
      <c r="C998" s="84" t="s">
        <v>2805</v>
      </c>
      <c r="D998" s="84">
        <v>10</v>
      </c>
      <c r="E998" s="84">
        <v>0</v>
      </c>
      <c r="F998" s="84" t="s">
        <v>2812</v>
      </c>
      <c r="G998" s="84">
        <v>15</v>
      </c>
      <c r="H998" s="84" t="s">
        <v>2812</v>
      </c>
      <c r="I998" s="84" t="s">
        <v>2812</v>
      </c>
      <c r="J998" s="84" t="s">
        <v>2805</v>
      </c>
    </row>
    <row r="999" spans="1:10" ht="12.75" customHeight="1">
      <c r="A999" s="83"/>
      <c r="B999" s="83" t="s">
        <v>2818</v>
      </c>
      <c r="C999" s="84" t="s">
        <v>2805</v>
      </c>
      <c r="D999" s="84">
        <v>4</v>
      </c>
      <c r="E999" s="84" t="s">
        <v>2805</v>
      </c>
      <c r="F999" s="84" t="s">
        <v>2805</v>
      </c>
      <c r="G999" s="84" t="s">
        <v>2805</v>
      </c>
      <c r="H999" s="84" t="s">
        <v>2805</v>
      </c>
      <c r="I999" s="84" t="s">
        <v>2805</v>
      </c>
      <c r="J999" s="84" t="s">
        <v>2805</v>
      </c>
    </row>
    <row r="1000" spans="1:10" ht="12.75" customHeight="1">
      <c r="A1000" s="83"/>
      <c r="B1000" s="83" t="s">
        <v>2819</v>
      </c>
      <c r="C1000" s="84" t="s">
        <v>2805</v>
      </c>
      <c r="D1000" s="84">
        <v>2</v>
      </c>
      <c r="E1000" s="84">
        <v>0</v>
      </c>
      <c r="F1000" s="84" t="s">
        <v>2812</v>
      </c>
      <c r="G1000" s="84">
        <v>1</v>
      </c>
      <c r="H1000" s="84" t="s">
        <v>2812</v>
      </c>
      <c r="I1000" s="84">
        <v>0</v>
      </c>
      <c r="J1000" s="84" t="s">
        <v>2805</v>
      </c>
    </row>
    <row r="1001" spans="1:10" ht="12.75" customHeight="1">
      <c r="A1001" s="83"/>
      <c r="B1001" s="83" t="s">
        <v>2820</v>
      </c>
      <c r="C1001" s="84" t="s">
        <v>2805</v>
      </c>
      <c r="D1001" s="84" t="s">
        <v>2812</v>
      </c>
      <c r="E1001" s="84" t="s">
        <v>2805</v>
      </c>
      <c r="F1001" s="84" t="s">
        <v>2812</v>
      </c>
      <c r="G1001" s="84" t="s">
        <v>2812</v>
      </c>
      <c r="H1001" s="84" t="s">
        <v>2812</v>
      </c>
      <c r="I1001" s="84" t="s">
        <v>2805</v>
      </c>
      <c r="J1001" s="84" t="s">
        <v>2805</v>
      </c>
    </row>
    <row r="1002" spans="1:10" ht="12.75" customHeight="1">
      <c r="A1002" s="83"/>
      <c r="B1002" s="83" t="s">
        <v>2821</v>
      </c>
      <c r="C1002" s="84" t="s">
        <v>2805</v>
      </c>
      <c r="D1002" s="84" t="s">
        <v>2805</v>
      </c>
      <c r="E1002" s="84">
        <v>0</v>
      </c>
      <c r="F1002" s="84" t="s">
        <v>2812</v>
      </c>
      <c r="G1002" s="84" t="s">
        <v>2812</v>
      </c>
      <c r="H1002" s="84" t="s">
        <v>2812</v>
      </c>
      <c r="I1002" s="84">
        <v>0</v>
      </c>
      <c r="J1002" s="84" t="s">
        <v>2805</v>
      </c>
    </row>
    <row r="1003" spans="1:10" ht="12.75" customHeight="1">
      <c r="A1003" s="83"/>
      <c r="B1003" s="83" t="s">
        <v>2822</v>
      </c>
      <c r="C1003" s="84" t="s">
        <v>2805</v>
      </c>
      <c r="D1003" s="84">
        <v>1</v>
      </c>
      <c r="E1003" s="84">
        <v>0</v>
      </c>
      <c r="F1003" s="84" t="s">
        <v>2812</v>
      </c>
      <c r="G1003" s="84" t="s">
        <v>2812</v>
      </c>
      <c r="H1003" s="84" t="s">
        <v>2812</v>
      </c>
      <c r="I1003" s="84">
        <v>0</v>
      </c>
      <c r="J1003" s="84" t="s">
        <v>2805</v>
      </c>
    </row>
    <row r="1004" spans="1:10" ht="12.75" customHeight="1">
      <c r="A1004" s="83"/>
      <c r="B1004" s="81" t="s">
        <v>2823</v>
      </c>
      <c r="C1004" s="84">
        <v>17</v>
      </c>
      <c r="D1004" s="84">
        <v>1</v>
      </c>
      <c r="E1004" s="84">
        <v>0</v>
      </c>
      <c r="F1004" s="84">
        <v>0</v>
      </c>
      <c r="G1004" s="84">
        <v>1</v>
      </c>
      <c r="H1004" s="84" t="s">
        <v>2812</v>
      </c>
      <c r="I1004" s="84">
        <v>0</v>
      </c>
      <c r="J1004" s="84">
        <v>16</v>
      </c>
    </row>
    <row r="1005" spans="1:10" ht="12.75" customHeight="1">
      <c r="A1005" s="83"/>
      <c r="B1005" s="81"/>
      <c r="C1005" s="84"/>
      <c r="D1005" s="84"/>
      <c r="E1005" s="84"/>
      <c r="F1005" s="84"/>
      <c r="G1005" s="84"/>
      <c r="H1005" s="84"/>
      <c r="I1005" s="84"/>
      <c r="J1005" s="84"/>
    </row>
    <row r="1006" spans="1:10" s="71" customFormat="1" ht="12.75" customHeight="1">
      <c r="A1006" s="81" t="s">
        <v>2913</v>
      </c>
      <c r="B1006" s="81" t="s">
        <v>2914</v>
      </c>
      <c r="C1006" s="86"/>
      <c r="D1006" s="86"/>
      <c r="E1006" s="86"/>
      <c r="F1006" s="86"/>
      <c r="G1006" s="86"/>
      <c r="H1006" s="86"/>
      <c r="I1006" s="86"/>
      <c r="J1006" s="86"/>
    </row>
    <row r="1007" spans="1:10" ht="12.75" customHeight="1">
      <c r="A1007" s="83"/>
      <c r="B1007" s="83"/>
      <c r="C1007" s="84"/>
      <c r="D1007" s="84"/>
      <c r="E1007" s="84"/>
      <c r="F1007" s="84"/>
      <c r="G1007" s="84"/>
      <c r="H1007" s="84"/>
      <c r="I1007" s="84"/>
      <c r="J1007" s="84"/>
    </row>
    <row r="1008" spans="1:10" ht="12.75" customHeight="1">
      <c r="A1008" s="83"/>
      <c r="B1008" s="83"/>
      <c r="C1008" s="84"/>
      <c r="D1008" s="84"/>
      <c r="E1008" s="84"/>
      <c r="F1008" s="84"/>
      <c r="G1008" s="84"/>
      <c r="H1008" s="84"/>
      <c r="I1008" s="84"/>
      <c r="J1008" s="84"/>
    </row>
    <row r="1009" spans="1:10" ht="12.75" customHeight="1">
      <c r="A1009" s="83"/>
      <c r="B1009" s="81" t="s">
        <v>2803</v>
      </c>
      <c r="C1009" s="84">
        <v>66</v>
      </c>
      <c r="D1009" s="84">
        <v>21</v>
      </c>
      <c r="E1009" s="84">
        <v>0</v>
      </c>
      <c r="F1009" s="84" t="s">
        <v>2812</v>
      </c>
      <c r="G1009" s="84">
        <v>30</v>
      </c>
      <c r="H1009" s="84" t="s">
        <v>2812</v>
      </c>
      <c r="I1009" s="84" t="s">
        <v>2812</v>
      </c>
      <c r="J1009" s="84">
        <v>14</v>
      </c>
    </row>
    <row r="1010" spans="1:10" ht="12.75" customHeight="1">
      <c r="A1010" s="83"/>
      <c r="B1010" s="81" t="s">
        <v>2804</v>
      </c>
      <c r="C1010" s="84" t="s">
        <v>2805</v>
      </c>
      <c r="D1010" s="84">
        <v>1</v>
      </c>
      <c r="E1010" s="84">
        <v>0</v>
      </c>
      <c r="F1010" s="84" t="s">
        <v>2812</v>
      </c>
      <c r="G1010" s="84">
        <v>14</v>
      </c>
      <c r="H1010" s="84" t="s">
        <v>2812</v>
      </c>
      <c r="I1010" s="84" t="s">
        <v>2812</v>
      </c>
      <c r="J1010" s="84" t="s">
        <v>2805</v>
      </c>
    </row>
    <row r="1011" spans="1:10" ht="12.75" customHeight="1">
      <c r="A1011" s="83"/>
      <c r="B1011" s="83" t="s">
        <v>2806</v>
      </c>
      <c r="C1011" s="84" t="s">
        <v>2805</v>
      </c>
      <c r="D1011" s="84">
        <v>1</v>
      </c>
      <c r="E1011" s="84">
        <v>0</v>
      </c>
      <c r="F1011" s="84" t="s">
        <v>2812</v>
      </c>
      <c r="G1011" s="84">
        <v>9</v>
      </c>
      <c r="H1011" s="84" t="s">
        <v>2812</v>
      </c>
      <c r="I1011" s="84" t="s">
        <v>2812</v>
      </c>
      <c r="J1011" s="84" t="s">
        <v>2805</v>
      </c>
    </row>
    <row r="1012" spans="1:10" ht="12.75" customHeight="1">
      <c r="A1012" s="83"/>
      <c r="B1012" s="83" t="s">
        <v>2807</v>
      </c>
      <c r="C1012" s="84" t="s">
        <v>2805</v>
      </c>
      <c r="D1012" s="84">
        <v>0</v>
      </c>
      <c r="E1012" s="84">
        <v>0</v>
      </c>
      <c r="F1012" s="84" t="s">
        <v>2812</v>
      </c>
      <c r="G1012" s="84">
        <v>5</v>
      </c>
      <c r="H1012" s="84" t="s">
        <v>2812</v>
      </c>
      <c r="I1012" s="84">
        <v>0</v>
      </c>
      <c r="J1012" s="84" t="s">
        <v>2805</v>
      </c>
    </row>
    <row r="1013" spans="1:10" ht="12.75" customHeight="1">
      <c r="A1013" s="83"/>
      <c r="B1013" s="81" t="s">
        <v>2808</v>
      </c>
      <c r="C1013" s="84" t="s">
        <v>2805</v>
      </c>
      <c r="D1013" s="84">
        <v>11</v>
      </c>
      <c r="E1013" s="84">
        <v>0</v>
      </c>
      <c r="F1013" s="84" t="s">
        <v>2812</v>
      </c>
      <c r="G1013" s="84">
        <v>5</v>
      </c>
      <c r="H1013" s="84" t="s">
        <v>2812</v>
      </c>
      <c r="I1013" s="84">
        <v>0</v>
      </c>
      <c r="J1013" s="84" t="s">
        <v>2805</v>
      </c>
    </row>
    <row r="1014" spans="1:10" ht="12.75" customHeight="1">
      <c r="A1014" s="83"/>
      <c r="B1014" s="83" t="s">
        <v>2810</v>
      </c>
      <c r="C1014" s="84" t="s">
        <v>2805</v>
      </c>
      <c r="D1014" s="84">
        <v>1</v>
      </c>
      <c r="E1014" s="84">
        <v>0</v>
      </c>
      <c r="F1014" s="84" t="s">
        <v>2812</v>
      </c>
      <c r="G1014" s="84">
        <v>4</v>
      </c>
      <c r="H1014" s="84" t="s">
        <v>2812</v>
      </c>
      <c r="I1014" s="84">
        <v>0</v>
      </c>
      <c r="J1014" s="84" t="s">
        <v>2805</v>
      </c>
    </row>
    <row r="1015" spans="1:10" ht="12.75" customHeight="1">
      <c r="A1015" s="83"/>
      <c r="B1015" s="83" t="s">
        <v>2811</v>
      </c>
      <c r="C1015" s="84" t="s">
        <v>2805</v>
      </c>
      <c r="D1015" s="84">
        <v>3</v>
      </c>
      <c r="E1015" s="84">
        <v>0</v>
      </c>
      <c r="F1015" s="84" t="s">
        <v>2812</v>
      </c>
      <c r="G1015" s="84" t="s">
        <v>2812</v>
      </c>
      <c r="H1015" s="84">
        <v>0</v>
      </c>
      <c r="I1015" s="84">
        <v>0</v>
      </c>
      <c r="J1015" s="84" t="s">
        <v>2805</v>
      </c>
    </row>
    <row r="1016" spans="1:10" ht="12.75" customHeight="1">
      <c r="A1016" s="83"/>
      <c r="B1016" s="83" t="s">
        <v>2813</v>
      </c>
      <c r="C1016" s="84" t="s">
        <v>2805</v>
      </c>
      <c r="D1016" s="84">
        <v>6</v>
      </c>
      <c r="E1016" s="84">
        <v>0</v>
      </c>
      <c r="F1016" s="84" t="s">
        <v>2812</v>
      </c>
      <c r="G1016" s="84" t="s">
        <v>2812</v>
      </c>
      <c r="H1016" s="84" t="s">
        <v>2812</v>
      </c>
      <c r="I1016" s="84">
        <v>0</v>
      </c>
      <c r="J1016" s="84" t="s">
        <v>2805</v>
      </c>
    </row>
    <row r="1017" spans="1:10" ht="12.75" customHeight="1">
      <c r="A1017" s="83"/>
      <c r="B1017" s="83" t="s">
        <v>2814</v>
      </c>
      <c r="C1017" s="84" t="s">
        <v>2805</v>
      </c>
      <c r="D1017" s="84" t="s">
        <v>2812</v>
      </c>
      <c r="E1017" s="84" t="s">
        <v>2805</v>
      </c>
      <c r="F1017" s="84" t="s">
        <v>2805</v>
      </c>
      <c r="G1017" s="84" t="s">
        <v>2805</v>
      </c>
      <c r="H1017" s="84" t="s">
        <v>2805</v>
      </c>
      <c r="I1017" s="84" t="s">
        <v>2805</v>
      </c>
      <c r="J1017" s="84" t="s">
        <v>2805</v>
      </c>
    </row>
    <row r="1018" spans="1:10" ht="12.75" customHeight="1">
      <c r="A1018" s="83"/>
      <c r="B1018" s="83" t="s">
        <v>2815</v>
      </c>
      <c r="C1018" s="84" t="s">
        <v>2805</v>
      </c>
      <c r="D1018" s="84">
        <v>1</v>
      </c>
      <c r="E1018" s="84">
        <v>0</v>
      </c>
      <c r="F1018" s="84" t="s">
        <v>2812</v>
      </c>
      <c r="G1018" s="84" t="s">
        <v>2812</v>
      </c>
      <c r="H1018" s="84" t="s">
        <v>2812</v>
      </c>
      <c r="I1018" s="84">
        <v>0</v>
      </c>
      <c r="J1018" s="84" t="s">
        <v>2805</v>
      </c>
    </row>
    <row r="1019" spans="1:10" ht="12.75" customHeight="1">
      <c r="A1019" s="83"/>
      <c r="B1019" s="81" t="s">
        <v>2816</v>
      </c>
      <c r="C1019" s="84" t="s">
        <v>2805</v>
      </c>
      <c r="D1019" s="84">
        <v>9</v>
      </c>
      <c r="E1019" s="84">
        <v>0</v>
      </c>
      <c r="F1019" s="84" t="s">
        <v>2812</v>
      </c>
      <c r="G1019" s="84">
        <v>11</v>
      </c>
      <c r="H1019" s="84" t="s">
        <v>2812</v>
      </c>
      <c r="I1019" s="84" t="s">
        <v>2812</v>
      </c>
      <c r="J1019" s="84" t="s">
        <v>2805</v>
      </c>
    </row>
    <row r="1020" spans="1:10" ht="12.75" customHeight="1">
      <c r="A1020" s="83"/>
      <c r="B1020" s="83" t="s">
        <v>2817</v>
      </c>
      <c r="C1020" s="84" t="s">
        <v>2805</v>
      </c>
      <c r="D1020" s="84">
        <v>6</v>
      </c>
      <c r="E1020" s="84">
        <v>0</v>
      </c>
      <c r="F1020" s="84" t="s">
        <v>2812</v>
      </c>
      <c r="G1020" s="84">
        <v>10</v>
      </c>
      <c r="H1020" s="84" t="s">
        <v>2812</v>
      </c>
      <c r="I1020" s="84" t="s">
        <v>2812</v>
      </c>
      <c r="J1020" s="84" t="s">
        <v>2805</v>
      </c>
    </row>
    <row r="1021" spans="1:10" ht="12.75" customHeight="1">
      <c r="A1021" s="83"/>
      <c r="B1021" s="83" t="s">
        <v>2818</v>
      </c>
      <c r="C1021" s="84" t="s">
        <v>2805</v>
      </c>
      <c r="D1021" s="84">
        <v>2</v>
      </c>
      <c r="E1021" s="84" t="s">
        <v>2805</v>
      </c>
      <c r="F1021" s="84" t="s">
        <v>2805</v>
      </c>
      <c r="G1021" s="84" t="s">
        <v>2805</v>
      </c>
      <c r="H1021" s="84" t="s">
        <v>2805</v>
      </c>
      <c r="I1021" s="84" t="s">
        <v>2805</v>
      </c>
      <c r="J1021" s="84" t="s">
        <v>2805</v>
      </c>
    </row>
    <row r="1022" spans="1:10" ht="12.75" customHeight="1">
      <c r="A1022" s="83"/>
      <c r="B1022" s="83" t="s">
        <v>2819</v>
      </c>
      <c r="C1022" s="84" t="s">
        <v>2805</v>
      </c>
      <c r="D1022" s="84">
        <v>1</v>
      </c>
      <c r="E1022" s="84">
        <v>0</v>
      </c>
      <c r="F1022" s="84" t="s">
        <v>2812</v>
      </c>
      <c r="G1022" s="84" t="s">
        <v>2812</v>
      </c>
      <c r="H1022" s="84" t="s">
        <v>2812</v>
      </c>
      <c r="I1022" s="84">
        <v>0</v>
      </c>
      <c r="J1022" s="84" t="s">
        <v>2805</v>
      </c>
    </row>
    <row r="1023" spans="1:10" ht="12.75" customHeight="1">
      <c r="A1023" s="83"/>
      <c r="B1023" s="83" t="s">
        <v>2820</v>
      </c>
      <c r="C1023" s="84" t="s">
        <v>2805</v>
      </c>
      <c r="D1023" s="84" t="s">
        <v>2812</v>
      </c>
      <c r="E1023" s="84" t="s">
        <v>2805</v>
      </c>
      <c r="F1023" s="84" t="s">
        <v>2812</v>
      </c>
      <c r="G1023" s="84" t="s">
        <v>2812</v>
      </c>
      <c r="H1023" s="84" t="s">
        <v>2812</v>
      </c>
      <c r="I1023" s="84" t="s">
        <v>2805</v>
      </c>
      <c r="J1023" s="84" t="s">
        <v>2805</v>
      </c>
    </row>
    <row r="1024" spans="1:10" ht="12.75" customHeight="1">
      <c r="A1024" s="83"/>
      <c r="B1024" s="83" t="s">
        <v>2821</v>
      </c>
      <c r="C1024" s="84" t="s">
        <v>2805</v>
      </c>
      <c r="D1024" s="84" t="s">
        <v>2805</v>
      </c>
      <c r="E1024" s="84">
        <v>0</v>
      </c>
      <c r="F1024" s="84" t="s">
        <v>2812</v>
      </c>
      <c r="G1024" s="84" t="s">
        <v>2812</v>
      </c>
      <c r="H1024" s="84">
        <v>0</v>
      </c>
      <c r="I1024" s="84">
        <v>0</v>
      </c>
      <c r="J1024" s="84" t="s">
        <v>2805</v>
      </c>
    </row>
    <row r="1025" spans="1:10" ht="12.75" customHeight="1">
      <c r="A1025" s="83"/>
      <c r="B1025" s="83" t="s">
        <v>2822</v>
      </c>
      <c r="C1025" s="84" t="s">
        <v>2805</v>
      </c>
      <c r="D1025" s="84" t="s">
        <v>2812</v>
      </c>
      <c r="E1025" s="84">
        <v>0</v>
      </c>
      <c r="F1025" s="84" t="s">
        <v>2812</v>
      </c>
      <c r="G1025" s="84" t="s">
        <v>2812</v>
      </c>
      <c r="H1025" s="84" t="s">
        <v>2812</v>
      </c>
      <c r="I1025" s="84">
        <v>0</v>
      </c>
      <c r="J1025" s="84" t="s">
        <v>2805</v>
      </c>
    </row>
    <row r="1026" spans="1:10" ht="12.75" customHeight="1">
      <c r="A1026" s="83"/>
      <c r="B1026" s="81" t="s">
        <v>2823</v>
      </c>
      <c r="C1026" s="84">
        <v>15</v>
      </c>
      <c r="D1026" s="84" t="s">
        <v>2812</v>
      </c>
      <c r="E1026" s="84">
        <v>0</v>
      </c>
      <c r="F1026" s="84">
        <v>0</v>
      </c>
      <c r="G1026" s="84" t="s">
        <v>2812</v>
      </c>
      <c r="H1026" s="84" t="s">
        <v>2812</v>
      </c>
      <c r="I1026" s="84">
        <v>0</v>
      </c>
      <c r="J1026" s="84">
        <v>14</v>
      </c>
    </row>
    <row r="1027" spans="1:10" ht="12.75" customHeight="1">
      <c r="A1027" s="83"/>
      <c r="B1027" s="81"/>
      <c r="C1027" s="84"/>
      <c r="D1027" s="84"/>
      <c r="E1027" s="84"/>
      <c r="F1027" s="84"/>
      <c r="G1027" s="84"/>
      <c r="H1027" s="84"/>
      <c r="I1027" s="84"/>
      <c r="J1027" s="84"/>
    </row>
    <row r="1028" spans="1:10" s="71" customFormat="1" ht="12.75" customHeight="1">
      <c r="A1028" s="81" t="s">
        <v>2915</v>
      </c>
      <c r="B1028" s="81" t="s">
        <v>2916</v>
      </c>
      <c r="C1028" s="86"/>
      <c r="D1028" s="86"/>
      <c r="E1028" s="86"/>
      <c r="F1028" s="86"/>
      <c r="G1028" s="86"/>
      <c r="H1028" s="86"/>
      <c r="I1028" s="86"/>
      <c r="J1028" s="86"/>
    </row>
    <row r="1029" spans="1:10" ht="12.75" customHeight="1">
      <c r="A1029" s="83"/>
      <c r="B1029" s="83"/>
      <c r="C1029" s="84"/>
      <c r="D1029" s="84"/>
      <c r="E1029" s="84"/>
      <c r="F1029" s="84"/>
      <c r="G1029" s="84"/>
      <c r="H1029" s="84"/>
      <c r="I1029" s="84"/>
      <c r="J1029" s="84"/>
    </row>
    <row r="1030" spans="1:10" ht="12.75" customHeight="1">
      <c r="A1030" s="83"/>
      <c r="B1030" s="83"/>
      <c r="C1030" s="84"/>
      <c r="D1030" s="84"/>
      <c r="E1030" s="84"/>
      <c r="F1030" s="84"/>
      <c r="G1030" s="84"/>
      <c r="H1030" s="84"/>
      <c r="I1030" s="84"/>
      <c r="J1030" s="84"/>
    </row>
    <row r="1031" spans="1:10" ht="12.75" customHeight="1">
      <c r="A1031" s="83"/>
      <c r="B1031" s="81" t="s">
        <v>2803</v>
      </c>
      <c r="C1031" s="84">
        <v>8</v>
      </c>
      <c r="D1031" s="84">
        <v>3</v>
      </c>
      <c r="E1031" s="84" t="s">
        <v>2812</v>
      </c>
      <c r="F1031" s="84" t="s">
        <v>2812</v>
      </c>
      <c r="G1031" s="84">
        <v>3</v>
      </c>
      <c r="H1031" s="84" t="s">
        <v>2812</v>
      </c>
      <c r="I1031" s="84">
        <v>0</v>
      </c>
      <c r="J1031" s="84">
        <v>2</v>
      </c>
    </row>
    <row r="1032" spans="1:10" ht="12.75" customHeight="1">
      <c r="A1032" s="83"/>
      <c r="B1032" s="81" t="s">
        <v>2804</v>
      </c>
      <c r="C1032" s="84" t="s">
        <v>2805</v>
      </c>
      <c r="D1032" s="84" t="s">
        <v>2812</v>
      </c>
      <c r="E1032" s="84" t="s">
        <v>2812</v>
      </c>
      <c r="F1032" s="84" t="s">
        <v>2812</v>
      </c>
      <c r="G1032" s="84">
        <v>2</v>
      </c>
      <c r="H1032" s="84">
        <v>0</v>
      </c>
      <c r="I1032" s="84">
        <v>0</v>
      </c>
      <c r="J1032" s="84" t="s">
        <v>2805</v>
      </c>
    </row>
    <row r="1033" spans="1:10" ht="12.75" customHeight="1">
      <c r="A1033" s="83"/>
      <c r="B1033" s="83" t="s">
        <v>2806</v>
      </c>
      <c r="C1033" s="84" t="s">
        <v>2805</v>
      </c>
      <c r="D1033" s="84" t="s">
        <v>2812</v>
      </c>
      <c r="E1033" s="84">
        <v>0</v>
      </c>
      <c r="F1033" s="84" t="s">
        <v>2812</v>
      </c>
      <c r="G1033" s="84">
        <v>1</v>
      </c>
      <c r="H1033" s="84">
        <v>0</v>
      </c>
      <c r="I1033" s="84">
        <v>0</v>
      </c>
      <c r="J1033" s="84" t="s">
        <v>2805</v>
      </c>
    </row>
    <row r="1034" spans="1:10" ht="12.75" customHeight="1">
      <c r="A1034" s="83"/>
      <c r="B1034" s="83" t="s">
        <v>2807</v>
      </c>
      <c r="C1034" s="84" t="s">
        <v>2805</v>
      </c>
      <c r="D1034" s="84">
        <v>0</v>
      </c>
      <c r="E1034" s="84" t="s">
        <v>2812</v>
      </c>
      <c r="F1034" s="84" t="s">
        <v>2812</v>
      </c>
      <c r="G1034" s="84">
        <v>1</v>
      </c>
      <c r="H1034" s="84">
        <v>0</v>
      </c>
      <c r="I1034" s="84">
        <v>0</v>
      </c>
      <c r="J1034" s="84" t="s">
        <v>2805</v>
      </c>
    </row>
    <row r="1035" spans="1:10" ht="12.75" customHeight="1">
      <c r="A1035" s="83"/>
      <c r="B1035" s="81" t="s">
        <v>2808</v>
      </c>
      <c r="C1035" s="84" t="s">
        <v>2805</v>
      </c>
      <c r="D1035" s="84">
        <v>2</v>
      </c>
      <c r="E1035" s="84">
        <v>0</v>
      </c>
      <c r="F1035" s="84" t="s">
        <v>2812</v>
      </c>
      <c r="G1035" s="84">
        <v>1</v>
      </c>
      <c r="H1035" s="84" t="s">
        <v>2812</v>
      </c>
      <c r="I1035" s="84">
        <v>0</v>
      </c>
      <c r="J1035" s="84" t="s">
        <v>2805</v>
      </c>
    </row>
    <row r="1036" spans="1:10" ht="12.75" customHeight="1">
      <c r="A1036" s="83"/>
      <c r="B1036" s="83" t="s">
        <v>2810</v>
      </c>
      <c r="C1036" s="84" t="s">
        <v>2805</v>
      </c>
      <c r="D1036" s="84" t="s">
        <v>2812</v>
      </c>
      <c r="E1036" s="84">
        <v>0</v>
      </c>
      <c r="F1036" s="84" t="s">
        <v>2812</v>
      </c>
      <c r="G1036" s="84" t="s">
        <v>2812</v>
      </c>
      <c r="H1036" s="84">
        <v>0</v>
      </c>
      <c r="I1036" s="84">
        <v>0</v>
      </c>
      <c r="J1036" s="84" t="s">
        <v>2805</v>
      </c>
    </row>
    <row r="1037" spans="1:10" ht="12.75" customHeight="1">
      <c r="A1037" s="83"/>
      <c r="B1037" s="83" t="s">
        <v>2811</v>
      </c>
      <c r="C1037" s="84" t="s">
        <v>2805</v>
      </c>
      <c r="D1037" s="84">
        <v>1</v>
      </c>
      <c r="E1037" s="84">
        <v>0</v>
      </c>
      <c r="F1037" s="84" t="s">
        <v>2812</v>
      </c>
      <c r="G1037" s="84" t="s">
        <v>2812</v>
      </c>
      <c r="H1037" s="84">
        <v>0</v>
      </c>
      <c r="I1037" s="84">
        <v>0</v>
      </c>
      <c r="J1037" s="84" t="s">
        <v>2805</v>
      </c>
    </row>
    <row r="1038" spans="1:10" ht="12.75" customHeight="1">
      <c r="A1038" s="83"/>
      <c r="B1038" s="83" t="s">
        <v>2813</v>
      </c>
      <c r="C1038" s="84" t="s">
        <v>2805</v>
      </c>
      <c r="D1038" s="84">
        <v>1</v>
      </c>
      <c r="E1038" s="84">
        <v>0</v>
      </c>
      <c r="F1038" s="84" t="s">
        <v>2812</v>
      </c>
      <c r="G1038" s="84" t="s">
        <v>2812</v>
      </c>
      <c r="H1038" s="84" t="s">
        <v>2812</v>
      </c>
      <c r="I1038" s="84">
        <v>0</v>
      </c>
      <c r="J1038" s="84" t="s">
        <v>2805</v>
      </c>
    </row>
    <row r="1039" spans="1:10" ht="12.75" customHeight="1">
      <c r="A1039" s="83"/>
      <c r="B1039" s="83" t="s">
        <v>2814</v>
      </c>
      <c r="C1039" s="84" t="s">
        <v>2805</v>
      </c>
      <c r="D1039" s="84" t="s">
        <v>2812</v>
      </c>
      <c r="E1039" s="84" t="s">
        <v>2805</v>
      </c>
      <c r="F1039" s="84" t="s">
        <v>2805</v>
      </c>
      <c r="G1039" s="84" t="s">
        <v>2805</v>
      </c>
      <c r="H1039" s="84" t="s">
        <v>2805</v>
      </c>
      <c r="I1039" s="84" t="s">
        <v>2805</v>
      </c>
      <c r="J1039" s="84" t="s">
        <v>2805</v>
      </c>
    </row>
    <row r="1040" spans="1:10" ht="12.75" customHeight="1">
      <c r="A1040" s="83"/>
      <c r="B1040" s="83" t="s">
        <v>2815</v>
      </c>
      <c r="C1040" s="84" t="s">
        <v>2805</v>
      </c>
      <c r="D1040" s="84" t="s">
        <v>2812</v>
      </c>
      <c r="E1040" s="84">
        <v>0</v>
      </c>
      <c r="F1040" s="84" t="s">
        <v>2812</v>
      </c>
      <c r="G1040" s="84" t="s">
        <v>2812</v>
      </c>
      <c r="H1040" s="84">
        <v>0</v>
      </c>
      <c r="I1040" s="84">
        <v>0</v>
      </c>
      <c r="J1040" s="84" t="s">
        <v>2805</v>
      </c>
    </row>
    <row r="1041" spans="1:10" ht="12.75" customHeight="1">
      <c r="A1041" s="83"/>
      <c r="B1041" s="81" t="s">
        <v>2816</v>
      </c>
      <c r="C1041" s="84" t="s">
        <v>2805</v>
      </c>
      <c r="D1041" s="84">
        <v>1</v>
      </c>
      <c r="E1041" s="84">
        <v>0</v>
      </c>
      <c r="F1041" s="84" t="s">
        <v>2812</v>
      </c>
      <c r="G1041" s="84" t="s">
        <v>2812</v>
      </c>
      <c r="H1041" s="84" t="s">
        <v>2812</v>
      </c>
      <c r="I1041" s="84">
        <v>0</v>
      </c>
      <c r="J1041" s="84" t="s">
        <v>2805</v>
      </c>
    </row>
    <row r="1042" spans="1:10" ht="12.75" customHeight="1">
      <c r="A1042" s="83"/>
      <c r="B1042" s="83" t="s">
        <v>2817</v>
      </c>
      <c r="C1042" s="84" t="s">
        <v>2805</v>
      </c>
      <c r="D1042" s="84">
        <v>1</v>
      </c>
      <c r="E1042" s="84">
        <v>0</v>
      </c>
      <c r="F1042" s="84" t="s">
        <v>2812</v>
      </c>
      <c r="G1042" s="84" t="s">
        <v>2812</v>
      </c>
      <c r="H1042" s="84">
        <v>0</v>
      </c>
      <c r="I1042" s="84">
        <v>0</v>
      </c>
      <c r="J1042" s="84" t="s">
        <v>2805</v>
      </c>
    </row>
    <row r="1043" spans="1:10" ht="12.75" customHeight="1">
      <c r="A1043" s="83"/>
      <c r="B1043" s="83" t="s">
        <v>2818</v>
      </c>
      <c r="C1043" s="84" t="s">
        <v>2805</v>
      </c>
      <c r="D1043" s="84" t="s">
        <v>2812</v>
      </c>
      <c r="E1043" s="84" t="s">
        <v>2805</v>
      </c>
      <c r="F1043" s="84" t="s">
        <v>2805</v>
      </c>
      <c r="G1043" s="84" t="s">
        <v>2805</v>
      </c>
      <c r="H1043" s="84" t="s">
        <v>2805</v>
      </c>
      <c r="I1043" s="84" t="s">
        <v>2805</v>
      </c>
      <c r="J1043" s="84" t="s">
        <v>2805</v>
      </c>
    </row>
    <row r="1044" spans="1:10" ht="12.75" customHeight="1">
      <c r="A1044" s="83"/>
      <c r="B1044" s="83" t="s">
        <v>2819</v>
      </c>
      <c r="C1044" s="84" t="s">
        <v>2805</v>
      </c>
      <c r="D1044" s="84" t="s">
        <v>2812</v>
      </c>
      <c r="E1044" s="84">
        <v>0</v>
      </c>
      <c r="F1044" s="84" t="s">
        <v>2812</v>
      </c>
      <c r="G1044" s="84" t="s">
        <v>2812</v>
      </c>
      <c r="H1044" s="84" t="s">
        <v>2812</v>
      </c>
      <c r="I1044" s="84">
        <v>0</v>
      </c>
      <c r="J1044" s="84" t="s">
        <v>2805</v>
      </c>
    </row>
    <row r="1045" spans="1:10" ht="12.75" customHeight="1">
      <c r="A1045" s="83"/>
      <c r="B1045" s="83" t="s">
        <v>2820</v>
      </c>
      <c r="C1045" s="84" t="s">
        <v>2805</v>
      </c>
      <c r="D1045" s="84" t="s">
        <v>2812</v>
      </c>
      <c r="E1045" s="84" t="s">
        <v>2805</v>
      </c>
      <c r="F1045" s="84" t="s">
        <v>2812</v>
      </c>
      <c r="G1045" s="84">
        <v>0</v>
      </c>
      <c r="H1045" s="84" t="s">
        <v>2812</v>
      </c>
      <c r="I1045" s="84" t="s">
        <v>2805</v>
      </c>
      <c r="J1045" s="84" t="s">
        <v>2805</v>
      </c>
    </row>
    <row r="1046" spans="1:10" ht="12.75" customHeight="1">
      <c r="A1046" s="83"/>
      <c r="B1046" s="83" t="s">
        <v>2821</v>
      </c>
      <c r="C1046" s="84" t="s">
        <v>2805</v>
      </c>
      <c r="D1046" s="84" t="s">
        <v>2805</v>
      </c>
      <c r="E1046" s="84">
        <v>0</v>
      </c>
      <c r="F1046" s="84" t="s">
        <v>2812</v>
      </c>
      <c r="G1046" s="84" t="s">
        <v>2812</v>
      </c>
      <c r="H1046" s="84">
        <v>0</v>
      </c>
      <c r="I1046" s="84">
        <v>0</v>
      </c>
      <c r="J1046" s="84" t="s">
        <v>2805</v>
      </c>
    </row>
    <row r="1047" spans="1:10" ht="12.75" customHeight="1">
      <c r="A1047" s="83"/>
      <c r="B1047" s="83" t="s">
        <v>2822</v>
      </c>
      <c r="C1047" s="84" t="s">
        <v>2805</v>
      </c>
      <c r="D1047" s="84" t="s">
        <v>2812</v>
      </c>
      <c r="E1047" s="84">
        <v>0</v>
      </c>
      <c r="F1047" s="84" t="s">
        <v>2812</v>
      </c>
      <c r="G1047" s="84" t="s">
        <v>2812</v>
      </c>
      <c r="H1047" s="84" t="s">
        <v>2812</v>
      </c>
      <c r="I1047" s="84">
        <v>0</v>
      </c>
      <c r="J1047" s="84" t="s">
        <v>2805</v>
      </c>
    </row>
    <row r="1048" spans="1:10" ht="12.75" customHeight="1">
      <c r="A1048" s="83"/>
      <c r="B1048" s="81" t="s">
        <v>2823</v>
      </c>
      <c r="C1048" s="84">
        <v>2</v>
      </c>
      <c r="D1048" s="84" t="s">
        <v>2812</v>
      </c>
      <c r="E1048" s="84">
        <v>0</v>
      </c>
      <c r="F1048" s="84">
        <v>0</v>
      </c>
      <c r="G1048" s="84" t="s">
        <v>2812</v>
      </c>
      <c r="H1048" s="84" t="s">
        <v>2812</v>
      </c>
      <c r="I1048" s="84">
        <v>0</v>
      </c>
      <c r="J1048" s="84">
        <v>2</v>
      </c>
    </row>
    <row r="1049" spans="1:10" ht="12.75" customHeight="1">
      <c r="A1049" s="83"/>
      <c r="B1049" s="81"/>
      <c r="C1049" s="84"/>
      <c r="D1049" s="84"/>
      <c r="E1049" s="84"/>
      <c r="F1049" s="84"/>
      <c r="G1049" s="84"/>
      <c r="H1049" s="84"/>
      <c r="I1049" s="84"/>
      <c r="J1049" s="84"/>
    </row>
    <row r="1050" spans="1:10" s="71" customFormat="1" ht="12.75" customHeight="1">
      <c r="A1050" s="81" t="s">
        <v>2917</v>
      </c>
      <c r="B1050" s="81" t="s">
        <v>2918</v>
      </c>
      <c r="C1050" s="86"/>
      <c r="D1050" s="86"/>
      <c r="E1050" s="86"/>
      <c r="F1050" s="86"/>
      <c r="G1050" s="86"/>
      <c r="H1050" s="86"/>
      <c r="I1050" s="86"/>
      <c r="J1050" s="86"/>
    </row>
    <row r="1051" spans="1:10" s="71" customFormat="1" ht="12.75" customHeight="1">
      <c r="A1051" s="81"/>
      <c r="B1051" s="81"/>
      <c r="C1051" s="86"/>
      <c r="D1051" s="86"/>
      <c r="E1051" s="86"/>
      <c r="F1051" s="86"/>
      <c r="G1051" s="86"/>
      <c r="H1051" s="86"/>
      <c r="I1051" s="86"/>
      <c r="J1051" s="86"/>
    </row>
    <row r="1052" spans="1:10" s="71" customFormat="1" ht="12.75" customHeight="1">
      <c r="A1052" s="81"/>
      <c r="B1052" s="81"/>
      <c r="C1052" s="86"/>
      <c r="D1052" s="86"/>
      <c r="E1052" s="86"/>
      <c r="F1052" s="86"/>
      <c r="G1052" s="86"/>
      <c r="H1052" s="86"/>
      <c r="I1052" s="86"/>
      <c r="J1052" s="86"/>
    </row>
    <row r="1053" spans="1:10" ht="12.75" customHeight="1">
      <c r="A1053" s="83"/>
      <c r="B1053" s="81" t="s">
        <v>2803</v>
      </c>
      <c r="C1053" s="84">
        <v>256</v>
      </c>
      <c r="D1053" s="84">
        <v>168</v>
      </c>
      <c r="E1053" s="84" t="s">
        <v>2812</v>
      </c>
      <c r="F1053" s="84" t="s">
        <v>2826</v>
      </c>
      <c r="G1053" s="84">
        <v>83</v>
      </c>
      <c r="H1053" s="84">
        <v>3</v>
      </c>
      <c r="I1053" s="84">
        <v>0</v>
      </c>
      <c r="J1053" s="84" t="s">
        <v>2812</v>
      </c>
    </row>
    <row r="1054" spans="1:10" ht="12.75" customHeight="1">
      <c r="A1054" s="83"/>
      <c r="B1054" s="81" t="s">
        <v>2804</v>
      </c>
      <c r="C1054" s="84" t="s">
        <v>2805</v>
      </c>
      <c r="D1054" s="84" t="s">
        <v>2826</v>
      </c>
      <c r="E1054" s="84" t="s">
        <v>2812</v>
      </c>
      <c r="F1054" s="84" t="s">
        <v>2812</v>
      </c>
      <c r="G1054" s="84">
        <v>31</v>
      </c>
      <c r="H1054" s="84" t="s">
        <v>2812</v>
      </c>
      <c r="I1054" s="84">
        <v>0</v>
      </c>
      <c r="J1054" s="84" t="s">
        <v>2805</v>
      </c>
    </row>
    <row r="1055" spans="1:10" ht="12.75" customHeight="1">
      <c r="A1055" s="83"/>
      <c r="B1055" s="83" t="s">
        <v>2806</v>
      </c>
      <c r="C1055" s="84" t="s">
        <v>2805</v>
      </c>
      <c r="D1055" s="84" t="s">
        <v>2826</v>
      </c>
      <c r="E1055" s="84" t="s">
        <v>2812</v>
      </c>
      <c r="F1055" s="84" t="s">
        <v>2812</v>
      </c>
      <c r="G1055" s="84">
        <v>11</v>
      </c>
      <c r="H1055" s="84" t="s">
        <v>2812</v>
      </c>
      <c r="I1055" s="84">
        <v>0</v>
      </c>
      <c r="J1055" s="84" t="s">
        <v>2805</v>
      </c>
    </row>
    <row r="1056" spans="1:10" ht="12.75" customHeight="1">
      <c r="A1056" s="83"/>
      <c r="B1056" s="83" t="s">
        <v>2807</v>
      </c>
      <c r="C1056" s="84" t="s">
        <v>2805</v>
      </c>
      <c r="D1056" s="84">
        <v>0</v>
      </c>
      <c r="E1056" s="84">
        <v>0</v>
      </c>
      <c r="F1056" s="84" t="s">
        <v>2812</v>
      </c>
      <c r="G1056" s="84">
        <v>20</v>
      </c>
      <c r="H1056" s="84" t="s">
        <v>2812</v>
      </c>
      <c r="I1056" s="84">
        <v>0</v>
      </c>
      <c r="J1056" s="84" t="s">
        <v>2805</v>
      </c>
    </row>
    <row r="1057" spans="1:10" ht="12.75" customHeight="1">
      <c r="A1057" s="83"/>
      <c r="B1057" s="81" t="s">
        <v>2808</v>
      </c>
      <c r="C1057" s="84" t="s">
        <v>2805</v>
      </c>
      <c r="D1057" s="84">
        <v>126</v>
      </c>
      <c r="E1057" s="84">
        <v>0</v>
      </c>
      <c r="F1057" s="84" t="s">
        <v>2826</v>
      </c>
      <c r="G1057" s="84">
        <v>31</v>
      </c>
      <c r="H1057" s="84" t="s">
        <v>2826</v>
      </c>
      <c r="I1057" s="84">
        <v>0</v>
      </c>
      <c r="J1057" s="84" t="s">
        <v>2805</v>
      </c>
    </row>
    <row r="1058" spans="1:10" ht="12.75" customHeight="1">
      <c r="A1058" s="83"/>
      <c r="B1058" s="83" t="s">
        <v>2810</v>
      </c>
      <c r="C1058" s="84" t="s">
        <v>2805</v>
      </c>
      <c r="D1058" s="84">
        <v>19</v>
      </c>
      <c r="E1058" s="84">
        <v>0</v>
      </c>
      <c r="F1058" s="84" t="s">
        <v>2826</v>
      </c>
      <c r="G1058" s="84">
        <v>29</v>
      </c>
      <c r="H1058" s="84" t="s">
        <v>2812</v>
      </c>
      <c r="I1058" s="84">
        <v>0</v>
      </c>
      <c r="J1058" s="84" t="s">
        <v>2805</v>
      </c>
    </row>
    <row r="1059" spans="1:10" ht="12.75" customHeight="1">
      <c r="A1059" s="83"/>
      <c r="B1059" s="83" t="s">
        <v>2811</v>
      </c>
      <c r="C1059" s="84" t="s">
        <v>2805</v>
      </c>
      <c r="D1059" s="84">
        <v>14</v>
      </c>
      <c r="E1059" s="84">
        <v>0</v>
      </c>
      <c r="F1059" s="84">
        <v>0</v>
      </c>
      <c r="G1059" s="84" t="s">
        <v>2812</v>
      </c>
      <c r="H1059" s="84">
        <v>0</v>
      </c>
      <c r="I1059" s="84">
        <v>0</v>
      </c>
      <c r="J1059" s="84" t="s">
        <v>2805</v>
      </c>
    </row>
    <row r="1060" spans="1:10" ht="12.75" customHeight="1">
      <c r="A1060" s="83"/>
      <c r="B1060" s="83" t="s">
        <v>2813</v>
      </c>
      <c r="C1060" s="84" t="s">
        <v>2805</v>
      </c>
      <c r="D1060" s="84">
        <v>86</v>
      </c>
      <c r="E1060" s="84">
        <v>0</v>
      </c>
      <c r="F1060" s="84" t="s">
        <v>2812</v>
      </c>
      <c r="G1060" s="84" t="s">
        <v>2812</v>
      </c>
      <c r="H1060" s="84" t="s">
        <v>2812</v>
      </c>
      <c r="I1060" s="84">
        <v>0</v>
      </c>
      <c r="J1060" s="84" t="s">
        <v>2805</v>
      </c>
    </row>
    <row r="1061" spans="1:10" ht="12.75" customHeight="1">
      <c r="A1061" s="83"/>
      <c r="B1061" s="83" t="s">
        <v>2814</v>
      </c>
      <c r="C1061" s="84" t="s">
        <v>2805</v>
      </c>
      <c r="D1061" s="84" t="s">
        <v>2826</v>
      </c>
      <c r="E1061" s="84" t="s">
        <v>2805</v>
      </c>
      <c r="F1061" s="84" t="s">
        <v>2805</v>
      </c>
      <c r="G1061" s="84" t="s">
        <v>2805</v>
      </c>
      <c r="H1061" s="84" t="s">
        <v>2805</v>
      </c>
      <c r="I1061" s="84" t="s">
        <v>2805</v>
      </c>
      <c r="J1061" s="84" t="s">
        <v>2805</v>
      </c>
    </row>
    <row r="1062" spans="1:10" ht="12.75" customHeight="1">
      <c r="A1062" s="83"/>
      <c r="B1062" s="83" t="s">
        <v>2815</v>
      </c>
      <c r="C1062" s="84" t="s">
        <v>2805</v>
      </c>
      <c r="D1062" s="84">
        <v>5</v>
      </c>
      <c r="E1062" s="84">
        <v>0</v>
      </c>
      <c r="F1062" s="84" t="s">
        <v>2812</v>
      </c>
      <c r="G1062" s="84" t="s">
        <v>2826</v>
      </c>
      <c r="H1062" s="84" t="s">
        <v>2812</v>
      </c>
      <c r="I1062" s="84">
        <v>0</v>
      </c>
      <c r="J1062" s="84" t="s">
        <v>2805</v>
      </c>
    </row>
    <row r="1063" spans="1:10" ht="12.75" customHeight="1">
      <c r="A1063" s="83"/>
      <c r="B1063" s="81" t="s">
        <v>2816</v>
      </c>
      <c r="C1063" s="84" t="s">
        <v>2805</v>
      </c>
      <c r="D1063" s="84">
        <v>39</v>
      </c>
      <c r="E1063" s="84">
        <v>0</v>
      </c>
      <c r="F1063" s="84" t="s">
        <v>2812</v>
      </c>
      <c r="G1063" s="84">
        <v>22</v>
      </c>
      <c r="H1063" s="84">
        <v>2</v>
      </c>
      <c r="I1063" s="84">
        <v>0</v>
      </c>
      <c r="J1063" s="84" t="s">
        <v>2805</v>
      </c>
    </row>
    <row r="1064" spans="1:10" ht="12.75" customHeight="1">
      <c r="A1064" s="83"/>
      <c r="B1064" s="83" t="s">
        <v>2817</v>
      </c>
      <c r="C1064" s="84" t="s">
        <v>2805</v>
      </c>
      <c r="D1064" s="84">
        <v>17</v>
      </c>
      <c r="E1064" s="84">
        <v>0</v>
      </c>
      <c r="F1064" s="84">
        <v>0</v>
      </c>
      <c r="G1064" s="84">
        <v>21</v>
      </c>
      <c r="H1064" s="84" t="s">
        <v>2812</v>
      </c>
      <c r="I1064" s="84">
        <v>0</v>
      </c>
      <c r="J1064" s="84" t="s">
        <v>2805</v>
      </c>
    </row>
    <row r="1065" spans="1:10" ht="12.75" customHeight="1">
      <c r="A1065" s="83"/>
      <c r="B1065" s="83" t="s">
        <v>2818</v>
      </c>
      <c r="C1065" s="84" t="s">
        <v>2805</v>
      </c>
      <c r="D1065" s="84">
        <v>13</v>
      </c>
      <c r="E1065" s="84" t="s">
        <v>2805</v>
      </c>
      <c r="F1065" s="84" t="s">
        <v>2805</v>
      </c>
      <c r="G1065" s="84" t="s">
        <v>2805</v>
      </c>
      <c r="H1065" s="84" t="s">
        <v>2805</v>
      </c>
      <c r="I1065" s="84" t="s">
        <v>2805</v>
      </c>
      <c r="J1065" s="84" t="s">
        <v>2805</v>
      </c>
    </row>
    <row r="1066" spans="1:10" ht="12.75" customHeight="1">
      <c r="A1066" s="83"/>
      <c r="B1066" s="83" t="s">
        <v>2819</v>
      </c>
      <c r="C1066" s="84" t="s">
        <v>2805</v>
      </c>
      <c r="D1066" s="84">
        <v>5</v>
      </c>
      <c r="E1066" s="84">
        <v>0</v>
      </c>
      <c r="F1066" s="84">
        <v>0</v>
      </c>
      <c r="G1066" s="84">
        <v>1</v>
      </c>
      <c r="H1066" s="84" t="s">
        <v>2812</v>
      </c>
      <c r="I1066" s="84">
        <v>0</v>
      </c>
      <c r="J1066" s="84" t="s">
        <v>2805</v>
      </c>
    </row>
    <row r="1067" spans="1:10" ht="12.75" customHeight="1">
      <c r="A1067" s="83"/>
      <c r="B1067" s="83" t="s">
        <v>2820</v>
      </c>
      <c r="C1067" s="84" t="s">
        <v>2805</v>
      </c>
      <c r="D1067" s="84">
        <v>2</v>
      </c>
      <c r="E1067" s="84" t="s">
        <v>2805</v>
      </c>
      <c r="F1067" s="84" t="s">
        <v>2812</v>
      </c>
      <c r="G1067" s="84" t="s">
        <v>2812</v>
      </c>
      <c r="H1067" s="84">
        <v>2</v>
      </c>
      <c r="I1067" s="84" t="s">
        <v>2805</v>
      </c>
      <c r="J1067" s="84" t="s">
        <v>2805</v>
      </c>
    </row>
    <row r="1068" spans="1:10" ht="12.75" customHeight="1">
      <c r="A1068" s="83"/>
      <c r="B1068" s="83" t="s">
        <v>2821</v>
      </c>
      <c r="C1068" s="84" t="s">
        <v>2805</v>
      </c>
      <c r="D1068" s="84" t="s">
        <v>2805</v>
      </c>
      <c r="E1068" s="84">
        <v>0</v>
      </c>
      <c r="F1068" s="84" t="s">
        <v>2812</v>
      </c>
      <c r="G1068" s="84" t="s">
        <v>2812</v>
      </c>
      <c r="H1068" s="84">
        <v>0</v>
      </c>
      <c r="I1068" s="84">
        <v>0</v>
      </c>
      <c r="J1068" s="84" t="s">
        <v>2805</v>
      </c>
    </row>
    <row r="1069" spans="1:10" ht="12.75" customHeight="1">
      <c r="A1069" s="83"/>
      <c r="B1069" s="83" t="s">
        <v>2822</v>
      </c>
      <c r="C1069" s="84" t="s">
        <v>2805</v>
      </c>
      <c r="D1069" s="84" t="s">
        <v>2826</v>
      </c>
      <c r="E1069" s="84">
        <v>0</v>
      </c>
      <c r="F1069" s="84" t="s">
        <v>2812</v>
      </c>
      <c r="G1069" s="84">
        <v>0</v>
      </c>
      <c r="H1069" s="84" t="s">
        <v>2812</v>
      </c>
      <c r="I1069" s="84">
        <v>0</v>
      </c>
      <c r="J1069" s="84" t="s">
        <v>2805</v>
      </c>
    </row>
    <row r="1070" spans="1:10" ht="12.75" customHeight="1">
      <c r="A1070" s="83"/>
      <c r="B1070" s="81" t="s">
        <v>2823</v>
      </c>
      <c r="C1070" s="84" t="s">
        <v>2826</v>
      </c>
      <c r="D1070" s="84" t="s">
        <v>2826</v>
      </c>
      <c r="E1070" s="84">
        <v>0</v>
      </c>
      <c r="F1070" s="84">
        <v>0</v>
      </c>
      <c r="G1070" s="84">
        <v>0</v>
      </c>
      <c r="H1070" s="84" t="s">
        <v>2812</v>
      </c>
      <c r="I1070" s="84">
        <v>0</v>
      </c>
      <c r="J1070" s="84" t="s">
        <v>2812</v>
      </c>
    </row>
    <row r="1071" spans="1:10" ht="12.75" customHeight="1">
      <c r="A1071" s="83"/>
      <c r="B1071" s="81"/>
      <c r="C1071" s="84"/>
      <c r="D1071" s="84"/>
      <c r="E1071" s="84"/>
      <c r="F1071" s="84"/>
      <c r="G1071" s="84"/>
      <c r="H1071" s="84"/>
      <c r="I1071" s="84"/>
      <c r="J1071" s="84"/>
    </row>
    <row r="1072" spans="1:10" s="71" customFormat="1" ht="12.75" customHeight="1">
      <c r="A1072" s="81" t="s">
        <v>2919</v>
      </c>
      <c r="B1072" s="81" t="s">
        <v>2920</v>
      </c>
      <c r="C1072" s="86"/>
      <c r="D1072" s="86"/>
      <c r="E1072" s="86"/>
      <c r="F1072" s="86"/>
      <c r="G1072" s="86"/>
      <c r="H1072" s="86"/>
      <c r="I1072" s="86"/>
      <c r="J1072" s="86"/>
    </row>
    <row r="1073" spans="1:10" s="71" customFormat="1" ht="12.75" customHeight="1">
      <c r="A1073" s="81"/>
      <c r="B1073" s="81"/>
      <c r="C1073" s="86"/>
      <c r="D1073" s="86"/>
      <c r="E1073" s="86"/>
      <c r="F1073" s="86"/>
      <c r="G1073" s="86"/>
      <c r="H1073" s="86"/>
      <c r="I1073" s="86"/>
      <c r="J1073" s="86"/>
    </row>
    <row r="1074" spans="1:10" s="71" customFormat="1" ht="12.75" customHeight="1">
      <c r="A1074" s="81"/>
      <c r="B1074" s="81"/>
      <c r="C1074" s="86"/>
      <c r="D1074" s="86"/>
      <c r="E1074" s="86"/>
      <c r="F1074" s="86"/>
      <c r="G1074" s="86"/>
      <c r="H1074" s="86"/>
      <c r="I1074" s="86"/>
      <c r="J1074" s="86"/>
    </row>
    <row r="1075" spans="1:10" ht="12.75" customHeight="1">
      <c r="A1075" s="83"/>
      <c r="B1075" s="81" t="s">
        <v>2803</v>
      </c>
      <c r="C1075" s="84">
        <v>821</v>
      </c>
      <c r="D1075" s="84">
        <v>129</v>
      </c>
      <c r="E1075" s="84" t="s">
        <v>2812</v>
      </c>
      <c r="F1075" s="84">
        <v>20</v>
      </c>
      <c r="G1075" s="84">
        <v>348</v>
      </c>
      <c r="H1075" s="84">
        <v>2</v>
      </c>
      <c r="I1075" s="84">
        <v>189</v>
      </c>
      <c r="J1075" s="84">
        <v>131</v>
      </c>
    </row>
    <row r="1076" spans="1:10" ht="12.75" customHeight="1">
      <c r="A1076" s="83"/>
      <c r="B1076" s="81" t="s">
        <v>2804</v>
      </c>
      <c r="C1076" s="84" t="s">
        <v>2805</v>
      </c>
      <c r="D1076" s="84" t="s">
        <v>2812</v>
      </c>
      <c r="E1076" s="84">
        <v>0</v>
      </c>
      <c r="F1076" s="84" t="s">
        <v>2812</v>
      </c>
      <c r="G1076" s="84">
        <v>12</v>
      </c>
      <c r="H1076" s="84" t="s">
        <v>2812</v>
      </c>
      <c r="I1076" s="84" t="s">
        <v>2812</v>
      </c>
      <c r="J1076" s="84" t="s">
        <v>2805</v>
      </c>
    </row>
    <row r="1077" spans="1:10" ht="12.75" customHeight="1">
      <c r="A1077" s="83"/>
      <c r="B1077" s="83" t="s">
        <v>2806</v>
      </c>
      <c r="C1077" s="84" t="s">
        <v>2805</v>
      </c>
      <c r="D1077" s="84" t="s">
        <v>2812</v>
      </c>
      <c r="E1077" s="84">
        <v>0</v>
      </c>
      <c r="F1077" s="84" t="s">
        <v>2812</v>
      </c>
      <c r="G1077" s="84">
        <v>2</v>
      </c>
      <c r="H1077" s="84" t="s">
        <v>2812</v>
      </c>
      <c r="I1077" s="84" t="s">
        <v>2812</v>
      </c>
      <c r="J1077" s="84" t="s">
        <v>2805</v>
      </c>
    </row>
    <row r="1078" spans="1:10" ht="12.75" customHeight="1">
      <c r="A1078" s="83"/>
      <c r="B1078" s="83" t="s">
        <v>2807</v>
      </c>
      <c r="C1078" s="84" t="s">
        <v>2805</v>
      </c>
      <c r="D1078" s="84">
        <v>0</v>
      </c>
      <c r="E1078" s="84">
        <v>0</v>
      </c>
      <c r="F1078" s="84" t="s">
        <v>2812</v>
      </c>
      <c r="G1078" s="84">
        <v>10</v>
      </c>
      <c r="H1078" s="84" t="s">
        <v>2812</v>
      </c>
      <c r="I1078" s="84" t="s">
        <v>2812</v>
      </c>
      <c r="J1078" s="84" t="s">
        <v>2805</v>
      </c>
    </row>
    <row r="1079" spans="1:10" ht="12.75" customHeight="1">
      <c r="A1079" s="83"/>
      <c r="B1079" s="81" t="s">
        <v>2808</v>
      </c>
      <c r="C1079" s="84" t="s">
        <v>2805</v>
      </c>
      <c r="D1079" s="84">
        <v>113</v>
      </c>
      <c r="E1079" s="84" t="s">
        <v>2812</v>
      </c>
      <c r="F1079" s="84">
        <v>10</v>
      </c>
      <c r="G1079" s="84">
        <v>317</v>
      </c>
      <c r="H1079" s="84" t="s">
        <v>2826</v>
      </c>
      <c r="I1079" s="84">
        <v>189</v>
      </c>
      <c r="J1079" s="84" t="s">
        <v>2805</v>
      </c>
    </row>
    <row r="1080" spans="1:10" ht="12.75" customHeight="1">
      <c r="A1080" s="83"/>
      <c r="B1080" s="83" t="s">
        <v>2810</v>
      </c>
      <c r="C1080" s="84" t="s">
        <v>2805</v>
      </c>
      <c r="D1080" s="84">
        <v>26</v>
      </c>
      <c r="E1080" s="84" t="s">
        <v>2812</v>
      </c>
      <c r="F1080" s="84" t="s">
        <v>2826</v>
      </c>
      <c r="G1080" s="84">
        <v>283</v>
      </c>
      <c r="H1080" s="84" t="s">
        <v>2826</v>
      </c>
      <c r="I1080" s="84">
        <v>154</v>
      </c>
      <c r="J1080" s="84" t="s">
        <v>2805</v>
      </c>
    </row>
    <row r="1081" spans="1:10" ht="12.75" customHeight="1">
      <c r="A1081" s="83"/>
      <c r="B1081" s="83" t="s">
        <v>2811</v>
      </c>
      <c r="C1081" s="84" t="s">
        <v>2805</v>
      </c>
      <c r="D1081" s="84">
        <v>6</v>
      </c>
      <c r="E1081" s="84">
        <v>0</v>
      </c>
      <c r="F1081" s="84">
        <v>0</v>
      </c>
      <c r="G1081" s="84">
        <v>3</v>
      </c>
      <c r="H1081" s="84">
        <v>0</v>
      </c>
      <c r="I1081" s="84">
        <v>3</v>
      </c>
      <c r="J1081" s="84" t="s">
        <v>2805</v>
      </c>
    </row>
    <row r="1082" spans="1:10" ht="12.75" customHeight="1">
      <c r="A1082" s="83"/>
      <c r="B1082" s="83" t="s">
        <v>2813</v>
      </c>
      <c r="C1082" s="84" t="s">
        <v>2805</v>
      </c>
      <c r="D1082" s="84">
        <v>71</v>
      </c>
      <c r="E1082" s="84" t="s">
        <v>2812</v>
      </c>
      <c r="F1082" s="84">
        <v>6</v>
      </c>
      <c r="G1082" s="84">
        <v>25</v>
      </c>
      <c r="H1082" s="84" t="s">
        <v>2812</v>
      </c>
      <c r="I1082" s="84">
        <v>14</v>
      </c>
      <c r="J1082" s="84" t="s">
        <v>2805</v>
      </c>
    </row>
    <row r="1083" spans="1:10" ht="12.75" customHeight="1">
      <c r="A1083" s="83"/>
      <c r="B1083" s="83" t="s">
        <v>2814</v>
      </c>
      <c r="C1083" s="84" t="s">
        <v>2805</v>
      </c>
      <c r="D1083" s="84">
        <v>3</v>
      </c>
      <c r="E1083" s="84" t="s">
        <v>2805</v>
      </c>
      <c r="F1083" s="84" t="s">
        <v>2805</v>
      </c>
      <c r="G1083" s="84" t="s">
        <v>2805</v>
      </c>
      <c r="H1083" s="84" t="s">
        <v>2805</v>
      </c>
      <c r="I1083" s="84" t="s">
        <v>2805</v>
      </c>
      <c r="J1083" s="84" t="s">
        <v>2805</v>
      </c>
    </row>
    <row r="1084" spans="1:10" ht="12.75" customHeight="1">
      <c r="A1084" s="83"/>
      <c r="B1084" s="83" t="s">
        <v>2815</v>
      </c>
      <c r="C1084" s="84" t="s">
        <v>2805</v>
      </c>
      <c r="D1084" s="84">
        <v>7</v>
      </c>
      <c r="E1084" s="84">
        <v>0</v>
      </c>
      <c r="F1084" s="84" t="s">
        <v>2812</v>
      </c>
      <c r="G1084" s="84" t="s">
        <v>2826</v>
      </c>
      <c r="H1084" s="84" t="s">
        <v>2812</v>
      </c>
      <c r="I1084" s="84" t="s">
        <v>2826</v>
      </c>
      <c r="J1084" s="84" t="s">
        <v>2805</v>
      </c>
    </row>
    <row r="1085" spans="1:10" ht="12.75" customHeight="1">
      <c r="A1085" s="83"/>
      <c r="B1085" s="81" t="s">
        <v>2816</v>
      </c>
      <c r="C1085" s="84" t="s">
        <v>2805</v>
      </c>
      <c r="D1085" s="84">
        <v>16</v>
      </c>
      <c r="E1085" s="84">
        <v>0</v>
      </c>
      <c r="F1085" s="84">
        <v>11</v>
      </c>
      <c r="G1085" s="84">
        <v>18</v>
      </c>
      <c r="H1085" s="84">
        <v>1</v>
      </c>
      <c r="I1085" s="84" t="s">
        <v>2812</v>
      </c>
      <c r="J1085" s="84" t="s">
        <v>2805</v>
      </c>
    </row>
    <row r="1086" spans="1:10" ht="12.75" customHeight="1">
      <c r="A1086" s="83"/>
      <c r="B1086" s="83" t="s">
        <v>2817</v>
      </c>
      <c r="C1086" s="84" t="s">
        <v>2805</v>
      </c>
      <c r="D1086" s="84">
        <v>7</v>
      </c>
      <c r="E1086" s="84">
        <v>0</v>
      </c>
      <c r="F1086" s="84" t="s">
        <v>2812</v>
      </c>
      <c r="G1086" s="84">
        <v>16</v>
      </c>
      <c r="H1086" s="84" t="s">
        <v>2812</v>
      </c>
      <c r="I1086" s="84">
        <v>0</v>
      </c>
      <c r="J1086" s="84" t="s">
        <v>2805</v>
      </c>
    </row>
    <row r="1087" spans="1:10" ht="12.75" customHeight="1">
      <c r="A1087" s="83"/>
      <c r="B1087" s="83" t="s">
        <v>2818</v>
      </c>
      <c r="C1087" s="84" t="s">
        <v>2805</v>
      </c>
      <c r="D1087" s="84">
        <v>6</v>
      </c>
      <c r="E1087" s="84" t="s">
        <v>2805</v>
      </c>
      <c r="F1087" s="84" t="s">
        <v>2805</v>
      </c>
      <c r="G1087" s="84" t="s">
        <v>2805</v>
      </c>
      <c r="H1087" s="84" t="s">
        <v>2805</v>
      </c>
      <c r="I1087" s="84" t="s">
        <v>2805</v>
      </c>
      <c r="J1087" s="84" t="s">
        <v>2805</v>
      </c>
    </row>
    <row r="1088" spans="1:10" ht="12.75" customHeight="1">
      <c r="A1088" s="83"/>
      <c r="B1088" s="83" t="s">
        <v>2819</v>
      </c>
      <c r="C1088" s="84" t="s">
        <v>2805</v>
      </c>
      <c r="D1088" s="84">
        <v>2</v>
      </c>
      <c r="E1088" s="84">
        <v>0</v>
      </c>
      <c r="F1088" s="84" t="s">
        <v>2812</v>
      </c>
      <c r="G1088" s="84">
        <v>2</v>
      </c>
      <c r="H1088" s="84" t="s">
        <v>2812</v>
      </c>
      <c r="I1088" s="84" t="s">
        <v>2812</v>
      </c>
      <c r="J1088" s="84" t="s">
        <v>2805</v>
      </c>
    </row>
    <row r="1089" spans="1:10" ht="12.75" customHeight="1">
      <c r="A1089" s="83"/>
      <c r="B1089" s="83" t="s">
        <v>2820</v>
      </c>
      <c r="C1089" s="84" t="s">
        <v>2805</v>
      </c>
      <c r="D1089" s="84" t="s">
        <v>2812</v>
      </c>
      <c r="E1089" s="84" t="s">
        <v>2805</v>
      </c>
      <c r="F1089" s="84">
        <v>9</v>
      </c>
      <c r="G1089" s="84" t="s">
        <v>2812</v>
      </c>
      <c r="H1089" s="84">
        <v>1</v>
      </c>
      <c r="I1089" s="84" t="s">
        <v>2805</v>
      </c>
      <c r="J1089" s="84" t="s">
        <v>2805</v>
      </c>
    </row>
    <row r="1090" spans="1:10" ht="12.75" customHeight="1">
      <c r="A1090" s="83"/>
      <c r="B1090" s="83" t="s">
        <v>2821</v>
      </c>
      <c r="C1090" s="84" t="s">
        <v>2805</v>
      </c>
      <c r="D1090" s="84" t="s">
        <v>2805</v>
      </c>
      <c r="E1090" s="84">
        <v>0</v>
      </c>
      <c r="F1090" s="84" t="s">
        <v>2812</v>
      </c>
      <c r="G1090" s="84" t="s">
        <v>2812</v>
      </c>
      <c r="H1090" s="84" t="s">
        <v>2812</v>
      </c>
      <c r="I1090" s="84">
        <v>0</v>
      </c>
      <c r="J1090" s="84" t="s">
        <v>2805</v>
      </c>
    </row>
    <row r="1091" spans="1:10" ht="12.75" customHeight="1">
      <c r="A1091" s="83"/>
      <c r="B1091" s="83" t="s">
        <v>2822</v>
      </c>
      <c r="C1091" s="84" t="s">
        <v>2805</v>
      </c>
      <c r="D1091" s="84">
        <v>1</v>
      </c>
      <c r="E1091" s="84">
        <v>0</v>
      </c>
      <c r="F1091" s="84" t="s">
        <v>2826</v>
      </c>
      <c r="G1091" s="84">
        <v>1</v>
      </c>
      <c r="H1091" s="84" t="s">
        <v>2812</v>
      </c>
      <c r="I1091" s="84">
        <v>0</v>
      </c>
      <c r="J1091" s="84" t="s">
        <v>2805</v>
      </c>
    </row>
    <row r="1092" spans="1:10" ht="12.75" customHeight="1">
      <c r="A1092" s="83"/>
      <c r="B1092" s="81" t="s">
        <v>2823</v>
      </c>
      <c r="C1092" s="84">
        <v>132</v>
      </c>
      <c r="D1092" s="84">
        <v>1</v>
      </c>
      <c r="E1092" s="84">
        <v>0</v>
      </c>
      <c r="F1092" s="84">
        <v>0</v>
      </c>
      <c r="G1092" s="84">
        <v>1</v>
      </c>
      <c r="H1092" s="84" t="s">
        <v>2812</v>
      </c>
      <c r="I1092" s="84">
        <v>0</v>
      </c>
      <c r="J1092" s="84">
        <v>131</v>
      </c>
    </row>
    <row r="1093" spans="1:10" ht="12.75" customHeight="1">
      <c r="A1093" s="83"/>
      <c r="B1093" s="81"/>
      <c r="C1093" s="84"/>
      <c r="D1093" s="84"/>
      <c r="E1093" s="84"/>
      <c r="F1093" s="84"/>
      <c r="G1093" s="84"/>
      <c r="H1093" s="84"/>
      <c r="I1093" s="84"/>
      <c r="J1093" s="84"/>
    </row>
    <row r="1094" spans="1:10" s="71" customFormat="1" ht="12.75" customHeight="1">
      <c r="A1094" s="81" t="s">
        <v>2921</v>
      </c>
      <c r="B1094" s="81" t="s">
        <v>2922</v>
      </c>
      <c r="C1094" s="86"/>
      <c r="D1094" s="86"/>
      <c r="E1094" s="86"/>
      <c r="F1094" s="86"/>
      <c r="G1094" s="86"/>
      <c r="H1094" s="86"/>
      <c r="I1094" s="86"/>
      <c r="J1094" s="86"/>
    </row>
    <row r="1095" spans="1:10" s="71" customFormat="1" ht="12.75" customHeight="1">
      <c r="A1095" s="81"/>
      <c r="B1095" s="81"/>
      <c r="C1095" s="86"/>
      <c r="D1095" s="86"/>
      <c r="E1095" s="86"/>
      <c r="F1095" s="86"/>
      <c r="G1095" s="86"/>
      <c r="H1095" s="86"/>
      <c r="I1095" s="86"/>
      <c r="J1095" s="86"/>
    </row>
    <row r="1096" spans="1:10" s="71" customFormat="1" ht="12.75" customHeight="1">
      <c r="A1096" s="81"/>
      <c r="B1096" s="81"/>
      <c r="C1096" s="86"/>
      <c r="D1096" s="86"/>
      <c r="E1096" s="86"/>
      <c r="F1096" s="86"/>
      <c r="G1096" s="86"/>
      <c r="H1096" s="86"/>
      <c r="I1096" s="86"/>
      <c r="J1096" s="86"/>
    </row>
    <row r="1097" spans="1:10" ht="12.75" customHeight="1">
      <c r="A1097" s="83"/>
      <c r="B1097" s="81" t="s">
        <v>2803</v>
      </c>
      <c r="C1097" s="84">
        <v>47</v>
      </c>
      <c r="D1097" s="84">
        <v>6</v>
      </c>
      <c r="E1097" s="84">
        <v>0</v>
      </c>
      <c r="F1097" s="84" t="s">
        <v>2812</v>
      </c>
      <c r="G1097" s="84">
        <v>36</v>
      </c>
      <c r="H1097" s="84" t="s">
        <v>2812</v>
      </c>
      <c r="I1097" s="84">
        <v>3</v>
      </c>
      <c r="J1097" s="84">
        <v>1</v>
      </c>
    </row>
    <row r="1098" spans="1:10" ht="12.75" customHeight="1">
      <c r="A1098" s="83"/>
      <c r="B1098" s="81" t="s">
        <v>2804</v>
      </c>
      <c r="C1098" s="84" t="s">
        <v>2805</v>
      </c>
      <c r="D1098" s="84" t="s">
        <v>2812</v>
      </c>
      <c r="E1098" s="84">
        <v>0</v>
      </c>
      <c r="F1098" s="84">
        <v>0</v>
      </c>
      <c r="G1098" s="84" t="s">
        <v>2812</v>
      </c>
      <c r="H1098" s="84" t="s">
        <v>2812</v>
      </c>
      <c r="I1098" s="84">
        <v>0</v>
      </c>
      <c r="J1098" s="84" t="s">
        <v>2805</v>
      </c>
    </row>
    <row r="1099" spans="1:10" ht="12.75" customHeight="1">
      <c r="A1099" s="83"/>
      <c r="B1099" s="83" t="s">
        <v>2806</v>
      </c>
      <c r="C1099" s="84" t="s">
        <v>2805</v>
      </c>
      <c r="D1099" s="84" t="s">
        <v>2812</v>
      </c>
      <c r="E1099" s="84">
        <v>0</v>
      </c>
      <c r="F1099" s="84">
        <v>0</v>
      </c>
      <c r="G1099" s="84" t="s">
        <v>2812</v>
      </c>
      <c r="H1099" s="84" t="s">
        <v>2812</v>
      </c>
      <c r="I1099" s="84">
        <v>0</v>
      </c>
      <c r="J1099" s="84" t="s">
        <v>2805</v>
      </c>
    </row>
    <row r="1100" spans="1:10" ht="12.75" customHeight="1">
      <c r="A1100" s="83"/>
      <c r="B1100" s="83" t="s">
        <v>2807</v>
      </c>
      <c r="C1100" s="84" t="s">
        <v>2805</v>
      </c>
      <c r="D1100" s="84">
        <v>0</v>
      </c>
      <c r="E1100" s="84">
        <v>0</v>
      </c>
      <c r="F1100" s="84">
        <v>0</v>
      </c>
      <c r="G1100" s="84" t="s">
        <v>2812</v>
      </c>
      <c r="H1100" s="84">
        <v>0</v>
      </c>
      <c r="I1100" s="84">
        <v>0</v>
      </c>
      <c r="J1100" s="84" t="s">
        <v>2805</v>
      </c>
    </row>
    <row r="1101" spans="1:10" ht="12.75" customHeight="1">
      <c r="A1101" s="83"/>
      <c r="B1101" s="81" t="s">
        <v>2808</v>
      </c>
      <c r="C1101" s="84" t="s">
        <v>2805</v>
      </c>
      <c r="D1101" s="84">
        <v>5</v>
      </c>
      <c r="E1101" s="84">
        <v>0</v>
      </c>
      <c r="F1101" s="84" t="s">
        <v>2812</v>
      </c>
      <c r="G1101" s="84">
        <v>35</v>
      </c>
      <c r="H1101" s="84" t="s">
        <v>2812</v>
      </c>
      <c r="I1101" s="84">
        <v>3</v>
      </c>
      <c r="J1101" s="84" t="s">
        <v>2805</v>
      </c>
    </row>
    <row r="1102" spans="1:10" ht="12.75" customHeight="1">
      <c r="A1102" s="83"/>
      <c r="B1102" s="83" t="s">
        <v>2810</v>
      </c>
      <c r="C1102" s="84" t="s">
        <v>2805</v>
      </c>
      <c r="D1102" s="84">
        <v>1</v>
      </c>
      <c r="E1102" s="84">
        <v>0</v>
      </c>
      <c r="F1102" s="84" t="s">
        <v>2812</v>
      </c>
      <c r="G1102" s="84">
        <v>34</v>
      </c>
      <c r="H1102" s="84" t="s">
        <v>2812</v>
      </c>
      <c r="I1102" s="84">
        <v>2</v>
      </c>
      <c r="J1102" s="84" t="s">
        <v>2805</v>
      </c>
    </row>
    <row r="1103" spans="1:10" ht="12.75" customHeight="1">
      <c r="A1103" s="83"/>
      <c r="B1103" s="83" t="s">
        <v>2811</v>
      </c>
      <c r="C1103" s="84" t="s">
        <v>2805</v>
      </c>
      <c r="D1103" s="84" t="s">
        <v>2812</v>
      </c>
      <c r="E1103" s="84">
        <v>0</v>
      </c>
      <c r="F1103" s="84">
        <v>0</v>
      </c>
      <c r="G1103" s="84">
        <v>0</v>
      </c>
      <c r="H1103" s="84">
        <v>0</v>
      </c>
      <c r="I1103" s="84">
        <v>0</v>
      </c>
      <c r="J1103" s="84" t="s">
        <v>2805</v>
      </c>
    </row>
    <row r="1104" spans="1:10" ht="12.75" customHeight="1">
      <c r="A1104" s="83"/>
      <c r="B1104" s="83" t="s">
        <v>2813</v>
      </c>
      <c r="C1104" s="84" t="s">
        <v>2805</v>
      </c>
      <c r="D1104" s="84">
        <v>4</v>
      </c>
      <c r="E1104" s="84">
        <v>0</v>
      </c>
      <c r="F1104" s="84" t="s">
        <v>2812</v>
      </c>
      <c r="G1104" s="84" t="s">
        <v>2812</v>
      </c>
      <c r="H1104" s="84" t="s">
        <v>2812</v>
      </c>
      <c r="I1104" s="84">
        <v>0</v>
      </c>
      <c r="J1104" s="84" t="s">
        <v>2805</v>
      </c>
    </row>
    <row r="1105" spans="1:10" ht="12.75" customHeight="1">
      <c r="A1105" s="83"/>
      <c r="B1105" s="83" t="s">
        <v>2814</v>
      </c>
      <c r="C1105" s="84" t="s">
        <v>2805</v>
      </c>
      <c r="D1105" s="84">
        <v>0</v>
      </c>
      <c r="E1105" s="84" t="s">
        <v>2805</v>
      </c>
      <c r="F1105" s="84" t="s">
        <v>2805</v>
      </c>
      <c r="G1105" s="84" t="s">
        <v>2805</v>
      </c>
      <c r="H1105" s="84" t="s">
        <v>2805</v>
      </c>
      <c r="I1105" s="84" t="s">
        <v>2805</v>
      </c>
      <c r="J1105" s="84" t="s">
        <v>2805</v>
      </c>
    </row>
    <row r="1106" spans="1:10" ht="12.75" customHeight="1">
      <c r="A1106" s="83"/>
      <c r="B1106" s="83" t="s">
        <v>2815</v>
      </c>
      <c r="C1106" s="84" t="s">
        <v>2805</v>
      </c>
      <c r="D1106" s="84" t="s">
        <v>2812</v>
      </c>
      <c r="E1106" s="84">
        <v>0</v>
      </c>
      <c r="F1106" s="84" t="s">
        <v>2812</v>
      </c>
      <c r="G1106" s="84" t="s">
        <v>2812</v>
      </c>
      <c r="H1106" s="84" t="s">
        <v>2812</v>
      </c>
      <c r="I1106" s="84">
        <v>1</v>
      </c>
      <c r="J1106" s="84" t="s">
        <v>2805</v>
      </c>
    </row>
    <row r="1107" spans="1:10" ht="12.75" customHeight="1">
      <c r="A1107" s="83"/>
      <c r="B1107" s="81" t="s">
        <v>2816</v>
      </c>
      <c r="C1107" s="84" t="s">
        <v>2805</v>
      </c>
      <c r="D1107" s="84">
        <v>1</v>
      </c>
      <c r="E1107" s="84">
        <v>0</v>
      </c>
      <c r="F1107" s="84" t="s">
        <v>2812</v>
      </c>
      <c r="G1107" s="84">
        <v>1</v>
      </c>
      <c r="H1107" s="84" t="s">
        <v>2812</v>
      </c>
      <c r="I1107" s="84">
        <v>0</v>
      </c>
      <c r="J1107" s="84" t="s">
        <v>2805</v>
      </c>
    </row>
    <row r="1108" spans="1:10" ht="12.75" customHeight="1">
      <c r="A1108" s="83"/>
      <c r="B1108" s="83" t="s">
        <v>2817</v>
      </c>
      <c r="C1108" s="84" t="s">
        <v>2805</v>
      </c>
      <c r="D1108" s="84" t="s">
        <v>2812</v>
      </c>
      <c r="E1108" s="84">
        <v>0</v>
      </c>
      <c r="F1108" s="84" t="s">
        <v>2812</v>
      </c>
      <c r="G1108" s="84">
        <v>1</v>
      </c>
      <c r="H1108" s="84" t="s">
        <v>2812</v>
      </c>
      <c r="I1108" s="84">
        <v>0</v>
      </c>
      <c r="J1108" s="84" t="s">
        <v>2805</v>
      </c>
    </row>
    <row r="1109" spans="1:10" ht="12.75" customHeight="1">
      <c r="A1109" s="83"/>
      <c r="B1109" s="83" t="s">
        <v>2818</v>
      </c>
      <c r="C1109" s="84" t="s">
        <v>2805</v>
      </c>
      <c r="D1109" s="84" t="s">
        <v>2812</v>
      </c>
      <c r="E1109" s="84" t="s">
        <v>2805</v>
      </c>
      <c r="F1109" s="84" t="s">
        <v>2805</v>
      </c>
      <c r="G1109" s="84" t="s">
        <v>2805</v>
      </c>
      <c r="H1109" s="84" t="s">
        <v>2805</v>
      </c>
      <c r="I1109" s="84" t="s">
        <v>2805</v>
      </c>
      <c r="J1109" s="84" t="s">
        <v>2805</v>
      </c>
    </row>
    <row r="1110" spans="1:10" ht="12.75" customHeight="1">
      <c r="A1110" s="83"/>
      <c r="B1110" s="83" t="s">
        <v>2819</v>
      </c>
      <c r="C1110" s="84" t="s">
        <v>2805</v>
      </c>
      <c r="D1110" s="84" t="s">
        <v>2812</v>
      </c>
      <c r="E1110" s="84">
        <v>0</v>
      </c>
      <c r="F1110" s="84" t="s">
        <v>2812</v>
      </c>
      <c r="G1110" s="84" t="s">
        <v>2812</v>
      </c>
      <c r="H1110" s="84">
        <v>0</v>
      </c>
      <c r="I1110" s="84">
        <v>0</v>
      </c>
      <c r="J1110" s="84" t="s">
        <v>2805</v>
      </c>
    </row>
    <row r="1111" spans="1:10" ht="12.75" customHeight="1">
      <c r="A1111" s="83"/>
      <c r="B1111" s="83" t="s">
        <v>2820</v>
      </c>
      <c r="C1111" s="84" t="s">
        <v>2805</v>
      </c>
      <c r="D1111" s="84" t="s">
        <v>2812</v>
      </c>
      <c r="E1111" s="84" t="s">
        <v>2805</v>
      </c>
      <c r="F1111" s="84" t="s">
        <v>2812</v>
      </c>
      <c r="G1111" s="84" t="s">
        <v>2812</v>
      </c>
      <c r="H1111" s="84" t="s">
        <v>2812</v>
      </c>
      <c r="I1111" s="84" t="s">
        <v>2805</v>
      </c>
      <c r="J1111" s="84" t="s">
        <v>2805</v>
      </c>
    </row>
    <row r="1112" spans="1:10" ht="12.75" customHeight="1">
      <c r="A1112" s="83"/>
      <c r="B1112" s="83" t="s">
        <v>2821</v>
      </c>
      <c r="C1112" s="84" t="s">
        <v>2805</v>
      </c>
      <c r="D1112" s="84" t="s">
        <v>2805</v>
      </c>
      <c r="E1112" s="84">
        <v>0</v>
      </c>
      <c r="F1112" s="84" t="s">
        <v>2812</v>
      </c>
      <c r="G1112" s="84">
        <v>0</v>
      </c>
      <c r="H1112" s="84">
        <v>0</v>
      </c>
      <c r="I1112" s="84">
        <v>0</v>
      </c>
      <c r="J1112" s="84" t="s">
        <v>2805</v>
      </c>
    </row>
    <row r="1113" spans="1:10" ht="12.75" customHeight="1">
      <c r="A1113" s="83"/>
      <c r="B1113" s="83" t="s">
        <v>2822</v>
      </c>
      <c r="C1113" s="84" t="s">
        <v>2805</v>
      </c>
      <c r="D1113" s="84" t="s">
        <v>2812</v>
      </c>
      <c r="E1113" s="84">
        <v>0</v>
      </c>
      <c r="F1113" s="84" t="s">
        <v>2812</v>
      </c>
      <c r="G1113" s="84">
        <v>0</v>
      </c>
      <c r="H1113" s="84" t="s">
        <v>2812</v>
      </c>
      <c r="I1113" s="84">
        <v>0</v>
      </c>
      <c r="J1113" s="84" t="s">
        <v>2805</v>
      </c>
    </row>
    <row r="1114" spans="1:10" ht="12.75" customHeight="1">
      <c r="A1114" s="83"/>
      <c r="B1114" s="81" t="s">
        <v>2823</v>
      </c>
      <c r="C1114" s="84">
        <v>1</v>
      </c>
      <c r="D1114" s="84" t="s">
        <v>2812</v>
      </c>
      <c r="E1114" s="84">
        <v>0</v>
      </c>
      <c r="F1114" s="84">
        <v>0</v>
      </c>
      <c r="G1114" s="84">
        <v>0</v>
      </c>
      <c r="H1114" s="84" t="s">
        <v>2812</v>
      </c>
      <c r="I1114" s="84">
        <v>0</v>
      </c>
      <c r="J1114" s="84">
        <v>1</v>
      </c>
    </row>
    <row r="1115" spans="1:10" ht="12.75" customHeight="1">
      <c r="A1115" s="83"/>
      <c r="B1115" s="81"/>
      <c r="C1115" s="84"/>
      <c r="D1115" s="84"/>
      <c r="E1115" s="84"/>
      <c r="F1115" s="84"/>
      <c r="G1115" s="84"/>
      <c r="H1115" s="84"/>
      <c r="I1115" s="84"/>
      <c r="J1115" s="84"/>
    </row>
    <row r="1116" spans="1:10" s="71" customFormat="1" ht="12.75" customHeight="1">
      <c r="A1116" s="81" t="s">
        <v>2923</v>
      </c>
      <c r="B1116" s="81" t="s">
        <v>2924</v>
      </c>
      <c r="C1116" s="86"/>
      <c r="D1116" s="86"/>
      <c r="E1116" s="86"/>
      <c r="F1116" s="86"/>
      <c r="G1116" s="86"/>
      <c r="H1116" s="86"/>
      <c r="I1116" s="86"/>
      <c r="J1116" s="86"/>
    </row>
    <row r="1117" spans="1:10" s="71" customFormat="1" ht="12.75" customHeight="1">
      <c r="A1117" s="81"/>
      <c r="B1117" s="81"/>
      <c r="C1117" s="86"/>
      <c r="D1117" s="86"/>
      <c r="E1117" s="86"/>
      <c r="F1117" s="86"/>
      <c r="G1117" s="86"/>
      <c r="H1117" s="86"/>
      <c r="I1117" s="86"/>
      <c r="J1117" s="86"/>
    </row>
    <row r="1118" spans="1:10" s="71" customFormat="1" ht="12.75" customHeight="1">
      <c r="A1118" s="81"/>
      <c r="B1118" s="81"/>
      <c r="C1118" s="86"/>
      <c r="D1118" s="86"/>
      <c r="E1118" s="86"/>
      <c r="F1118" s="86"/>
      <c r="G1118" s="86"/>
      <c r="H1118" s="86"/>
      <c r="I1118" s="86"/>
      <c r="J1118" s="86"/>
    </row>
    <row r="1119" spans="1:10" ht="12.75" customHeight="1">
      <c r="A1119" s="83"/>
      <c r="B1119" s="81" t="s">
        <v>2803</v>
      </c>
      <c r="C1119" s="84">
        <v>47</v>
      </c>
      <c r="D1119" s="84">
        <v>5</v>
      </c>
      <c r="E1119" s="84">
        <v>0</v>
      </c>
      <c r="F1119" s="84" t="s">
        <v>2812</v>
      </c>
      <c r="G1119" s="84">
        <v>41</v>
      </c>
      <c r="H1119" s="84" t="s">
        <v>2812</v>
      </c>
      <c r="I1119" s="84">
        <v>0</v>
      </c>
      <c r="J1119" s="84">
        <v>1</v>
      </c>
    </row>
    <row r="1120" spans="1:10" ht="12.75" customHeight="1">
      <c r="A1120" s="83"/>
      <c r="B1120" s="81" t="s">
        <v>2804</v>
      </c>
      <c r="C1120" s="84" t="s">
        <v>2805</v>
      </c>
      <c r="D1120" s="84" t="s">
        <v>2812</v>
      </c>
      <c r="E1120" s="84">
        <v>0</v>
      </c>
      <c r="F1120" s="84">
        <v>0</v>
      </c>
      <c r="G1120" s="84" t="s">
        <v>2812</v>
      </c>
      <c r="H1120" s="84">
        <v>0</v>
      </c>
      <c r="I1120" s="84">
        <v>0</v>
      </c>
      <c r="J1120" s="84" t="s">
        <v>2805</v>
      </c>
    </row>
    <row r="1121" spans="1:10" ht="12.75" customHeight="1">
      <c r="A1121" s="83"/>
      <c r="B1121" s="83" t="s">
        <v>2806</v>
      </c>
      <c r="C1121" s="84" t="s">
        <v>2805</v>
      </c>
      <c r="D1121" s="84" t="s">
        <v>2812</v>
      </c>
      <c r="E1121" s="84">
        <v>0</v>
      </c>
      <c r="F1121" s="84">
        <v>0</v>
      </c>
      <c r="G1121" s="84" t="s">
        <v>2812</v>
      </c>
      <c r="H1121" s="84">
        <v>0</v>
      </c>
      <c r="I1121" s="84">
        <v>0</v>
      </c>
      <c r="J1121" s="84" t="s">
        <v>2805</v>
      </c>
    </row>
    <row r="1122" spans="1:10" ht="12.75" customHeight="1">
      <c r="A1122" s="83"/>
      <c r="B1122" s="83" t="s">
        <v>2807</v>
      </c>
      <c r="C1122" s="84" t="s">
        <v>2805</v>
      </c>
      <c r="D1122" s="84">
        <v>0</v>
      </c>
      <c r="E1122" s="84">
        <v>0</v>
      </c>
      <c r="F1122" s="84">
        <v>0</v>
      </c>
      <c r="G1122" s="84" t="s">
        <v>2812</v>
      </c>
      <c r="H1122" s="84">
        <v>0</v>
      </c>
      <c r="I1122" s="84">
        <v>0</v>
      </c>
      <c r="J1122" s="84" t="s">
        <v>2805</v>
      </c>
    </row>
    <row r="1123" spans="1:10" ht="12.75" customHeight="1">
      <c r="A1123" s="83"/>
      <c r="B1123" s="81" t="s">
        <v>2808</v>
      </c>
      <c r="C1123" s="84" t="s">
        <v>2805</v>
      </c>
      <c r="D1123" s="84">
        <v>4</v>
      </c>
      <c r="E1123" s="84">
        <v>0</v>
      </c>
      <c r="F1123" s="84" t="s">
        <v>2812</v>
      </c>
      <c r="G1123" s="84">
        <v>39</v>
      </c>
      <c r="H1123" s="84" t="s">
        <v>2812</v>
      </c>
      <c r="I1123" s="84">
        <v>0</v>
      </c>
      <c r="J1123" s="84" t="s">
        <v>2805</v>
      </c>
    </row>
    <row r="1124" spans="1:10" ht="12.75" customHeight="1">
      <c r="A1124" s="83"/>
      <c r="B1124" s="83" t="s">
        <v>2810</v>
      </c>
      <c r="C1124" s="84" t="s">
        <v>2805</v>
      </c>
      <c r="D1124" s="84">
        <v>2</v>
      </c>
      <c r="E1124" s="84">
        <v>0</v>
      </c>
      <c r="F1124" s="84">
        <v>0</v>
      </c>
      <c r="G1124" s="84">
        <v>39</v>
      </c>
      <c r="H1124" s="84" t="s">
        <v>2812</v>
      </c>
      <c r="I1124" s="84">
        <v>0</v>
      </c>
      <c r="J1124" s="84" t="s">
        <v>2805</v>
      </c>
    </row>
    <row r="1125" spans="1:10" ht="12.75" customHeight="1">
      <c r="A1125" s="83"/>
      <c r="B1125" s="83" t="s">
        <v>2811</v>
      </c>
      <c r="C1125" s="84" t="s">
        <v>2805</v>
      </c>
      <c r="D1125" s="84">
        <v>1</v>
      </c>
      <c r="E1125" s="84">
        <v>0</v>
      </c>
      <c r="F1125" s="84">
        <v>0</v>
      </c>
      <c r="G1125" s="84">
        <v>0</v>
      </c>
      <c r="H1125" s="84">
        <v>0</v>
      </c>
      <c r="I1125" s="84">
        <v>0</v>
      </c>
      <c r="J1125" s="84" t="s">
        <v>2805</v>
      </c>
    </row>
    <row r="1126" spans="1:10" ht="12.75" customHeight="1">
      <c r="A1126" s="83"/>
      <c r="B1126" s="83" t="s">
        <v>2813</v>
      </c>
      <c r="C1126" s="84" t="s">
        <v>2805</v>
      </c>
      <c r="D1126" s="84">
        <v>1</v>
      </c>
      <c r="E1126" s="84">
        <v>0</v>
      </c>
      <c r="F1126" s="84" t="s">
        <v>2812</v>
      </c>
      <c r="G1126" s="84" t="s">
        <v>2812</v>
      </c>
      <c r="H1126" s="84" t="s">
        <v>2812</v>
      </c>
      <c r="I1126" s="84">
        <v>0</v>
      </c>
      <c r="J1126" s="84" t="s">
        <v>2805</v>
      </c>
    </row>
    <row r="1127" spans="1:10" ht="12.75" customHeight="1">
      <c r="A1127" s="83"/>
      <c r="B1127" s="83" t="s">
        <v>2814</v>
      </c>
      <c r="C1127" s="84" t="s">
        <v>2805</v>
      </c>
      <c r="D1127" s="84" t="s">
        <v>2812</v>
      </c>
      <c r="E1127" s="84" t="s">
        <v>2805</v>
      </c>
      <c r="F1127" s="84" t="s">
        <v>2805</v>
      </c>
      <c r="G1127" s="84" t="s">
        <v>2805</v>
      </c>
      <c r="H1127" s="84" t="s">
        <v>2805</v>
      </c>
      <c r="I1127" s="84" t="s">
        <v>2805</v>
      </c>
      <c r="J1127" s="84" t="s">
        <v>2805</v>
      </c>
    </row>
    <row r="1128" spans="1:10" ht="12.75" customHeight="1">
      <c r="A1128" s="83"/>
      <c r="B1128" s="83" t="s">
        <v>2815</v>
      </c>
      <c r="C1128" s="84" t="s">
        <v>2805</v>
      </c>
      <c r="D1128" s="84" t="s">
        <v>2812</v>
      </c>
      <c r="E1128" s="84">
        <v>0</v>
      </c>
      <c r="F1128" s="84" t="s">
        <v>2812</v>
      </c>
      <c r="G1128" s="84" t="s">
        <v>2812</v>
      </c>
      <c r="H1128" s="84">
        <v>0</v>
      </c>
      <c r="I1128" s="84">
        <v>0</v>
      </c>
      <c r="J1128" s="84" t="s">
        <v>2805</v>
      </c>
    </row>
    <row r="1129" spans="1:10" ht="12.75" customHeight="1">
      <c r="A1129" s="83"/>
      <c r="B1129" s="81" t="s">
        <v>2816</v>
      </c>
      <c r="C1129" s="84" t="s">
        <v>2805</v>
      </c>
      <c r="D1129" s="84">
        <v>1</v>
      </c>
      <c r="E1129" s="84">
        <v>0</v>
      </c>
      <c r="F1129" s="84" t="s">
        <v>2812</v>
      </c>
      <c r="G1129" s="84">
        <v>2</v>
      </c>
      <c r="H1129" s="84" t="s">
        <v>2812</v>
      </c>
      <c r="I1129" s="84">
        <v>0</v>
      </c>
      <c r="J1129" s="84" t="s">
        <v>2805</v>
      </c>
    </row>
    <row r="1130" spans="1:10" ht="12.75" customHeight="1">
      <c r="A1130" s="83"/>
      <c r="B1130" s="83" t="s">
        <v>2817</v>
      </c>
      <c r="C1130" s="84" t="s">
        <v>2805</v>
      </c>
      <c r="D1130" s="84" t="s">
        <v>2812</v>
      </c>
      <c r="E1130" s="84">
        <v>0</v>
      </c>
      <c r="F1130" s="84">
        <v>0</v>
      </c>
      <c r="G1130" s="84">
        <v>1</v>
      </c>
      <c r="H1130" s="84">
        <v>0</v>
      </c>
      <c r="I1130" s="84">
        <v>0</v>
      </c>
      <c r="J1130" s="84" t="s">
        <v>2805</v>
      </c>
    </row>
    <row r="1131" spans="1:10" ht="12.75" customHeight="1">
      <c r="A1131" s="83"/>
      <c r="B1131" s="83" t="s">
        <v>2818</v>
      </c>
      <c r="C1131" s="84" t="s">
        <v>2805</v>
      </c>
      <c r="D1131" s="84" t="s">
        <v>2812</v>
      </c>
      <c r="E1131" s="84" t="s">
        <v>2805</v>
      </c>
      <c r="F1131" s="84" t="s">
        <v>2805</v>
      </c>
      <c r="G1131" s="84" t="s">
        <v>2805</v>
      </c>
      <c r="H1131" s="84" t="s">
        <v>2805</v>
      </c>
      <c r="I1131" s="84" t="s">
        <v>2805</v>
      </c>
      <c r="J1131" s="84" t="s">
        <v>2805</v>
      </c>
    </row>
    <row r="1132" spans="1:10" ht="12.75" customHeight="1">
      <c r="A1132" s="83"/>
      <c r="B1132" s="83" t="s">
        <v>2819</v>
      </c>
      <c r="C1132" s="84" t="s">
        <v>2805</v>
      </c>
      <c r="D1132" s="84" t="s">
        <v>2812</v>
      </c>
      <c r="E1132" s="84">
        <v>0</v>
      </c>
      <c r="F1132" s="84">
        <v>0</v>
      </c>
      <c r="G1132" s="84" t="s">
        <v>2812</v>
      </c>
      <c r="H1132" s="84">
        <v>0</v>
      </c>
      <c r="I1132" s="84">
        <v>0</v>
      </c>
      <c r="J1132" s="84" t="s">
        <v>2805</v>
      </c>
    </row>
    <row r="1133" spans="1:10" ht="12.75" customHeight="1">
      <c r="A1133" s="83"/>
      <c r="B1133" s="83" t="s">
        <v>2820</v>
      </c>
      <c r="C1133" s="84" t="s">
        <v>2805</v>
      </c>
      <c r="D1133" s="84" t="s">
        <v>2812</v>
      </c>
      <c r="E1133" s="84" t="s">
        <v>2805</v>
      </c>
      <c r="F1133" s="84" t="s">
        <v>2812</v>
      </c>
      <c r="G1133" s="84">
        <v>0</v>
      </c>
      <c r="H1133" s="84" t="s">
        <v>2812</v>
      </c>
      <c r="I1133" s="84" t="s">
        <v>2805</v>
      </c>
      <c r="J1133" s="84" t="s">
        <v>2805</v>
      </c>
    </row>
    <row r="1134" spans="1:10" ht="12.75" customHeight="1">
      <c r="A1134" s="83"/>
      <c r="B1134" s="83" t="s">
        <v>2821</v>
      </c>
      <c r="C1134" s="84" t="s">
        <v>2805</v>
      </c>
      <c r="D1134" s="84" t="s">
        <v>2805</v>
      </c>
      <c r="E1134" s="84">
        <v>0</v>
      </c>
      <c r="F1134" s="84" t="s">
        <v>2812</v>
      </c>
      <c r="G1134" s="84">
        <v>0</v>
      </c>
      <c r="H1134" s="84">
        <v>0</v>
      </c>
      <c r="I1134" s="84">
        <v>0</v>
      </c>
      <c r="J1134" s="84" t="s">
        <v>2805</v>
      </c>
    </row>
    <row r="1135" spans="1:10" ht="12.75" customHeight="1">
      <c r="A1135" s="83"/>
      <c r="B1135" s="83" t="s">
        <v>2822</v>
      </c>
      <c r="C1135" s="84" t="s">
        <v>2805</v>
      </c>
      <c r="D1135" s="84" t="s">
        <v>2812</v>
      </c>
      <c r="E1135" s="84">
        <v>0</v>
      </c>
      <c r="F1135" s="84" t="s">
        <v>2812</v>
      </c>
      <c r="G1135" s="84" t="s">
        <v>2812</v>
      </c>
      <c r="H1135" s="84">
        <v>0</v>
      </c>
      <c r="I1135" s="84">
        <v>0</v>
      </c>
      <c r="J1135" s="84" t="s">
        <v>2805</v>
      </c>
    </row>
    <row r="1136" spans="1:10" ht="12.75" customHeight="1">
      <c r="A1136" s="83"/>
      <c r="B1136" s="81" t="s">
        <v>2823</v>
      </c>
      <c r="C1136" s="84">
        <v>1</v>
      </c>
      <c r="D1136" s="84" t="s">
        <v>2812</v>
      </c>
      <c r="E1136" s="84">
        <v>0</v>
      </c>
      <c r="F1136" s="84">
        <v>0</v>
      </c>
      <c r="G1136" s="84">
        <v>0</v>
      </c>
      <c r="H1136" s="84" t="s">
        <v>2812</v>
      </c>
      <c r="I1136" s="84">
        <v>0</v>
      </c>
      <c r="J1136" s="84">
        <v>1</v>
      </c>
    </row>
    <row r="1137" spans="1:10" ht="12.75" customHeight="1">
      <c r="A1137" s="83"/>
      <c r="B1137" s="81"/>
      <c r="C1137" s="84"/>
      <c r="D1137" s="84"/>
      <c r="E1137" s="84"/>
      <c r="F1137" s="84"/>
      <c r="G1137" s="84"/>
      <c r="H1137" s="84"/>
      <c r="I1137" s="84"/>
      <c r="J1137" s="84"/>
    </row>
    <row r="1138" spans="1:10" s="71" customFormat="1" ht="12.75" customHeight="1">
      <c r="A1138" s="81" t="s">
        <v>2925</v>
      </c>
      <c r="B1138" s="81" t="s">
        <v>2926</v>
      </c>
      <c r="C1138" s="86"/>
      <c r="D1138" s="86"/>
      <c r="E1138" s="86"/>
      <c r="F1138" s="86"/>
      <c r="G1138" s="86"/>
      <c r="H1138" s="86"/>
      <c r="I1138" s="86"/>
      <c r="J1138" s="86"/>
    </row>
    <row r="1139" spans="1:10" s="71" customFormat="1" ht="12.75" customHeight="1">
      <c r="A1139" s="81"/>
      <c r="B1139" s="81"/>
      <c r="C1139" s="86"/>
      <c r="D1139" s="86"/>
      <c r="E1139" s="86"/>
      <c r="F1139" s="86"/>
      <c r="G1139" s="86"/>
      <c r="H1139" s="86"/>
      <c r="I1139" s="86"/>
      <c r="J1139" s="86"/>
    </row>
    <row r="1140" spans="1:10" s="71" customFormat="1" ht="12.75" customHeight="1">
      <c r="A1140" s="81"/>
      <c r="B1140" s="81"/>
      <c r="C1140" s="86"/>
      <c r="D1140" s="86"/>
      <c r="E1140" s="86"/>
      <c r="F1140" s="86"/>
      <c r="G1140" s="86"/>
      <c r="H1140" s="86"/>
      <c r="I1140" s="86"/>
      <c r="J1140" s="86"/>
    </row>
    <row r="1141" spans="1:10" ht="12.75" customHeight="1">
      <c r="A1141" s="83"/>
      <c r="B1141" s="81" t="s">
        <v>2803</v>
      </c>
      <c r="C1141" s="84">
        <v>31</v>
      </c>
      <c r="D1141" s="84">
        <v>7</v>
      </c>
      <c r="E1141" s="84">
        <v>0</v>
      </c>
      <c r="F1141" s="84" t="s">
        <v>2812</v>
      </c>
      <c r="G1141" s="84">
        <v>22</v>
      </c>
      <c r="H1141" s="84" t="s">
        <v>2812</v>
      </c>
      <c r="I1141" s="84">
        <v>0</v>
      </c>
      <c r="J1141" s="84">
        <v>1</v>
      </c>
    </row>
    <row r="1142" spans="1:10" ht="12.75" customHeight="1">
      <c r="A1142" s="83"/>
      <c r="B1142" s="81" t="s">
        <v>2804</v>
      </c>
      <c r="C1142" s="84" t="s">
        <v>2805</v>
      </c>
      <c r="D1142" s="84" t="s">
        <v>2812</v>
      </c>
      <c r="E1142" s="84">
        <v>0</v>
      </c>
      <c r="F1142" s="84" t="s">
        <v>2812</v>
      </c>
      <c r="G1142" s="84">
        <v>1</v>
      </c>
      <c r="H1142" s="84" t="s">
        <v>2812</v>
      </c>
      <c r="I1142" s="84">
        <v>0</v>
      </c>
      <c r="J1142" s="84" t="s">
        <v>2805</v>
      </c>
    </row>
    <row r="1143" spans="1:10" ht="12.75" customHeight="1">
      <c r="A1143" s="83"/>
      <c r="B1143" s="83" t="s">
        <v>2806</v>
      </c>
      <c r="C1143" s="84" t="s">
        <v>2805</v>
      </c>
      <c r="D1143" s="84" t="s">
        <v>2812</v>
      </c>
      <c r="E1143" s="84">
        <v>0</v>
      </c>
      <c r="F1143" s="84" t="s">
        <v>2812</v>
      </c>
      <c r="G1143" s="84" t="s">
        <v>2812</v>
      </c>
      <c r="H1143" s="84">
        <v>0</v>
      </c>
      <c r="I1143" s="84">
        <v>0</v>
      </c>
      <c r="J1143" s="84" t="s">
        <v>2805</v>
      </c>
    </row>
    <row r="1144" spans="1:10" ht="12.75" customHeight="1">
      <c r="A1144" s="83"/>
      <c r="B1144" s="83" t="s">
        <v>2807</v>
      </c>
      <c r="C1144" s="84" t="s">
        <v>2805</v>
      </c>
      <c r="D1144" s="84">
        <v>0</v>
      </c>
      <c r="E1144" s="84">
        <v>0</v>
      </c>
      <c r="F1144" s="84">
        <v>0</v>
      </c>
      <c r="G1144" s="84" t="s">
        <v>2812</v>
      </c>
      <c r="H1144" s="84" t="s">
        <v>2812</v>
      </c>
      <c r="I1144" s="84">
        <v>0</v>
      </c>
      <c r="J1144" s="84" t="s">
        <v>2805</v>
      </c>
    </row>
    <row r="1145" spans="1:10" ht="12.75" customHeight="1">
      <c r="A1145" s="83"/>
      <c r="B1145" s="81" t="s">
        <v>2808</v>
      </c>
      <c r="C1145" s="84" t="s">
        <v>2805</v>
      </c>
      <c r="D1145" s="84">
        <v>6</v>
      </c>
      <c r="E1145" s="84">
        <v>0</v>
      </c>
      <c r="F1145" s="84" t="s">
        <v>2812</v>
      </c>
      <c r="G1145" s="84">
        <v>21</v>
      </c>
      <c r="H1145" s="84" t="s">
        <v>2812</v>
      </c>
      <c r="I1145" s="84">
        <v>0</v>
      </c>
      <c r="J1145" s="84" t="s">
        <v>2805</v>
      </c>
    </row>
    <row r="1146" spans="1:10" ht="12.75" customHeight="1">
      <c r="A1146" s="83"/>
      <c r="B1146" s="83" t="s">
        <v>2810</v>
      </c>
      <c r="C1146" s="84" t="s">
        <v>2805</v>
      </c>
      <c r="D1146" s="84">
        <v>3</v>
      </c>
      <c r="E1146" s="84">
        <v>0</v>
      </c>
      <c r="F1146" s="84" t="s">
        <v>2812</v>
      </c>
      <c r="G1146" s="84">
        <v>20</v>
      </c>
      <c r="H1146" s="84" t="s">
        <v>2812</v>
      </c>
      <c r="I1146" s="84">
        <v>0</v>
      </c>
      <c r="J1146" s="84" t="s">
        <v>2805</v>
      </c>
    </row>
    <row r="1147" spans="1:10" ht="12.75" customHeight="1">
      <c r="A1147" s="83"/>
      <c r="B1147" s="83" t="s">
        <v>2811</v>
      </c>
      <c r="C1147" s="84" t="s">
        <v>2805</v>
      </c>
      <c r="D1147" s="84">
        <v>1</v>
      </c>
      <c r="E1147" s="84">
        <v>0</v>
      </c>
      <c r="F1147" s="84">
        <v>0</v>
      </c>
      <c r="G1147" s="84" t="s">
        <v>2812</v>
      </c>
      <c r="H1147" s="84">
        <v>0</v>
      </c>
      <c r="I1147" s="84">
        <v>0</v>
      </c>
      <c r="J1147" s="84" t="s">
        <v>2805</v>
      </c>
    </row>
    <row r="1148" spans="1:10" ht="12.75" customHeight="1">
      <c r="A1148" s="83"/>
      <c r="B1148" s="83" t="s">
        <v>2813</v>
      </c>
      <c r="C1148" s="84" t="s">
        <v>2805</v>
      </c>
      <c r="D1148" s="84">
        <v>2</v>
      </c>
      <c r="E1148" s="84">
        <v>0</v>
      </c>
      <c r="F1148" s="84" t="s">
        <v>2812</v>
      </c>
      <c r="G1148" s="84">
        <v>1</v>
      </c>
      <c r="H1148" s="84" t="s">
        <v>2812</v>
      </c>
      <c r="I1148" s="84">
        <v>0</v>
      </c>
      <c r="J1148" s="84" t="s">
        <v>2805</v>
      </c>
    </row>
    <row r="1149" spans="1:10" ht="12.75" customHeight="1">
      <c r="A1149" s="83"/>
      <c r="B1149" s="83" t="s">
        <v>2814</v>
      </c>
      <c r="C1149" s="84" t="s">
        <v>2805</v>
      </c>
      <c r="D1149" s="84" t="s">
        <v>2812</v>
      </c>
      <c r="E1149" s="84" t="s">
        <v>2805</v>
      </c>
      <c r="F1149" s="84" t="s">
        <v>2805</v>
      </c>
      <c r="G1149" s="84" t="s">
        <v>2805</v>
      </c>
      <c r="H1149" s="84" t="s">
        <v>2805</v>
      </c>
      <c r="I1149" s="84" t="s">
        <v>2805</v>
      </c>
      <c r="J1149" s="84" t="s">
        <v>2805</v>
      </c>
    </row>
    <row r="1150" spans="1:10" ht="12.75" customHeight="1">
      <c r="A1150" s="83"/>
      <c r="B1150" s="83" t="s">
        <v>2815</v>
      </c>
      <c r="C1150" s="84" t="s">
        <v>2805</v>
      </c>
      <c r="D1150" s="84" t="s">
        <v>2812</v>
      </c>
      <c r="E1150" s="84">
        <v>0</v>
      </c>
      <c r="F1150" s="84" t="s">
        <v>2812</v>
      </c>
      <c r="G1150" s="84" t="s">
        <v>2812</v>
      </c>
      <c r="H1150" s="84" t="s">
        <v>2812</v>
      </c>
      <c r="I1150" s="84">
        <v>0</v>
      </c>
      <c r="J1150" s="84" t="s">
        <v>2805</v>
      </c>
    </row>
    <row r="1151" spans="1:10" ht="12.75" customHeight="1">
      <c r="A1151" s="83"/>
      <c r="B1151" s="81" t="s">
        <v>2816</v>
      </c>
      <c r="C1151" s="84" t="s">
        <v>2805</v>
      </c>
      <c r="D1151" s="84">
        <v>1</v>
      </c>
      <c r="E1151" s="84">
        <v>0</v>
      </c>
      <c r="F1151" s="84" t="s">
        <v>2812</v>
      </c>
      <c r="G1151" s="84">
        <v>1</v>
      </c>
      <c r="H1151" s="84" t="s">
        <v>2812</v>
      </c>
      <c r="I1151" s="84">
        <v>0</v>
      </c>
      <c r="J1151" s="84" t="s">
        <v>2805</v>
      </c>
    </row>
    <row r="1152" spans="1:10" ht="12.75" customHeight="1">
      <c r="A1152" s="83"/>
      <c r="B1152" s="83" t="s">
        <v>2817</v>
      </c>
      <c r="C1152" s="84" t="s">
        <v>2805</v>
      </c>
      <c r="D1152" s="84">
        <v>1</v>
      </c>
      <c r="E1152" s="84">
        <v>0</v>
      </c>
      <c r="F1152" s="84">
        <v>0</v>
      </c>
      <c r="G1152" s="84">
        <v>1</v>
      </c>
      <c r="H1152" s="84" t="s">
        <v>2812</v>
      </c>
      <c r="I1152" s="84">
        <v>0</v>
      </c>
      <c r="J1152" s="84" t="s">
        <v>2805</v>
      </c>
    </row>
    <row r="1153" spans="1:10" ht="12.75" customHeight="1">
      <c r="A1153" s="83"/>
      <c r="B1153" s="83" t="s">
        <v>2818</v>
      </c>
      <c r="C1153" s="84" t="s">
        <v>2805</v>
      </c>
      <c r="D1153" s="84" t="s">
        <v>2812</v>
      </c>
      <c r="E1153" s="84" t="s">
        <v>2805</v>
      </c>
      <c r="F1153" s="84" t="s">
        <v>2805</v>
      </c>
      <c r="G1153" s="84" t="s">
        <v>2805</v>
      </c>
      <c r="H1153" s="84" t="s">
        <v>2805</v>
      </c>
      <c r="I1153" s="84" t="s">
        <v>2805</v>
      </c>
      <c r="J1153" s="84" t="s">
        <v>2805</v>
      </c>
    </row>
    <row r="1154" spans="1:10" ht="12.75" customHeight="1">
      <c r="A1154" s="83"/>
      <c r="B1154" s="83" t="s">
        <v>2819</v>
      </c>
      <c r="C1154" s="84" t="s">
        <v>2805</v>
      </c>
      <c r="D1154" s="84" t="s">
        <v>2812</v>
      </c>
      <c r="E1154" s="84">
        <v>0</v>
      </c>
      <c r="F1154" s="84">
        <v>0</v>
      </c>
      <c r="G1154" s="84" t="s">
        <v>2812</v>
      </c>
      <c r="H1154" s="84" t="s">
        <v>2812</v>
      </c>
      <c r="I1154" s="84">
        <v>0</v>
      </c>
      <c r="J1154" s="84" t="s">
        <v>2805</v>
      </c>
    </row>
    <row r="1155" spans="1:10" ht="12.75" customHeight="1">
      <c r="A1155" s="83"/>
      <c r="B1155" s="83" t="s">
        <v>2820</v>
      </c>
      <c r="C1155" s="84" t="s">
        <v>2805</v>
      </c>
      <c r="D1155" s="84" t="s">
        <v>2812</v>
      </c>
      <c r="E1155" s="84" t="s">
        <v>2805</v>
      </c>
      <c r="F1155" s="84" t="s">
        <v>2812</v>
      </c>
      <c r="G1155" s="84">
        <v>0</v>
      </c>
      <c r="H1155" s="84" t="s">
        <v>2812</v>
      </c>
      <c r="I1155" s="84" t="s">
        <v>2805</v>
      </c>
      <c r="J1155" s="84" t="s">
        <v>2805</v>
      </c>
    </row>
    <row r="1156" spans="1:10" ht="12.75" customHeight="1">
      <c r="A1156" s="83"/>
      <c r="B1156" s="83" t="s">
        <v>2821</v>
      </c>
      <c r="C1156" s="84" t="s">
        <v>2805</v>
      </c>
      <c r="D1156" s="84" t="s">
        <v>2805</v>
      </c>
      <c r="E1156" s="84">
        <v>0</v>
      </c>
      <c r="F1156" s="84" t="s">
        <v>2812</v>
      </c>
      <c r="G1156" s="84" t="s">
        <v>2812</v>
      </c>
      <c r="H1156" s="84">
        <v>0</v>
      </c>
      <c r="I1156" s="84">
        <v>0</v>
      </c>
      <c r="J1156" s="84" t="s">
        <v>2805</v>
      </c>
    </row>
    <row r="1157" spans="1:10" ht="12.75" customHeight="1">
      <c r="A1157" s="83"/>
      <c r="B1157" s="83" t="s">
        <v>2822</v>
      </c>
      <c r="C1157" s="84" t="s">
        <v>2805</v>
      </c>
      <c r="D1157" s="84" t="s">
        <v>2812</v>
      </c>
      <c r="E1157" s="84">
        <v>0</v>
      </c>
      <c r="F1157" s="84" t="s">
        <v>2812</v>
      </c>
      <c r="G1157" s="84">
        <v>0</v>
      </c>
      <c r="H1157" s="84" t="s">
        <v>2812</v>
      </c>
      <c r="I1157" s="84">
        <v>0</v>
      </c>
      <c r="J1157" s="84" t="s">
        <v>2805</v>
      </c>
    </row>
    <row r="1158" spans="1:10" ht="12.75" customHeight="1">
      <c r="A1158" s="83"/>
      <c r="B1158" s="81" t="s">
        <v>2823</v>
      </c>
      <c r="C1158" s="84">
        <v>1</v>
      </c>
      <c r="D1158" s="84">
        <v>0</v>
      </c>
      <c r="E1158" s="84">
        <v>0</v>
      </c>
      <c r="F1158" s="84">
        <v>0</v>
      </c>
      <c r="G1158" s="84">
        <v>0</v>
      </c>
      <c r="H1158" s="84" t="s">
        <v>2812</v>
      </c>
      <c r="I1158" s="84">
        <v>0</v>
      </c>
      <c r="J1158" s="84">
        <v>1</v>
      </c>
    </row>
    <row r="1159" spans="1:10" ht="12.75" customHeight="1">
      <c r="A1159" s="83"/>
      <c r="B1159" s="81"/>
      <c r="C1159" s="84"/>
      <c r="D1159" s="84"/>
      <c r="E1159" s="84"/>
      <c r="F1159" s="84"/>
      <c r="G1159" s="84"/>
      <c r="H1159" s="84"/>
      <c r="I1159" s="84"/>
      <c r="J1159" s="84"/>
    </row>
    <row r="1160" spans="1:10" s="71" customFormat="1" ht="12.75" customHeight="1">
      <c r="A1160" s="81" t="s">
        <v>2927</v>
      </c>
      <c r="B1160" s="81" t="s">
        <v>2928</v>
      </c>
      <c r="C1160" s="86"/>
      <c r="D1160" s="86"/>
      <c r="E1160" s="86"/>
      <c r="F1160" s="86"/>
      <c r="G1160" s="86"/>
      <c r="H1160" s="86"/>
      <c r="I1160" s="86"/>
      <c r="J1160" s="86"/>
    </row>
    <row r="1161" spans="1:10" s="71" customFormat="1" ht="12.75" customHeight="1">
      <c r="A1161" s="81"/>
      <c r="B1161" s="81"/>
      <c r="C1161" s="86"/>
      <c r="D1161" s="86"/>
      <c r="E1161" s="86"/>
      <c r="F1161" s="86"/>
      <c r="G1161" s="86"/>
      <c r="H1161" s="86"/>
      <c r="I1161" s="86"/>
      <c r="J1161" s="86"/>
    </row>
    <row r="1162" spans="1:10" s="71" customFormat="1" ht="12.75" customHeight="1">
      <c r="A1162" s="81"/>
      <c r="B1162" s="81"/>
      <c r="C1162" s="86"/>
      <c r="D1162" s="86"/>
      <c r="E1162" s="86"/>
      <c r="F1162" s="86"/>
      <c r="G1162" s="86"/>
      <c r="H1162" s="86"/>
      <c r="I1162" s="86"/>
      <c r="J1162" s="86"/>
    </row>
    <row r="1163" spans="1:10" ht="12.75" customHeight="1">
      <c r="A1163" s="83"/>
      <c r="B1163" s="81" t="s">
        <v>2803</v>
      </c>
      <c r="C1163" s="84">
        <v>54</v>
      </c>
      <c r="D1163" s="84">
        <v>12</v>
      </c>
      <c r="E1163" s="84">
        <v>0</v>
      </c>
      <c r="F1163" s="84" t="s">
        <v>2812</v>
      </c>
      <c r="G1163" s="84">
        <v>42</v>
      </c>
      <c r="H1163" s="84" t="s">
        <v>2812</v>
      </c>
      <c r="I1163" s="84">
        <v>0</v>
      </c>
      <c r="J1163" s="84" t="s">
        <v>2812</v>
      </c>
    </row>
    <row r="1164" spans="1:10" ht="12.75" customHeight="1">
      <c r="A1164" s="83"/>
      <c r="B1164" s="81" t="s">
        <v>2804</v>
      </c>
      <c r="C1164" s="84" t="s">
        <v>2805</v>
      </c>
      <c r="D1164" s="84" t="s">
        <v>2812</v>
      </c>
      <c r="E1164" s="84">
        <v>0</v>
      </c>
      <c r="F1164" s="84">
        <v>0</v>
      </c>
      <c r="G1164" s="84" t="s">
        <v>2812</v>
      </c>
      <c r="H1164" s="84">
        <v>0</v>
      </c>
      <c r="I1164" s="84">
        <v>0</v>
      </c>
      <c r="J1164" s="84" t="s">
        <v>2805</v>
      </c>
    </row>
    <row r="1165" spans="1:10" ht="12.75" customHeight="1">
      <c r="A1165" s="83"/>
      <c r="B1165" s="83" t="s">
        <v>2806</v>
      </c>
      <c r="C1165" s="84" t="s">
        <v>2805</v>
      </c>
      <c r="D1165" s="84" t="s">
        <v>2812</v>
      </c>
      <c r="E1165" s="84">
        <v>0</v>
      </c>
      <c r="F1165" s="84">
        <v>0</v>
      </c>
      <c r="G1165" s="84">
        <v>0</v>
      </c>
      <c r="H1165" s="84">
        <v>0</v>
      </c>
      <c r="I1165" s="84">
        <v>0</v>
      </c>
      <c r="J1165" s="84" t="s">
        <v>2805</v>
      </c>
    </row>
    <row r="1166" spans="1:10" ht="12.75" customHeight="1">
      <c r="A1166" s="83"/>
      <c r="B1166" s="83" t="s">
        <v>2807</v>
      </c>
      <c r="C1166" s="84" t="s">
        <v>2805</v>
      </c>
      <c r="D1166" s="84">
        <v>0</v>
      </c>
      <c r="E1166" s="84">
        <v>0</v>
      </c>
      <c r="F1166" s="84">
        <v>0</v>
      </c>
      <c r="G1166" s="84" t="s">
        <v>2812</v>
      </c>
      <c r="H1166" s="84">
        <v>0</v>
      </c>
      <c r="I1166" s="84">
        <v>0</v>
      </c>
      <c r="J1166" s="84" t="s">
        <v>2805</v>
      </c>
    </row>
    <row r="1167" spans="1:10" ht="12.75" customHeight="1">
      <c r="A1167" s="83"/>
      <c r="B1167" s="81" t="s">
        <v>2808</v>
      </c>
      <c r="C1167" s="84" t="s">
        <v>2805</v>
      </c>
      <c r="D1167" s="84">
        <v>10</v>
      </c>
      <c r="E1167" s="84">
        <v>0</v>
      </c>
      <c r="F1167" s="84" t="s">
        <v>2812</v>
      </c>
      <c r="G1167" s="84">
        <v>39</v>
      </c>
      <c r="H1167" s="84" t="s">
        <v>2812</v>
      </c>
      <c r="I1167" s="84">
        <v>0</v>
      </c>
      <c r="J1167" s="84" t="s">
        <v>2805</v>
      </c>
    </row>
    <row r="1168" spans="1:10" ht="12.75" customHeight="1">
      <c r="A1168" s="83"/>
      <c r="B1168" s="83" t="s">
        <v>2810</v>
      </c>
      <c r="C1168" s="84" t="s">
        <v>2805</v>
      </c>
      <c r="D1168" s="84">
        <v>4</v>
      </c>
      <c r="E1168" s="84">
        <v>0</v>
      </c>
      <c r="F1168" s="84">
        <v>0</v>
      </c>
      <c r="G1168" s="84">
        <v>37</v>
      </c>
      <c r="H1168" s="84" t="s">
        <v>2812</v>
      </c>
      <c r="I1168" s="84">
        <v>0</v>
      </c>
      <c r="J1168" s="84" t="s">
        <v>2805</v>
      </c>
    </row>
    <row r="1169" spans="1:10" ht="12.75" customHeight="1">
      <c r="A1169" s="83"/>
      <c r="B1169" s="83" t="s">
        <v>2811</v>
      </c>
      <c r="C1169" s="84" t="s">
        <v>2805</v>
      </c>
      <c r="D1169" s="84" t="s">
        <v>2812</v>
      </c>
      <c r="E1169" s="84">
        <v>0</v>
      </c>
      <c r="F1169" s="84">
        <v>0</v>
      </c>
      <c r="G1169" s="84" t="s">
        <v>2812</v>
      </c>
      <c r="H1169" s="84">
        <v>0</v>
      </c>
      <c r="I1169" s="84">
        <v>0</v>
      </c>
      <c r="J1169" s="84" t="s">
        <v>2805</v>
      </c>
    </row>
    <row r="1170" spans="1:10" ht="12.75" customHeight="1">
      <c r="A1170" s="83"/>
      <c r="B1170" s="83" t="s">
        <v>2813</v>
      </c>
      <c r="C1170" s="84" t="s">
        <v>2805</v>
      </c>
      <c r="D1170" s="84">
        <v>5</v>
      </c>
      <c r="E1170" s="84">
        <v>0</v>
      </c>
      <c r="F1170" s="84" t="s">
        <v>2812</v>
      </c>
      <c r="G1170" s="84">
        <v>2</v>
      </c>
      <c r="H1170" s="84">
        <v>0</v>
      </c>
      <c r="I1170" s="84">
        <v>0</v>
      </c>
      <c r="J1170" s="84" t="s">
        <v>2805</v>
      </c>
    </row>
    <row r="1171" spans="1:10" ht="12.75" customHeight="1">
      <c r="A1171" s="83"/>
      <c r="B1171" s="83" t="s">
        <v>2814</v>
      </c>
      <c r="C1171" s="84" t="s">
        <v>2805</v>
      </c>
      <c r="D1171" s="84" t="s">
        <v>2812</v>
      </c>
      <c r="E1171" s="84" t="s">
        <v>2805</v>
      </c>
      <c r="F1171" s="84" t="s">
        <v>2805</v>
      </c>
      <c r="G1171" s="84" t="s">
        <v>2805</v>
      </c>
      <c r="H1171" s="84" t="s">
        <v>2805</v>
      </c>
      <c r="I1171" s="84" t="s">
        <v>2805</v>
      </c>
      <c r="J1171" s="84" t="s">
        <v>2805</v>
      </c>
    </row>
    <row r="1172" spans="1:10" ht="12.75" customHeight="1">
      <c r="A1172" s="83"/>
      <c r="B1172" s="83" t="s">
        <v>2815</v>
      </c>
      <c r="C1172" s="84" t="s">
        <v>2805</v>
      </c>
      <c r="D1172" s="84" t="s">
        <v>2812</v>
      </c>
      <c r="E1172" s="84">
        <v>0</v>
      </c>
      <c r="F1172" s="84">
        <v>0</v>
      </c>
      <c r="G1172" s="84">
        <v>0</v>
      </c>
      <c r="H1172" s="84">
        <v>0</v>
      </c>
      <c r="I1172" s="84">
        <v>0</v>
      </c>
      <c r="J1172" s="84" t="s">
        <v>2805</v>
      </c>
    </row>
    <row r="1173" spans="1:10" ht="12.75" customHeight="1">
      <c r="A1173" s="83"/>
      <c r="B1173" s="81" t="s">
        <v>2816</v>
      </c>
      <c r="C1173" s="84" t="s">
        <v>2805</v>
      </c>
      <c r="D1173" s="84">
        <v>1</v>
      </c>
      <c r="E1173" s="84">
        <v>0</v>
      </c>
      <c r="F1173" s="84" t="s">
        <v>2812</v>
      </c>
      <c r="G1173" s="84">
        <v>3</v>
      </c>
      <c r="H1173" s="84" t="s">
        <v>2812</v>
      </c>
      <c r="I1173" s="84">
        <v>0</v>
      </c>
      <c r="J1173" s="84" t="s">
        <v>2805</v>
      </c>
    </row>
    <row r="1174" spans="1:10" ht="12.75" customHeight="1">
      <c r="A1174" s="83"/>
      <c r="B1174" s="83" t="s">
        <v>2817</v>
      </c>
      <c r="C1174" s="84" t="s">
        <v>2805</v>
      </c>
      <c r="D1174" s="84">
        <v>1</v>
      </c>
      <c r="E1174" s="84">
        <v>0</v>
      </c>
      <c r="F1174" s="84">
        <v>0</v>
      </c>
      <c r="G1174" s="84">
        <v>2</v>
      </c>
      <c r="H1174" s="84" t="s">
        <v>2812</v>
      </c>
      <c r="I1174" s="84">
        <v>0</v>
      </c>
      <c r="J1174" s="84" t="s">
        <v>2805</v>
      </c>
    </row>
    <row r="1175" spans="1:10" ht="12.75" customHeight="1">
      <c r="A1175" s="83"/>
      <c r="B1175" s="83" t="s">
        <v>2818</v>
      </c>
      <c r="C1175" s="84" t="s">
        <v>2805</v>
      </c>
      <c r="D1175" s="84">
        <v>1</v>
      </c>
      <c r="E1175" s="84" t="s">
        <v>2805</v>
      </c>
      <c r="F1175" s="84" t="s">
        <v>2805</v>
      </c>
      <c r="G1175" s="84" t="s">
        <v>2805</v>
      </c>
      <c r="H1175" s="84" t="s">
        <v>2805</v>
      </c>
      <c r="I1175" s="84" t="s">
        <v>2805</v>
      </c>
      <c r="J1175" s="84" t="s">
        <v>2805</v>
      </c>
    </row>
    <row r="1176" spans="1:10" ht="12.75" customHeight="1">
      <c r="A1176" s="83"/>
      <c r="B1176" s="83" t="s">
        <v>2819</v>
      </c>
      <c r="C1176" s="84" t="s">
        <v>2805</v>
      </c>
      <c r="D1176" s="84" t="s">
        <v>2812</v>
      </c>
      <c r="E1176" s="84">
        <v>0</v>
      </c>
      <c r="F1176" s="84">
        <v>0</v>
      </c>
      <c r="G1176" s="84" t="s">
        <v>2812</v>
      </c>
      <c r="H1176" s="84">
        <v>0</v>
      </c>
      <c r="I1176" s="84">
        <v>0</v>
      </c>
      <c r="J1176" s="84" t="s">
        <v>2805</v>
      </c>
    </row>
    <row r="1177" spans="1:10" ht="12.75" customHeight="1">
      <c r="A1177" s="83"/>
      <c r="B1177" s="83" t="s">
        <v>2820</v>
      </c>
      <c r="C1177" s="84" t="s">
        <v>2805</v>
      </c>
      <c r="D1177" s="84" t="s">
        <v>2812</v>
      </c>
      <c r="E1177" s="84" t="s">
        <v>2805</v>
      </c>
      <c r="F1177" s="84" t="s">
        <v>2812</v>
      </c>
      <c r="G1177" s="84">
        <v>0</v>
      </c>
      <c r="H1177" s="84" t="s">
        <v>2812</v>
      </c>
      <c r="I1177" s="84" t="s">
        <v>2805</v>
      </c>
      <c r="J1177" s="84" t="s">
        <v>2805</v>
      </c>
    </row>
    <row r="1178" spans="1:10" ht="12.75" customHeight="1">
      <c r="A1178" s="83"/>
      <c r="B1178" s="83" t="s">
        <v>2821</v>
      </c>
      <c r="C1178" s="84" t="s">
        <v>2805</v>
      </c>
      <c r="D1178" s="84" t="s">
        <v>2805</v>
      </c>
      <c r="E1178" s="84">
        <v>0</v>
      </c>
      <c r="F1178" s="84" t="s">
        <v>2812</v>
      </c>
      <c r="G1178" s="84">
        <v>0</v>
      </c>
      <c r="H1178" s="84">
        <v>0</v>
      </c>
      <c r="I1178" s="84">
        <v>0</v>
      </c>
      <c r="J1178" s="84" t="s">
        <v>2805</v>
      </c>
    </row>
    <row r="1179" spans="1:10" ht="12.75" customHeight="1">
      <c r="A1179" s="83"/>
      <c r="B1179" s="83" t="s">
        <v>2822</v>
      </c>
      <c r="C1179" s="84" t="s">
        <v>2805</v>
      </c>
      <c r="D1179" s="84" t="s">
        <v>2812</v>
      </c>
      <c r="E1179" s="84">
        <v>0</v>
      </c>
      <c r="F1179" s="84">
        <v>0</v>
      </c>
      <c r="G1179" s="84" t="s">
        <v>2812</v>
      </c>
      <c r="H1179" s="84">
        <v>0</v>
      </c>
      <c r="I1179" s="84">
        <v>0</v>
      </c>
      <c r="J1179" s="84" t="s">
        <v>2805</v>
      </c>
    </row>
    <row r="1180" spans="1:10" ht="12.75" customHeight="1">
      <c r="A1180" s="83"/>
      <c r="B1180" s="81" t="s">
        <v>2823</v>
      </c>
      <c r="C1180" s="84" t="s">
        <v>2812</v>
      </c>
      <c r="D1180" s="84" t="s">
        <v>2812</v>
      </c>
      <c r="E1180" s="84">
        <v>0</v>
      </c>
      <c r="F1180" s="84">
        <v>0</v>
      </c>
      <c r="G1180" s="84" t="s">
        <v>2812</v>
      </c>
      <c r="H1180" s="84">
        <v>0</v>
      </c>
      <c r="I1180" s="84">
        <v>0</v>
      </c>
      <c r="J1180" s="84" t="s">
        <v>2812</v>
      </c>
    </row>
    <row r="1181" spans="1:10" ht="12.75" customHeight="1">
      <c r="A1181" s="83"/>
      <c r="B1181" s="81"/>
      <c r="C1181" s="84"/>
      <c r="D1181" s="84"/>
      <c r="E1181" s="84"/>
      <c r="F1181" s="84"/>
      <c r="G1181" s="84"/>
      <c r="H1181" s="84"/>
      <c r="I1181" s="84"/>
      <c r="J1181" s="84"/>
    </row>
    <row r="1182" spans="1:10" s="71" customFormat="1" ht="12.75" customHeight="1">
      <c r="A1182" s="81" t="s">
        <v>2929</v>
      </c>
      <c r="B1182" s="81" t="s">
        <v>2930</v>
      </c>
      <c r="C1182" s="86"/>
      <c r="D1182" s="86"/>
      <c r="E1182" s="86"/>
      <c r="F1182" s="86"/>
      <c r="G1182" s="86"/>
      <c r="H1182" s="86"/>
      <c r="I1182" s="86"/>
      <c r="J1182" s="86"/>
    </row>
    <row r="1183" spans="1:10" s="71" customFormat="1" ht="12.75" customHeight="1">
      <c r="A1183" s="81"/>
      <c r="B1183" s="81"/>
      <c r="C1183" s="86"/>
      <c r="D1183" s="86"/>
      <c r="E1183" s="86"/>
      <c r="F1183" s="86"/>
      <c r="G1183" s="86"/>
      <c r="H1183" s="86"/>
      <c r="I1183" s="86"/>
      <c r="J1183" s="86"/>
    </row>
    <row r="1184" spans="1:10" s="71" customFormat="1" ht="12.75" customHeight="1">
      <c r="A1184" s="81"/>
      <c r="B1184" s="81"/>
      <c r="C1184" s="86"/>
      <c r="D1184" s="86"/>
      <c r="E1184" s="86"/>
      <c r="F1184" s="86"/>
      <c r="G1184" s="86"/>
      <c r="H1184" s="86"/>
      <c r="I1184" s="86"/>
      <c r="J1184" s="86"/>
    </row>
    <row r="1185" spans="1:10" ht="12.75" customHeight="1">
      <c r="A1185" s="83"/>
      <c r="B1185" s="81" t="s">
        <v>2803</v>
      </c>
      <c r="C1185" s="84">
        <v>21</v>
      </c>
      <c r="D1185" s="84">
        <v>13</v>
      </c>
      <c r="E1185" s="84">
        <v>0</v>
      </c>
      <c r="F1185" s="84" t="s">
        <v>2812</v>
      </c>
      <c r="G1185" s="84">
        <v>8</v>
      </c>
      <c r="H1185" s="84" t="s">
        <v>2812</v>
      </c>
      <c r="I1185" s="84">
        <v>0</v>
      </c>
      <c r="J1185" s="84" t="s">
        <v>2812</v>
      </c>
    </row>
    <row r="1186" spans="1:10" ht="12.75" customHeight="1">
      <c r="A1186" s="83"/>
      <c r="B1186" s="81" t="s">
        <v>2804</v>
      </c>
      <c r="C1186" s="84" t="s">
        <v>2805</v>
      </c>
      <c r="D1186" s="84" t="s">
        <v>2812</v>
      </c>
      <c r="E1186" s="84">
        <v>0</v>
      </c>
      <c r="F1186" s="84" t="s">
        <v>2812</v>
      </c>
      <c r="G1186" s="84" t="s">
        <v>2812</v>
      </c>
      <c r="H1186" s="84" t="s">
        <v>2812</v>
      </c>
      <c r="I1186" s="84">
        <v>0</v>
      </c>
      <c r="J1186" s="84" t="s">
        <v>2805</v>
      </c>
    </row>
    <row r="1187" spans="1:10" ht="12.75" customHeight="1">
      <c r="A1187" s="83"/>
      <c r="B1187" s="83" t="s">
        <v>2806</v>
      </c>
      <c r="C1187" s="84" t="s">
        <v>2805</v>
      </c>
      <c r="D1187" s="84" t="s">
        <v>2812</v>
      </c>
      <c r="E1187" s="84">
        <v>0</v>
      </c>
      <c r="F1187" s="84" t="s">
        <v>2812</v>
      </c>
      <c r="G1187" s="84" t="s">
        <v>2812</v>
      </c>
      <c r="H1187" s="84" t="s">
        <v>2812</v>
      </c>
      <c r="I1187" s="84">
        <v>0</v>
      </c>
      <c r="J1187" s="84" t="s">
        <v>2805</v>
      </c>
    </row>
    <row r="1188" spans="1:10" ht="12.75" customHeight="1">
      <c r="A1188" s="83"/>
      <c r="B1188" s="83" t="s">
        <v>2807</v>
      </c>
      <c r="C1188" s="84" t="s">
        <v>2805</v>
      </c>
      <c r="D1188" s="84">
        <v>0</v>
      </c>
      <c r="E1188" s="84">
        <v>0</v>
      </c>
      <c r="F1188" s="84" t="s">
        <v>2812</v>
      </c>
      <c r="G1188" s="84" t="s">
        <v>2812</v>
      </c>
      <c r="H1188" s="84" t="s">
        <v>2812</v>
      </c>
      <c r="I1188" s="84">
        <v>0</v>
      </c>
      <c r="J1188" s="84" t="s">
        <v>2805</v>
      </c>
    </row>
    <row r="1189" spans="1:10" ht="12.75" customHeight="1">
      <c r="A1189" s="83"/>
      <c r="B1189" s="81" t="s">
        <v>2808</v>
      </c>
      <c r="C1189" s="84" t="s">
        <v>2805</v>
      </c>
      <c r="D1189" s="84">
        <v>10</v>
      </c>
      <c r="E1189" s="84">
        <v>0</v>
      </c>
      <c r="F1189" s="84" t="s">
        <v>2812</v>
      </c>
      <c r="G1189" s="84">
        <v>6</v>
      </c>
      <c r="H1189" s="84" t="s">
        <v>2812</v>
      </c>
      <c r="I1189" s="84">
        <v>0</v>
      </c>
      <c r="J1189" s="84" t="s">
        <v>2805</v>
      </c>
    </row>
    <row r="1190" spans="1:10" ht="12.75" customHeight="1">
      <c r="A1190" s="83"/>
      <c r="B1190" s="83" t="s">
        <v>2810</v>
      </c>
      <c r="C1190" s="84" t="s">
        <v>2805</v>
      </c>
      <c r="D1190" s="84">
        <v>5</v>
      </c>
      <c r="E1190" s="84">
        <v>0</v>
      </c>
      <c r="F1190" s="84">
        <v>0</v>
      </c>
      <c r="G1190" s="84">
        <v>5</v>
      </c>
      <c r="H1190" s="84" t="s">
        <v>2812</v>
      </c>
      <c r="I1190" s="84">
        <v>0</v>
      </c>
      <c r="J1190" s="84" t="s">
        <v>2805</v>
      </c>
    </row>
    <row r="1191" spans="1:10" ht="12.75" customHeight="1">
      <c r="A1191" s="83"/>
      <c r="B1191" s="83" t="s">
        <v>2811</v>
      </c>
      <c r="C1191" s="84" t="s">
        <v>2805</v>
      </c>
      <c r="D1191" s="84">
        <v>1</v>
      </c>
      <c r="E1191" s="84">
        <v>0</v>
      </c>
      <c r="F1191" s="84">
        <v>0</v>
      </c>
      <c r="G1191" s="84" t="s">
        <v>2812</v>
      </c>
      <c r="H1191" s="84">
        <v>0</v>
      </c>
      <c r="I1191" s="84">
        <v>0</v>
      </c>
      <c r="J1191" s="84" t="s">
        <v>2805</v>
      </c>
    </row>
    <row r="1192" spans="1:10" ht="12.75" customHeight="1">
      <c r="A1192" s="83"/>
      <c r="B1192" s="83" t="s">
        <v>2813</v>
      </c>
      <c r="C1192" s="84" t="s">
        <v>2805</v>
      </c>
      <c r="D1192" s="84">
        <v>3</v>
      </c>
      <c r="E1192" s="84">
        <v>0</v>
      </c>
      <c r="F1192" s="84" t="s">
        <v>2812</v>
      </c>
      <c r="G1192" s="84" t="s">
        <v>2812</v>
      </c>
      <c r="H1192" s="84" t="s">
        <v>2812</v>
      </c>
      <c r="I1192" s="84">
        <v>0</v>
      </c>
      <c r="J1192" s="84" t="s">
        <v>2805</v>
      </c>
    </row>
    <row r="1193" spans="1:10" ht="12.75" customHeight="1">
      <c r="A1193" s="83"/>
      <c r="B1193" s="83" t="s">
        <v>2814</v>
      </c>
      <c r="C1193" s="84" t="s">
        <v>2805</v>
      </c>
      <c r="D1193" s="84" t="s">
        <v>2812</v>
      </c>
      <c r="E1193" s="84" t="s">
        <v>2805</v>
      </c>
      <c r="F1193" s="84" t="s">
        <v>2805</v>
      </c>
      <c r="G1193" s="84" t="s">
        <v>2805</v>
      </c>
      <c r="H1193" s="84" t="s">
        <v>2805</v>
      </c>
      <c r="I1193" s="84" t="s">
        <v>2805</v>
      </c>
      <c r="J1193" s="84" t="s">
        <v>2805</v>
      </c>
    </row>
    <row r="1194" spans="1:10" ht="12.75" customHeight="1">
      <c r="A1194" s="83"/>
      <c r="B1194" s="83" t="s">
        <v>2815</v>
      </c>
      <c r="C1194" s="84" t="s">
        <v>2805</v>
      </c>
      <c r="D1194" s="84">
        <v>1</v>
      </c>
      <c r="E1194" s="84">
        <v>0</v>
      </c>
      <c r="F1194" s="84" t="s">
        <v>2812</v>
      </c>
      <c r="G1194" s="84" t="s">
        <v>2812</v>
      </c>
      <c r="H1194" s="84" t="s">
        <v>2812</v>
      </c>
      <c r="I1194" s="84">
        <v>0</v>
      </c>
      <c r="J1194" s="84" t="s">
        <v>2805</v>
      </c>
    </row>
    <row r="1195" spans="1:10" ht="12.75" customHeight="1">
      <c r="A1195" s="83"/>
      <c r="B1195" s="81" t="s">
        <v>2816</v>
      </c>
      <c r="C1195" s="84" t="s">
        <v>2805</v>
      </c>
      <c r="D1195" s="84">
        <v>3</v>
      </c>
      <c r="E1195" s="84">
        <v>0</v>
      </c>
      <c r="F1195" s="84" t="s">
        <v>2812</v>
      </c>
      <c r="G1195" s="84">
        <v>1</v>
      </c>
      <c r="H1195" s="84" t="s">
        <v>2812</v>
      </c>
      <c r="I1195" s="84">
        <v>0</v>
      </c>
      <c r="J1195" s="84" t="s">
        <v>2805</v>
      </c>
    </row>
    <row r="1196" spans="1:10" ht="12.75" customHeight="1">
      <c r="A1196" s="83"/>
      <c r="B1196" s="83" t="s">
        <v>2817</v>
      </c>
      <c r="C1196" s="84" t="s">
        <v>2805</v>
      </c>
      <c r="D1196" s="84">
        <v>1</v>
      </c>
      <c r="E1196" s="84">
        <v>0</v>
      </c>
      <c r="F1196" s="84" t="s">
        <v>2812</v>
      </c>
      <c r="G1196" s="84">
        <v>1</v>
      </c>
      <c r="H1196" s="84" t="s">
        <v>2812</v>
      </c>
      <c r="I1196" s="84">
        <v>0</v>
      </c>
      <c r="J1196" s="84" t="s">
        <v>2805</v>
      </c>
    </row>
    <row r="1197" spans="1:10" ht="12.75" customHeight="1">
      <c r="A1197" s="83"/>
      <c r="B1197" s="83" t="s">
        <v>2818</v>
      </c>
      <c r="C1197" s="84" t="s">
        <v>2805</v>
      </c>
      <c r="D1197" s="84">
        <v>1</v>
      </c>
      <c r="E1197" s="84" t="s">
        <v>2805</v>
      </c>
      <c r="F1197" s="84" t="s">
        <v>2805</v>
      </c>
      <c r="G1197" s="84" t="s">
        <v>2805</v>
      </c>
      <c r="H1197" s="84" t="s">
        <v>2805</v>
      </c>
      <c r="I1197" s="84" t="s">
        <v>2805</v>
      </c>
      <c r="J1197" s="84" t="s">
        <v>2805</v>
      </c>
    </row>
    <row r="1198" spans="1:10" ht="12.75" customHeight="1">
      <c r="A1198" s="83"/>
      <c r="B1198" s="83" t="s">
        <v>2819</v>
      </c>
      <c r="C1198" s="84" t="s">
        <v>2805</v>
      </c>
      <c r="D1198" s="84" t="s">
        <v>2812</v>
      </c>
      <c r="E1198" s="84">
        <v>0</v>
      </c>
      <c r="F1198" s="84" t="s">
        <v>2812</v>
      </c>
      <c r="G1198" s="84" t="s">
        <v>2812</v>
      </c>
      <c r="H1198" s="84" t="s">
        <v>2812</v>
      </c>
      <c r="I1198" s="84">
        <v>0</v>
      </c>
      <c r="J1198" s="84" t="s">
        <v>2805</v>
      </c>
    </row>
    <row r="1199" spans="1:10" ht="12.75" customHeight="1">
      <c r="A1199" s="83"/>
      <c r="B1199" s="83" t="s">
        <v>2820</v>
      </c>
      <c r="C1199" s="84" t="s">
        <v>2805</v>
      </c>
      <c r="D1199" s="84" t="s">
        <v>2812</v>
      </c>
      <c r="E1199" s="84" t="s">
        <v>2805</v>
      </c>
      <c r="F1199" s="84" t="s">
        <v>2812</v>
      </c>
      <c r="G1199" s="84" t="s">
        <v>2812</v>
      </c>
      <c r="H1199" s="84" t="s">
        <v>2812</v>
      </c>
      <c r="I1199" s="84" t="s">
        <v>2805</v>
      </c>
      <c r="J1199" s="84" t="s">
        <v>2805</v>
      </c>
    </row>
    <row r="1200" spans="1:10" ht="12.75" customHeight="1">
      <c r="A1200" s="83"/>
      <c r="B1200" s="83" t="s">
        <v>2821</v>
      </c>
      <c r="C1200" s="84" t="s">
        <v>2805</v>
      </c>
      <c r="D1200" s="84" t="s">
        <v>2805</v>
      </c>
      <c r="E1200" s="84">
        <v>0</v>
      </c>
      <c r="F1200" s="84" t="s">
        <v>2812</v>
      </c>
      <c r="G1200" s="84" t="s">
        <v>2812</v>
      </c>
      <c r="H1200" s="84" t="s">
        <v>2812</v>
      </c>
      <c r="I1200" s="84">
        <v>0</v>
      </c>
      <c r="J1200" s="84" t="s">
        <v>2805</v>
      </c>
    </row>
    <row r="1201" spans="1:10" ht="12.75" customHeight="1">
      <c r="A1201" s="83"/>
      <c r="B1201" s="83" t="s">
        <v>2822</v>
      </c>
      <c r="C1201" s="84" t="s">
        <v>2805</v>
      </c>
      <c r="D1201" s="84" t="s">
        <v>2812</v>
      </c>
      <c r="E1201" s="84">
        <v>0</v>
      </c>
      <c r="F1201" s="84" t="s">
        <v>2812</v>
      </c>
      <c r="G1201" s="84" t="s">
        <v>2812</v>
      </c>
      <c r="H1201" s="84" t="s">
        <v>2812</v>
      </c>
      <c r="I1201" s="84">
        <v>0</v>
      </c>
      <c r="J1201" s="84" t="s">
        <v>2805</v>
      </c>
    </row>
    <row r="1202" spans="1:10" ht="12.75" customHeight="1">
      <c r="A1202" s="83"/>
      <c r="B1202" s="81" t="s">
        <v>2823</v>
      </c>
      <c r="C1202" s="84" t="s">
        <v>2812</v>
      </c>
      <c r="D1202" s="84" t="s">
        <v>2812</v>
      </c>
      <c r="E1202" s="84">
        <v>0</v>
      </c>
      <c r="F1202" s="84">
        <v>0</v>
      </c>
      <c r="G1202" s="84" t="s">
        <v>2812</v>
      </c>
      <c r="H1202" s="84" t="s">
        <v>2812</v>
      </c>
      <c r="I1202" s="84">
        <v>0</v>
      </c>
      <c r="J1202" s="84" t="s">
        <v>2812</v>
      </c>
    </row>
    <row r="1203" spans="1:10" ht="12.75" customHeight="1">
      <c r="A1203" s="83"/>
      <c r="B1203" s="81"/>
      <c r="C1203" s="84"/>
      <c r="D1203" s="84"/>
      <c r="E1203" s="84"/>
      <c r="F1203" s="84"/>
      <c r="G1203" s="84"/>
      <c r="H1203" s="84"/>
      <c r="I1203" s="84"/>
      <c r="J1203" s="84"/>
    </row>
    <row r="1204" spans="1:10" s="71" customFormat="1" ht="12.75" customHeight="1">
      <c r="A1204" s="81" t="s">
        <v>2931</v>
      </c>
      <c r="B1204" s="81" t="s">
        <v>2932</v>
      </c>
      <c r="C1204" s="86"/>
      <c r="D1204" s="86"/>
      <c r="E1204" s="86"/>
      <c r="F1204" s="86"/>
      <c r="G1204" s="86"/>
      <c r="H1204" s="86"/>
      <c r="I1204" s="86"/>
      <c r="J1204" s="86"/>
    </row>
    <row r="1205" spans="1:10" s="71" customFormat="1" ht="12.75" customHeight="1">
      <c r="A1205" s="81"/>
      <c r="B1205" s="81"/>
      <c r="C1205" s="86"/>
      <c r="D1205" s="86"/>
      <c r="E1205" s="86"/>
      <c r="F1205" s="86"/>
      <c r="G1205" s="86"/>
      <c r="H1205" s="86"/>
      <c r="I1205" s="86"/>
      <c r="J1205" s="86"/>
    </row>
    <row r="1206" spans="1:10" s="71" customFormat="1" ht="12.75" customHeight="1">
      <c r="A1206" s="81"/>
      <c r="B1206" s="81"/>
      <c r="C1206" s="86"/>
      <c r="D1206" s="86"/>
      <c r="E1206" s="86"/>
      <c r="F1206" s="86"/>
      <c r="G1206" s="86"/>
      <c r="H1206" s="86"/>
      <c r="I1206" s="86"/>
      <c r="J1206" s="86"/>
    </row>
    <row r="1207" spans="1:10" ht="12.75" customHeight="1">
      <c r="A1207" s="83"/>
      <c r="B1207" s="81" t="s">
        <v>2803</v>
      </c>
      <c r="C1207" s="84">
        <v>296</v>
      </c>
      <c r="D1207" s="84">
        <v>39</v>
      </c>
      <c r="E1207" s="84">
        <v>0</v>
      </c>
      <c r="F1207" s="84">
        <v>1</v>
      </c>
      <c r="G1207" s="84">
        <v>58</v>
      </c>
      <c r="H1207" s="84" t="s">
        <v>2812</v>
      </c>
      <c r="I1207" s="84">
        <v>106</v>
      </c>
      <c r="J1207" s="84">
        <v>92</v>
      </c>
    </row>
    <row r="1208" spans="1:10" ht="12.75" customHeight="1">
      <c r="A1208" s="83"/>
      <c r="B1208" s="81" t="s">
        <v>2804</v>
      </c>
      <c r="C1208" s="84" t="s">
        <v>2805</v>
      </c>
      <c r="D1208" s="84" t="s">
        <v>2812</v>
      </c>
      <c r="E1208" s="84">
        <v>0</v>
      </c>
      <c r="F1208" s="84">
        <v>0</v>
      </c>
      <c r="G1208" s="84" t="s">
        <v>2812</v>
      </c>
      <c r="H1208" s="84">
        <v>0</v>
      </c>
      <c r="I1208" s="84" t="s">
        <v>2812</v>
      </c>
      <c r="J1208" s="84" t="s">
        <v>2805</v>
      </c>
    </row>
    <row r="1209" spans="1:10" ht="12.75" customHeight="1">
      <c r="A1209" s="83"/>
      <c r="B1209" s="83" t="s">
        <v>2806</v>
      </c>
      <c r="C1209" s="84" t="s">
        <v>2805</v>
      </c>
      <c r="D1209" s="84" t="s">
        <v>2812</v>
      </c>
      <c r="E1209" s="84">
        <v>0</v>
      </c>
      <c r="F1209" s="84">
        <v>0</v>
      </c>
      <c r="G1209" s="84" t="s">
        <v>2812</v>
      </c>
      <c r="H1209" s="84">
        <v>0</v>
      </c>
      <c r="I1209" s="84" t="s">
        <v>2812</v>
      </c>
      <c r="J1209" s="84" t="s">
        <v>2805</v>
      </c>
    </row>
    <row r="1210" spans="1:10" ht="12.75" customHeight="1">
      <c r="A1210" s="83"/>
      <c r="B1210" s="83" t="s">
        <v>2807</v>
      </c>
      <c r="C1210" s="84" t="s">
        <v>2805</v>
      </c>
      <c r="D1210" s="84">
        <v>0</v>
      </c>
      <c r="E1210" s="84">
        <v>0</v>
      </c>
      <c r="F1210" s="84">
        <v>0</v>
      </c>
      <c r="G1210" s="84" t="s">
        <v>2812</v>
      </c>
      <c r="H1210" s="84">
        <v>0</v>
      </c>
      <c r="I1210" s="84" t="s">
        <v>2812</v>
      </c>
      <c r="J1210" s="84" t="s">
        <v>2805</v>
      </c>
    </row>
    <row r="1211" spans="1:10" ht="12.75" customHeight="1">
      <c r="A1211" s="83"/>
      <c r="B1211" s="81" t="s">
        <v>2808</v>
      </c>
      <c r="C1211" s="84" t="s">
        <v>2805</v>
      </c>
      <c r="D1211" s="84">
        <v>37</v>
      </c>
      <c r="E1211" s="84">
        <v>0</v>
      </c>
      <c r="F1211" s="84">
        <v>1</v>
      </c>
      <c r="G1211" s="84">
        <v>57</v>
      </c>
      <c r="H1211" s="84" t="s">
        <v>2812</v>
      </c>
      <c r="I1211" s="84">
        <v>105</v>
      </c>
      <c r="J1211" s="84" t="s">
        <v>2805</v>
      </c>
    </row>
    <row r="1212" spans="1:10" ht="12.75" customHeight="1">
      <c r="A1212" s="83"/>
      <c r="B1212" s="83" t="s">
        <v>2810</v>
      </c>
      <c r="C1212" s="84" t="s">
        <v>2805</v>
      </c>
      <c r="D1212" s="84">
        <v>4</v>
      </c>
      <c r="E1212" s="84">
        <v>0</v>
      </c>
      <c r="F1212" s="84" t="s">
        <v>2812</v>
      </c>
      <c r="G1212" s="84">
        <v>36</v>
      </c>
      <c r="H1212" s="84" t="s">
        <v>2812</v>
      </c>
      <c r="I1212" s="84">
        <v>89</v>
      </c>
      <c r="J1212" s="84" t="s">
        <v>2805</v>
      </c>
    </row>
    <row r="1213" spans="1:10" ht="12.75" customHeight="1">
      <c r="A1213" s="83"/>
      <c r="B1213" s="83" t="s">
        <v>2811</v>
      </c>
      <c r="C1213" s="84" t="s">
        <v>2805</v>
      </c>
      <c r="D1213" s="84">
        <v>2</v>
      </c>
      <c r="E1213" s="84">
        <v>0</v>
      </c>
      <c r="F1213" s="84">
        <v>0</v>
      </c>
      <c r="G1213" s="84">
        <v>3</v>
      </c>
      <c r="H1213" s="84">
        <v>0</v>
      </c>
      <c r="I1213" s="84">
        <v>3</v>
      </c>
      <c r="J1213" s="84" t="s">
        <v>2805</v>
      </c>
    </row>
    <row r="1214" spans="1:10" ht="12.75" customHeight="1">
      <c r="A1214" s="83"/>
      <c r="B1214" s="83" t="s">
        <v>2813</v>
      </c>
      <c r="C1214" s="84" t="s">
        <v>2805</v>
      </c>
      <c r="D1214" s="84">
        <v>30</v>
      </c>
      <c r="E1214" s="84">
        <v>0</v>
      </c>
      <c r="F1214" s="84" t="s">
        <v>2812</v>
      </c>
      <c r="G1214" s="84">
        <v>17</v>
      </c>
      <c r="H1214" s="84" t="s">
        <v>2812</v>
      </c>
      <c r="I1214" s="84">
        <v>14</v>
      </c>
      <c r="J1214" s="84" t="s">
        <v>2805</v>
      </c>
    </row>
    <row r="1215" spans="1:10" ht="12.75" customHeight="1">
      <c r="A1215" s="83"/>
      <c r="B1215" s="83" t="s">
        <v>2814</v>
      </c>
      <c r="C1215" s="84" t="s">
        <v>2805</v>
      </c>
      <c r="D1215" s="84">
        <v>1</v>
      </c>
      <c r="E1215" s="84" t="s">
        <v>2805</v>
      </c>
      <c r="F1215" s="84" t="s">
        <v>2805</v>
      </c>
      <c r="G1215" s="84" t="s">
        <v>2805</v>
      </c>
      <c r="H1215" s="84" t="s">
        <v>2805</v>
      </c>
      <c r="I1215" s="84" t="s">
        <v>2805</v>
      </c>
      <c r="J1215" s="84" t="s">
        <v>2805</v>
      </c>
    </row>
    <row r="1216" spans="1:10" ht="12.75" customHeight="1">
      <c r="A1216" s="83"/>
      <c r="B1216" s="83" t="s">
        <v>2815</v>
      </c>
      <c r="C1216" s="84" t="s">
        <v>2805</v>
      </c>
      <c r="D1216" s="84">
        <v>1</v>
      </c>
      <c r="E1216" s="84">
        <v>0</v>
      </c>
      <c r="F1216" s="84" t="s">
        <v>2812</v>
      </c>
      <c r="G1216" s="84">
        <v>0</v>
      </c>
      <c r="H1216" s="84">
        <v>0</v>
      </c>
      <c r="I1216" s="84">
        <v>0</v>
      </c>
      <c r="J1216" s="84" t="s">
        <v>2805</v>
      </c>
    </row>
    <row r="1217" spans="1:10" ht="12.75" customHeight="1">
      <c r="A1217" s="83"/>
      <c r="B1217" s="81" t="s">
        <v>2816</v>
      </c>
      <c r="C1217" s="84" t="s">
        <v>2805</v>
      </c>
      <c r="D1217" s="84">
        <v>2</v>
      </c>
      <c r="E1217" s="84">
        <v>0</v>
      </c>
      <c r="F1217" s="84">
        <v>1</v>
      </c>
      <c r="G1217" s="84" t="s">
        <v>2812</v>
      </c>
      <c r="H1217" s="84" t="s">
        <v>2812</v>
      </c>
      <c r="I1217" s="84" t="s">
        <v>2812</v>
      </c>
      <c r="J1217" s="84" t="s">
        <v>2805</v>
      </c>
    </row>
    <row r="1218" spans="1:10" ht="12.75" customHeight="1">
      <c r="A1218" s="83"/>
      <c r="B1218" s="83" t="s">
        <v>2817</v>
      </c>
      <c r="C1218" s="84" t="s">
        <v>2805</v>
      </c>
      <c r="D1218" s="84">
        <v>1</v>
      </c>
      <c r="E1218" s="84">
        <v>0</v>
      </c>
      <c r="F1218" s="84" t="s">
        <v>2812</v>
      </c>
      <c r="G1218" s="84" t="s">
        <v>2812</v>
      </c>
      <c r="H1218" s="84" t="s">
        <v>2812</v>
      </c>
      <c r="I1218" s="84">
        <v>0</v>
      </c>
      <c r="J1218" s="84" t="s">
        <v>2805</v>
      </c>
    </row>
    <row r="1219" spans="1:10" ht="12.75" customHeight="1">
      <c r="A1219" s="83"/>
      <c r="B1219" s="83" t="s">
        <v>2818</v>
      </c>
      <c r="C1219" s="84" t="s">
        <v>2805</v>
      </c>
      <c r="D1219" s="84">
        <v>1</v>
      </c>
      <c r="E1219" s="84" t="s">
        <v>2805</v>
      </c>
      <c r="F1219" s="84" t="s">
        <v>2805</v>
      </c>
      <c r="G1219" s="84" t="s">
        <v>2805</v>
      </c>
      <c r="H1219" s="84" t="s">
        <v>2805</v>
      </c>
      <c r="I1219" s="84" t="s">
        <v>2805</v>
      </c>
      <c r="J1219" s="84" t="s">
        <v>2805</v>
      </c>
    </row>
    <row r="1220" spans="1:10" ht="12.75" customHeight="1">
      <c r="A1220" s="83"/>
      <c r="B1220" s="83" t="s">
        <v>2819</v>
      </c>
      <c r="C1220" s="84" t="s">
        <v>2805</v>
      </c>
      <c r="D1220" s="84" t="s">
        <v>2812</v>
      </c>
      <c r="E1220" s="84">
        <v>0</v>
      </c>
      <c r="F1220" s="84">
        <v>0</v>
      </c>
      <c r="G1220" s="84" t="s">
        <v>2812</v>
      </c>
      <c r="H1220" s="84" t="s">
        <v>2812</v>
      </c>
      <c r="I1220" s="84" t="s">
        <v>2812</v>
      </c>
      <c r="J1220" s="84" t="s">
        <v>2805</v>
      </c>
    </row>
    <row r="1221" spans="1:10" ht="12.75" customHeight="1">
      <c r="A1221" s="83"/>
      <c r="B1221" s="83" t="s">
        <v>2820</v>
      </c>
      <c r="C1221" s="84" t="s">
        <v>2805</v>
      </c>
      <c r="D1221" s="84" t="s">
        <v>2812</v>
      </c>
      <c r="E1221" s="84" t="s">
        <v>2805</v>
      </c>
      <c r="F1221" s="84">
        <v>1</v>
      </c>
      <c r="G1221" s="84">
        <v>0</v>
      </c>
      <c r="H1221" s="84" t="s">
        <v>2812</v>
      </c>
      <c r="I1221" s="84" t="s">
        <v>2805</v>
      </c>
      <c r="J1221" s="84" t="s">
        <v>2805</v>
      </c>
    </row>
    <row r="1222" spans="1:10" ht="12.75" customHeight="1">
      <c r="A1222" s="83"/>
      <c r="B1222" s="83" t="s">
        <v>2821</v>
      </c>
      <c r="C1222" s="84" t="s">
        <v>2805</v>
      </c>
      <c r="D1222" s="84" t="s">
        <v>2805</v>
      </c>
      <c r="E1222" s="84">
        <v>0</v>
      </c>
      <c r="F1222" s="84" t="s">
        <v>2812</v>
      </c>
      <c r="G1222" s="84">
        <v>0</v>
      </c>
      <c r="H1222" s="84">
        <v>0</v>
      </c>
      <c r="I1222" s="84">
        <v>0</v>
      </c>
      <c r="J1222" s="84" t="s">
        <v>2805</v>
      </c>
    </row>
    <row r="1223" spans="1:10" ht="12.75" customHeight="1">
      <c r="A1223" s="83"/>
      <c r="B1223" s="83" t="s">
        <v>2822</v>
      </c>
      <c r="C1223" s="84" t="s">
        <v>2805</v>
      </c>
      <c r="D1223" s="84" t="s">
        <v>2812</v>
      </c>
      <c r="E1223" s="84">
        <v>0</v>
      </c>
      <c r="F1223" s="84" t="s">
        <v>2812</v>
      </c>
      <c r="G1223" s="84">
        <v>0</v>
      </c>
      <c r="H1223" s="84" t="s">
        <v>2812</v>
      </c>
      <c r="I1223" s="84">
        <v>0</v>
      </c>
      <c r="J1223" s="84" t="s">
        <v>2805</v>
      </c>
    </row>
    <row r="1224" spans="1:10" ht="12.75" customHeight="1">
      <c r="A1224" s="83"/>
      <c r="B1224" s="81" t="s">
        <v>2823</v>
      </c>
      <c r="C1224" s="84">
        <v>92</v>
      </c>
      <c r="D1224" s="84" t="s">
        <v>2812</v>
      </c>
      <c r="E1224" s="84">
        <v>0</v>
      </c>
      <c r="F1224" s="84">
        <v>0</v>
      </c>
      <c r="G1224" s="84" t="s">
        <v>2812</v>
      </c>
      <c r="H1224" s="84">
        <v>0</v>
      </c>
      <c r="I1224" s="84">
        <v>0</v>
      </c>
      <c r="J1224" s="84">
        <v>92</v>
      </c>
    </row>
    <row r="1225" spans="1:10" ht="12.75" customHeight="1">
      <c r="A1225" s="83"/>
      <c r="B1225" s="81"/>
      <c r="C1225" s="84"/>
      <c r="D1225" s="84"/>
      <c r="E1225" s="84"/>
      <c r="F1225" s="84"/>
      <c r="G1225" s="84"/>
      <c r="H1225" s="84"/>
      <c r="I1225" s="84"/>
      <c r="J1225" s="84"/>
    </row>
    <row r="1226" spans="1:10" s="71" customFormat="1" ht="12.75" customHeight="1">
      <c r="A1226" s="81" t="s">
        <v>2933</v>
      </c>
      <c r="B1226" s="81" t="s">
        <v>2934</v>
      </c>
      <c r="C1226" s="86"/>
      <c r="D1226" s="86"/>
      <c r="E1226" s="86"/>
      <c r="F1226" s="86"/>
      <c r="G1226" s="86"/>
      <c r="H1226" s="86"/>
      <c r="I1226" s="86"/>
      <c r="J1226" s="86"/>
    </row>
    <row r="1227" spans="1:10" s="71" customFormat="1" ht="12.75" customHeight="1">
      <c r="A1227" s="81"/>
      <c r="B1227" s="81"/>
      <c r="C1227" s="86"/>
      <c r="D1227" s="86"/>
      <c r="E1227" s="86"/>
      <c r="F1227" s="86"/>
      <c r="G1227" s="86"/>
      <c r="H1227" s="86"/>
      <c r="I1227" s="86"/>
      <c r="J1227" s="86"/>
    </row>
    <row r="1228" spans="1:10" s="71" customFormat="1" ht="12.75" customHeight="1">
      <c r="A1228" s="81"/>
      <c r="B1228" s="81"/>
      <c r="C1228" s="86"/>
      <c r="D1228" s="86"/>
      <c r="E1228" s="86"/>
      <c r="F1228" s="86"/>
      <c r="G1228" s="86"/>
      <c r="H1228" s="86"/>
      <c r="I1228" s="86"/>
      <c r="J1228" s="86"/>
    </row>
    <row r="1229" spans="1:10" ht="12.75" customHeight="1">
      <c r="A1229" s="83"/>
      <c r="B1229" s="81" t="s">
        <v>2803</v>
      </c>
      <c r="C1229" s="84">
        <v>106</v>
      </c>
      <c r="D1229" s="84">
        <v>5</v>
      </c>
      <c r="E1229" s="84">
        <v>0</v>
      </c>
      <c r="F1229" s="84">
        <v>1</v>
      </c>
      <c r="G1229" s="84">
        <v>18</v>
      </c>
      <c r="H1229" s="84" t="s">
        <v>2812</v>
      </c>
      <c r="I1229" s="84">
        <v>63</v>
      </c>
      <c r="J1229" s="84">
        <v>19</v>
      </c>
    </row>
    <row r="1230" spans="1:10" ht="12.75" customHeight="1">
      <c r="A1230" s="83"/>
      <c r="B1230" s="81" t="s">
        <v>2804</v>
      </c>
      <c r="C1230" s="84" t="s">
        <v>2805</v>
      </c>
      <c r="D1230" s="84" t="s">
        <v>2812</v>
      </c>
      <c r="E1230" s="84">
        <v>0</v>
      </c>
      <c r="F1230" s="84">
        <v>0</v>
      </c>
      <c r="G1230" s="84" t="s">
        <v>2812</v>
      </c>
      <c r="H1230" s="84">
        <v>0</v>
      </c>
      <c r="I1230" s="84">
        <v>0</v>
      </c>
      <c r="J1230" s="84" t="s">
        <v>2805</v>
      </c>
    </row>
    <row r="1231" spans="1:10" ht="12.75" customHeight="1">
      <c r="A1231" s="83"/>
      <c r="B1231" s="83" t="s">
        <v>2806</v>
      </c>
      <c r="C1231" s="84" t="s">
        <v>2805</v>
      </c>
      <c r="D1231" s="84" t="s">
        <v>2812</v>
      </c>
      <c r="E1231" s="84">
        <v>0</v>
      </c>
      <c r="F1231" s="84">
        <v>0</v>
      </c>
      <c r="G1231" s="84" t="s">
        <v>2812</v>
      </c>
      <c r="H1231" s="84">
        <v>0</v>
      </c>
      <c r="I1231" s="84">
        <v>0</v>
      </c>
      <c r="J1231" s="84" t="s">
        <v>2805</v>
      </c>
    </row>
    <row r="1232" spans="1:10" ht="12.75" customHeight="1">
      <c r="A1232" s="83"/>
      <c r="B1232" s="83" t="s">
        <v>2807</v>
      </c>
      <c r="C1232" s="84" t="s">
        <v>2805</v>
      </c>
      <c r="D1232" s="84">
        <v>0</v>
      </c>
      <c r="E1232" s="84">
        <v>0</v>
      </c>
      <c r="F1232" s="84">
        <v>0</v>
      </c>
      <c r="G1232" s="84">
        <v>0</v>
      </c>
      <c r="H1232" s="84">
        <v>0</v>
      </c>
      <c r="I1232" s="84">
        <v>0</v>
      </c>
      <c r="J1232" s="84" t="s">
        <v>2805</v>
      </c>
    </row>
    <row r="1233" spans="1:10" ht="12.75" customHeight="1">
      <c r="A1233" s="83"/>
      <c r="B1233" s="81" t="s">
        <v>2808</v>
      </c>
      <c r="C1233" s="84" t="s">
        <v>2805</v>
      </c>
      <c r="D1233" s="84">
        <v>4</v>
      </c>
      <c r="E1233" s="84">
        <v>0</v>
      </c>
      <c r="F1233" s="84" t="s">
        <v>2812</v>
      </c>
      <c r="G1233" s="84">
        <v>18</v>
      </c>
      <c r="H1233" s="84" t="s">
        <v>2812</v>
      </c>
      <c r="I1233" s="84">
        <v>63</v>
      </c>
      <c r="J1233" s="84" t="s">
        <v>2805</v>
      </c>
    </row>
    <row r="1234" spans="1:10" ht="12.75" customHeight="1">
      <c r="A1234" s="83"/>
      <c r="B1234" s="83" t="s">
        <v>2810</v>
      </c>
      <c r="C1234" s="84" t="s">
        <v>2805</v>
      </c>
      <c r="D1234" s="84">
        <v>1</v>
      </c>
      <c r="E1234" s="84">
        <v>0</v>
      </c>
      <c r="F1234" s="84" t="s">
        <v>2812</v>
      </c>
      <c r="G1234" s="84">
        <v>18</v>
      </c>
      <c r="H1234" s="84" t="s">
        <v>2812</v>
      </c>
      <c r="I1234" s="84">
        <v>63</v>
      </c>
      <c r="J1234" s="84" t="s">
        <v>2805</v>
      </c>
    </row>
    <row r="1235" spans="1:10" ht="12.75" customHeight="1">
      <c r="A1235" s="83"/>
      <c r="B1235" s="83" t="s">
        <v>2811</v>
      </c>
      <c r="C1235" s="84" t="s">
        <v>2805</v>
      </c>
      <c r="D1235" s="84" t="s">
        <v>2812</v>
      </c>
      <c r="E1235" s="84">
        <v>0</v>
      </c>
      <c r="F1235" s="84">
        <v>0</v>
      </c>
      <c r="G1235" s="84">
        <v>0</v>
      </c>
      <c r="H1235" s="84">
        <v>0</v>
      </c>
      <c r="I1235" s="84">
        <v>0</v>
      </c>
      <c r="J1235" s="84" t="s">
        <v>2805</v>
      </c>
    </row>
    <row r="1236" spans="1:10" ht="12.75" customHeight="1">
      <c r="A1236" s="83"/>
      <c r="B1236" s="83" t="s">
        <v>2813</v>
      </c>
      <c r="C1236" s="84" t="s">
        <v>2805</v>
      </c>
      <c r="D1236" s="84">
        <v>3</v>
      </c>
      <c r="E1236" s="84">
        <v>0</v>
      </c>
      <c r="F1236" s="84" t="s">
        <v>2812</v>
      </c>
      <c r="G1236" s="84">
        <v>1</v>
      </c>
      <c r="H1236" s="84" t="s">
        <v>2812</v>
      </c>
      <c r="I1236" s="84">
        <v>0</v>
      </c>
      <c r="J1236" s="84" t="s">
        <v>2805</v>
      </c>
    </row>
    <row r="1237" spans="1:10" ht="12.75" customHeight="1">
      <c r="A1237" s="83"/>
      <c r="B1237" s="83" t="s">
        <v>2814</v>
      </c>
      <c r="C1237" s="84" t="s">
        <v>2805</v>
      </c>
      <c r="D1237" s="84">
        <v>0</v>
      </c>
      <c r="E1237" s="84" t="s">
        <v>2805</v>
      </c>
      <c r="F1237" s="84" t="s">
        <v>2805</v>
      </c>
      <c r="G1237" s="84" t="s">
        <v>2805</v>
      </c>
      <c r="H1237" s="84" t="s">
        <v>2805</v>
      </c>
      <c r="I1237" s="84" t="s">
        <v>2805</v>
      </c>
      <c r="J1237" s="84" t="s">
        <v>2805</v>
      </c>
    </row>
    <row r="1238" spans="1:10" ht="12.75" customHeight="1">
      <c r="A1238" s="83"/>
      <c r="B1238" s="83" t="s">
        <v>2815</v>
      </c>
      <c r="C1238" s="84" t="s">
        <v>2805</v>
      </c>
      <c r="D1238" s="84" t="s">
        <v>2812</v>
      </c>
      <c r="E1238" s="84">
        <v>0</v>
      </c>
      <c r="F1238" s="84" t="s">
        <v>2812</v>
      </c>
      <c r="G1238" s="84">
        <v>0</v>
      </c>
      <c r="H1238" s="84">
        <v>0</v>
      </c>
      <c r="I1238" s="84">
        <v>0</v>
      </c>
      <c r="J1238" s="84" t="s">
        <v>2805</v>
      </c>
    </row>
    <row r="1239" spans="1:10" ht="12.75" customHeight="1">
      <c r="A1239" s="83"/>
      <c r="B1239" s="81" t="s">
        <v>2816</v>
      </c>
      <c r="C1239" s="84" t="s">
        <v>2805</v>
      </c>
      <c r="D1239" s="84" t="s">
        <v>2812</v>
      </c>
      <c r="E1239" s="84">
        <v>0</v>
      </c>
      <c r="F1239" s="84">
        <v>1</v>
      </c>
      <c r="G1239" s="84" t="s">
        <v>2812</v>
      </c>
      <c r="H1239" s="84" t="s">
        <v>2812</v>
      </c>
      <c r="I1239" s="84">
        <v>0</v>
      </c>
      <c r="J1239" s="84" t="s">
        <v>2805</v>
      </c>
    </row>
    <row r="1240" spans="1:10" ht="12.75" customHeight="1">
      <c r="A1240" s="83"/>
      <c r="B1240" s="83" t="s">
        <v>2817</v>
      </c>
      <c r="C1240" s="84" t="s">
        <v>2805</v>
      </c>
      <c r="D1240" s="84" t="s">
        <v>2812</v>
      </c>
      <c r="E1240" s="84">
        <v>0</v>
      </c>
      <c r="F1240" s="84">
        <v>0</v>
      </c>
      <c r="G1240" s="84" t="s">
        <v>2812</v>
      </c>
      <c r="H1240" s="84" t="s">
        <v>2812</v>
      </c>
      <c r="I1240" s="84">
        <v>0</v>
      </c>
      <c r="J1240" s="84" t="s">
        <v>2805</v>
      </c>
    </row>
    <row r="1241" spans="1:10" ht="12.75" customHeight="1">
      <c r="A1241" s="83"/>
      <c r="B1241" s="83" t="s">
        <v>2818</v>
      </c>
      <c r="C1241" s="84" t="s">
        <v>2805</v>
      </c>
      <c r="D1241" s="84" t="s">
        <v>2812</v>
      </c>
      <c r="E1241" s="84" t="s">
        <v>2805</v>
      </c>
      <c r="F1241" s="84" t="s">
        <v>2805</v>
      </c>
      <c r="G1241" s="84" t="s">
        <v>2805</v>
      </c>
      <c r="H1241" s="84" t="s">
        <v>2805</v>
      </c>
      <c r="I1241" s="84" t="s">
        <v>2805</v>
      </c>
      <c r="J1241" s="84" t="s">
        <v>2805</v>
      </c>
    </row>
    <row r="1242" spans="1:10" ht="12.75" customHeight="1">
      <c r="A1242" s="83"/>
      <c r="B1242" s="83" t="s">
        <v>2819</v>
      </c>
      <c r="C1242" s="84" t="s">
        <v>2805</v>
      </c>
      <c r="D1242" s="84" t="s">
        <v>2812</v>
      </c>
      <c r="E1242" s="84">
        <v>0</v>
      </c>
      <c r="F1242" s="84">
        <v>0</v>
      </c>
      <c r="G1242" s="84" t="s">
        <v>2812</v>
      </c>
      <c r="H1242" s="84" t="s">
        <v>2812</v>
      </c>
      <c r="I1242" s="84">
        <v>0</v>
      </c>
      <c r="J1242" s="84" t="s">
        <v>2805</v>
      </c>
    </row>
    <row r="1243" spans="1:10" ht="12.75" customHeight="1">
      <c r="A1243" s="83"/>
      <c r="B1243" s="83" t="s">
        <v>2820</v>
      </c>
      <c r="C1243" s="84" t="s">
        <v>2805</v>
      </c>
      <c r="D1243" s="84" t="s">
        <v>2812</v>
      </c>
      <c r="E1243" s="84" t="s">
        <v>2805</v>
      </c>
      <c r="F1243" s="84">
        <v>1</v>
      </c>
      <c r="G1243" s="84">
        <v>0</v>
      </c>
      <c r="H1243" s="84" t="s">
        <v>2812</v>
      </c>
      <c r="I1243" s="84" t="s">
        <v>2805</v>
      </c>
      <c r="J1243" s="84" t="s">
        <v>2805</v>
      </c>
    </row>
    <row r="1244" spans="1:10" ht="12.75" customHeight="1">
      <c r="A1244" s="83"/>
      <c r="B1244" s="83" t="s">
        <v>2821</v>
      </c>
      <c r="C1244" s="84" t="s">
        <v>2805</v>
      </c>
      <c r="D1244" s="84" t="s">
        <v>2805</v>
      </c>
      <c r="E1244" s="84">
        <v>0</v>
      </c>
      <c r="F1244" s="84">
        <v>0</v>
      </c>
      <c r="G1244" s="84">
        <v>0</v>
      </c>
      <c r="H1244" s="84">
        <v>0</v>
      </c>
      <c r="I1244" s="84">
        <v>0</v>
      </c>
      <c r="J1244" s="84" t="s">
        <v>2805</v>
      </c>
    </row>
    <row r="1245" spans="1:10" ht="12.75" customHeight="1">
      <c r="A1245" s="83"/>
      <c r="B1245" s="83" t="s">
        <v>2822</v>
      </c>
      <c r="C1245" s="84" t="s">
        <v>2805</v>
      </c>
      <c r="D1245" s="84" t="s">
        <v>2812</v>
      </c>
      <c r="E1245" s="84">
        <v>0</v>
      </c>
      <c r="F1245" s="84">
        <v>0</v>
      </c>
      <c r="G1245" s="84">
        <v>0</v>
      </c>
      <c r="H1245" s="84" t="s">
        <v>2812</v>
      </c>
      <c r="I1245" s="84">
        <v>0</v>
      </c>
      <c r="J1245" s="84" t="s">
        <v>2805</v>
      </c>
    </row>
    <row r="1246" spans="1:10" ht="12.75" customHeight="1">
      <c r="A1246" s="83"/>
      <c r="B1246" s="81" t="s">
        <v>2823</v>
      </c>
      <c r="C1246" s="84">
        <v>19</v>
      </c>
      <c r="D1246" s="84">
        <v>0</v>
      </c>
      <c r="E1246" s="84">
        <v>0</v>
      </c>
      <c r="F1246" s="84">
        <v>0</v>
      </c>
      <c r="G1246" s="84">
        <v>0</v>
      </c>
      <c r="H1246" s="84">
        <v>0</v>
      </c>
      <c r="I1246" s="84">
        <v>0</v>
      </c>
      <c r="J1246" s="84">
        <v>19</v>
      </c>
    </row>
    <row r="1247" spans="1:10" ht="12.75" customHeight="1">
      <c r="A1247" s="83"/>
      <c r="B1247" s="81"/>
      <c r="C1247" s="84"/>
      <c r="D1247" s="84"/>
      <c r="E1247" s="84"/>
      <c r="F1247" s="84"/>
      <c r="G1247" s="84"/>
      <c r="H1247" s="84"/>
      <c r="I1247" s="84"/>
      <c r="J1247" s="84"/>
    </row>
    <row r="1248" spans="1:10" s="71" customFormat="1" ht="12.75" customHeight="1">
      <c r="A1248" s="81" t="s">
        <v>2935</v>
      </c>
      <c r="B1248" s="81" t="s">
        <v>2936</v>
      </c>
      <c r="C1248" s="86"/>
      <c r="D1248" s="86"/>
      <c r="E1248" s="86"/>
      <c r="F1248" s="86"/>
      <c r="G1248" s="86"/>
      <c r="H1248" s="86"/>
      <c r="I1248" s="86"/>
      <c r="J1248" s="86"/>
    </row>
    <row r="1249" spans="1:10" s="71" customFormat="1" ht="12.75" customHeight="1">
      <c r="A1249" s="81"/>
      <c r="B1249" s="81"/>
      <c r="C1249" s="86"/>
      <c r="D1249" s="86"/>
      <c r="E1249" s="86"/>
      <c r="F1249" s="86"/>
      <c r="G1249" s="86"/>
      <c r="H1249" s="86"/>
      <c r="I1249" s="86"/>
      <c r="J1249" s="86"/>
    </row>
    <row r="1250" spans="1:10" s="71" customFormat="1" ht="12.75" customHeight="1">
      <c r="A1250" s="81"/>
      <c r="B1250" s="81"/>
      <c r="C1250" s="86"/>
      <c r="D1250" s="86"/>
      <c r="E1250" s="86"/>
      <c r="F1250" s="86"/>
      <c r="G1250" s="86"/>
      <c r="H1250" s="86"/>
      <c r="I1250" s="86"/>
      <c r="J1250" s="86"/>
    </row>
    <row r="1251" spans="1:10" ht="12.75" customHeight="1">
      <c r="A1251" s="83"/>
      <c r="B1251" s="81" t="s">
        <v>2803</v>
      </c>
      <c r="C1251" s="84">
        <v>59</v>
      </c>
      <c r="D1251" s="84">
        <v>5</v>
      </c>
      <c r="E1251" s="84">
        <v>0</v>
      </c>
      <c r="F1251" s="84">
        <v>1</v>
      </c>
      <c r="G1251" s="84">
        <v>52</v>
      </c>
      <c r="H1251" s="84" t="s">
        <v>2812</v>
      </c>
      <c r="I1251" s="84">
        <v>0</v>
      </c>
      <c r="J1251" s="84" t="s">
        <v>2812</v>
      </c>
    </row>
    <row r="1252" spans="1:10" ht="12.75" customHeight="1">
      <c r="A1252" s="83"/>
      <c r="B1252" s="81" t="s">
        <v>2804</v>
      </c>
      <c r="C1252" s="84" t="s">
        <v>2805</v>
      </c>
      <c r="D1252" s="84" t="s">
        <v>2812</v>
      </c>
      <c r="E1252" s="84">
        <v>0</v>
      </c>
      <c r="F1252" s="84">
        <v>0</v>
      </c>
      <c r="G1252" s="84">
        <v>1</v>
      </c>
      <c r="H1252" s="84">
        <v>0</v>
      </c>
      <c r="I1252" s="84">
        <v>0</v>
      </c>
      <c r="J1252" s="84" t="s">
        <v>2805</v>
      </c>
    </row>
    <row r="1253" spans="1:10" ht="12.75" customHeight="1">
      <c r="A1253" s="83"/>
      <c r="B1253" s="83" t="s">
        <v>2806</v>
      </c>
      <c r="C1253" s="84" t="s">
        <v>2805</v>
      </c>
      <c r="D1253" s="84" t="s">
        <v>2812</v>
      </c>
      <c r="E1253" s="84">
        <v>0</v>
      </c>
      <c r="F1253" s="84">
        <v>0</v>
      </c>
      <c r="G1253" s="84" t="s">
        <v>2812</v>
      </c>
      <c r="H1253" s="84">
        <v>0</v>
      </c>
      <c r="I1253" s="84">
        <v>0</v>
      </c>
      <c r="J1253" s="84" t="s">
        <v>2805</v>
      </c>
    </row>
    <row r="1254" spans="1:10" ht="12.75" customHeight="1">
      <c r="A1254" s="83"/>
      <c r="B1254" s="83" t="s">
        <v>2807</v>
      </c>
      <c r="C1254" s="84" t="s">
        <v>2805</v>
      </c>
      <c r="D1254" s="84">
        <v>0</v>
      </c>
      <c r="E1254" s="84">
        <v>0</v>
      </c>
      <c r="F1254" s="84">
        <v>0</v>
      </c>
      <c r="G1254" s="84">
        <v>1</v>
      </c>
      <c r="H1254" s="84">
        <v>0</v>
      </c>
      <c r="I1254" s="84">
        <v>0</v>
      </c>
      <c r="J1254" s="84" t="s">
        <v>2805</v>
      </c>
    </row>
    <row r="1255" spans="1:10" ht="12.75" customHeight="1">
      <c r="A1255" s="83"/>
      <c r="B1255" s="81" t="s">
        <v>2808</v>
      </c>
      <c r="C1255" s="84" t="s">
        <v>2805</v>
      </c>
      <c r="D1255" s="84">
        <v>4</v>
      </c>
      <c r="E1255" s="84">
        <v>0</v>
      </c>
      <c r="F1255" s="84" t="s">
        <v>2812</v>
      </c>
      <c r="G1255" s="84">
        <v>50</v>
      </c>
      <c r="H1255" s="84">
        <v>0</v>
      </c>
      <c r="I1255" s="84">
        <v>0</v>
      </c>
      <c r="J1255" s="84" t="s">
        <v>2805</v>
      </c>
    </row>
    <row r="1256" spans="1:10" ht="12.75" customHeight="1">
      <c r="A1256" s="83"/>
      <c r="B1256" s="83" t="s">
        <v>2810</v>
      </c>
      <c r="C1256" s="84" t="s">
        <v>2805</v>
      </c>
      <c r="D1256" s="84" t="s">
        <v>2812</v>
      </c>
      <c r="E1256" s="84">
        <v>0</v>
      </c>
      <c r="F1256" s="84" t="s">
        <v>2812</v>
      </c>
      <c r="G1256" s="84">
        <v>49</v>
      </c>
      <c r="H1256" s="84">
        <v>0</v>
      </c>
      <c r="I1256" s="84">
        <v>0</v>
      </c>
      <c r="J1256" s="84" t="s">
        <v>2805</v>
      </c>
    </row>
    <row r="1257" spans="1:10" ht="12.75" customHeight="1">
      <c r="A1257" s="83"/>
      <c r="B1257" s="83" t="s">
        <v>2811</v>
      </c>
      <c r="C1257" s="84" t="s">
        <v>2805</v>
      </c>
      <c r="D1257" s="84" t="s">
        <v>2812</v>
      </c>
      <c r="E1257" s="84">
        <v>0</v>
      </c>
      <c r="F1257" s="84">
        <v>0</v>
      </c>
      <c r="G1257" s="84" t="s">
        <v>2812</v>
      </c>
      <c r="H1257" s="84">
        <v>0</v>
      </c>
      <c r="I1257" s="84">
        <v>0</v>
      </c>
      <c r="J1257" s="84" t="s">
        <v>2805</v>
      </c>
    </row>
    <row r="1258" spans="1:10" ht="12.75" customHeight="1">
      <c r="A1258" s="83"/>
      <c r="B1258" s="83" t="s">
        <v>2813</v>
      </c>
      <c r="C1258" s="84" t="s">
        <v>2805</v>
      </c>
      <c r="D1258" s="84">
        <v>4</v>
      </c>
      <c r="E1258" s="84">
        <v>0</v>
      </c>
      <c r="F1258" s="84" t="s">
        <v>2812</v>
      </c>
      <c r="G1258" s="84">
        <v>1</v>
      </c>
      <c r="H1258" s="84">
        <v>0</v>
      </c>
      <c r="I1258" s="84">
        <v>0</v>
      </c>
      <c r="J1258" s="84" t="s">
        <v>2805</v>
      </c>
    </row>
    <row r="1259" spans="1:10" ht="12.75" customHeight="1">
      <c r="A1259" s="83"/>
      <c r="B1259" s="83" t="s">
        <v>2814</v>
      </c>
      <c r="C1259" s="84" t="s">
        <v>2805</v>
      </c>
      <c r="D1259" s="84">
        <v>0</v>
      </c>
      <c r="E1259" s="84" t="s">
        <v>2805</v>
      </c>
      <c r="F1259" s="84" t="s">
        <v>2805</v>
      </c>
      <c r="G1259" s="84" t="s">
        <v>2805</v>
      </c>
      <c r="H1259" s="84" t="s">
        <v>2805</v>
      </c>
      <c r="I1259" s="84" t="s">
        <v>2805</v>
      </c>
      <c r="J1259" s="84" t="s">
        <v>2805</v>
      </c>
    </row>
    <row r="1260" spans="1:10" ht="12.75" customHeight="1">
      <c r="A1260" s="83"/>
      <c r="B1260" s="83" t="s">
        <v>2815</v>
      </c>
      <c r="C1260" s="84" t="s">
        <v>2805</v>
      </c>
      <c r="D1260" s="84" t="s">
        <v>2812</v>
      </c>
      <c r="E1260" s="84">
        <v>0</v>
      </c>
      <c r="F1260" s="84">
        <v>0</v>
      </c>
      <c r="G1260" s="84">
        <v>0</v>
      </c>
      <c r="H1260" s="84">
        <v>0</v>
      </c>
      <c r="I1260" s="84">
        <v>0</v>
      </c>
      <c r="J1260" s="84" t="s">
        <v>2805</v>
      </c>
    </row>
    <row r="1261" spans="1:10" ht="12.75" customHeight="1">
      <c r="A1261" s="83"/>
      <c r="B1261" s="81" t="s">
        <v>2816</v>
      </c>
      <c r="C1261" s="84" t="s">
        <v>2805</v>
      </c>
      <c r="D1261" s="84">
        <v>1</v>
      </c>
      <c r="E1261" s="84">
        <v>0</v>
      </c>
      <c r="F1261" s="84">
        <v>1</v>
      </c>
      <c r="G1261" s="84">
        <v>1</v>
      </c>
      <c r="H1261" s="84" t="s">
        <v>2812</v>
      </c>
      <c r="I1261" s="84">
        <v>0</v>
      </c>
      <c r="J1261" s="84" t="s">
        <v>2805</v>
      </c>
    </row>
    <row r="1262" spans="1:10" ht="12.75" customHeight="1">
      <c r="A1262" s="83"/>
      <c r="B1262" s="83" t="s">
        <v>2817</v>
      </c>
      <c r="C1262" s="84" t="s">
        <v>2805</v>
      </c>
      <c r="D1262" s="84" t="s">
        <v>2812</v>
      </c>
      <c r="E1262" s="84">
        <v>0</v>
      </c>
      <c r="F1262" s="84" t="s">
        <v>2812</v>
      </c>
      <c r="G1262" s="84">
        <v>1</v>
      </c>
      <c r="H1262" s="84" t="s">
        <v>2812</v>
      </c>
      <c r="I1262" s="84">
        <v>0</v>
      </c>
      <c r="J1262" s="84" t="s">
        <v>2805</v>
      </c>
    </row>
    <row r="1263" spans="1:10" ht="12.75" customHeight="1">
      <c r="A1263" s="83"/>
      <c r="B1263" s="83" t="s">
        <v>2818</v>
      </c>
      <c r="C1263" s="84" t="s">
        <v>2805</v>
      </c>
      <c r="D1263" s="84" t="s">
        <v>2812</v>
      </c>
      <c r="E1263" s="84" t="s">
        <v>2805</v>
      </c>
      <c r="F1263" s="84" t="s">
        <v>2805</v>
      </c>
      <c r="G1263" s="84" t="s">
        <v>2805</v>
      </c>
      <c r="H1263" s="84" t="s">
        <v>2805</v>
      </c>
      <c r="I1263" s="84" t="s">
        <v>2805</v>
      </c>
      <c r="J1263" s="84" t="s">
        <v>2805</v>
      </c>
    </row>
    <row r="1264" spans="1:10" ht="12.75" customHeight="1">
      <c r="A1264" s="83"/>
      <c r="B1264" s="83" t="s">
        <v>2819</v>
      </c>
      <c r="C1264" s="84" t="s">
        <v>2805</v>
      </c>
      <c r="D1264" s="84" t="s">
        <v>2812</v>
      </c>
      <c r="E1264" s="84">
        <v>0</v>
      </c>
      <c r="F1264" s="84" t="s">
        <v>2812</v>
      </c>
      <c r="G1264" s="84" t="s">
        <v>2812</v>
      </c>
      <c r="H1264" s="84">
        <v>0</v>
      </c>
      <c r="I1264" s="84">
        <v>0</v>
      </c>
      <c r="J1264" s="84" t="s">
        <v>2805</v>
      </c>
    </row>
    <row r="1265" spans="1:10" ht="12.75" customHeight="1">
      <c r="A1265" s="83"/>
      <c r="B1265" s="83" t="s">
        <v>2820</v>
      </c>
      <c r="C1265" s="84" t="s">
        <v>2805</v>
      </c>
      <c r="D1265" s="84" t="s">
        <v>2812</v>
      </c>
      <c r="E1265" s="84" t="s">
        <v>2805</v>
      </c>
      <c r="F1265" s="84">
        <v>1</v>
      </c>
      <c r="G1265" s="84" t="s">
        <v>2812</v>
      </c>
      <c r="H1265" s="84" t="s">
        <v>2812</v>
      </c>
      <c r="I1265" s="84" t="s">
        <v>2805</v>
      </c>
      <c r="J1265" s="84" t="s">
        <v>2805</v>
      </c>
    </row>
    <row r="1266" spans="1:10" ht="12.75" customHeight="1">
      <c r="A1266" s="83"/>
      <c r="B1266" s="83" t="s">
        <v>2821</v>
      </c>
      <c r="C1266" s="84" t="s">
        <v>2805</v>
      </c>
      <c r="D1266" s="84" t="s">
        <v>2805</v>
      </c>
      <c r="E1266" s="84">
        <v>0</v>
      </c>
      <c r="F1266" s="84" t="s">
        <v>2812</v>
      </c>
      <c r="G1266" s="84">
        <v>0</v>
      </c>
      <c r="H1266" s="84">
        <v>0</v>
      </c>
      <c r="I1266" s="84">
        <v>0</v>
      </c>
      <c r="J1266" s="84" t="s">
        <v>2805</v>
      </c>
    </row>
    <row r="1267" spans="1:10" ht="12.75" customHeight="1">
      <c r="A1267" s="83"/>
      <c r="B1267" s="87" t="s">
        <v>2822</v>
      </c>
      <c r="C1267" s="84" t="s">
        <v>2805</v>
      </c>
      <c r="D1267" s="84" t="s">
        <v>2812</v>
      </c>
      <c r="E1267" s="84">
        <v>0</v>
      </c>
      <c r="F1267" s="84" t="s">
        <v>2812</v>
      </c>
      <c r="G1267" s="84">
        <v>0</v>
      </c>
      <c r="H1267" s="84" t="s">
        <v>2812</v>
      </c>
      <c r="I1267" s="84">
        <v>0</v>
      </c>
      <c r="J1267" s="84" t="s">
        <v>2805</v>
      </c>
    </row>
    <row r="1268" spans="1:10" ht="12.75" customHeight="1">
      <c r="A1268" s="83"/>
      <c r="B1268" s="81" t="s">
        <v>2823</v>
      </c>
      <c r="C1268" s="84" t="s">
        <v>2812</v>
      </c>
      <c r="D1268" s="84" t="s">
        <v>2812</v>
      </c>
      <c r="E1268" s="84">
        <v>0</v>
      </c>
      <c r="F1268" s="84">
        <v>0</v>
      </c>
      <c r="G1268" s="84" t="s">
        <v>2812</v>
      </c>
      <c r="H1268" s="84" t="s">
        <v>2812</v>
      </c>
      <c r="I1268" s="84">
        <v>0</v>
      </c>
      <c r="J1268" s="84" t="s">
        <v>2812</v>
      </c>
    </row>
    <row r="1269" spans="1:10" ht="12.75" customHeight="1">
      <c r="A1269" s="83"/>
      <c r="B1269" s="83"/>
      <c r="C1269" s="84"/>
      <c r="D1269" s="84"/>
      <c r="E1269" s="84"/>
      <c r="F1269" s="84"/>
      <c r="G1269" s="84"/>
      <c r="H1269" s="84"/>
      <c r="I1269" s="84"/>
      <c r="J1269" s="84"/>
    </row>
    <row r="1270" spans="1:10" s="71" customFormat="1" ht="12.75" customHeight="1">
      <c r="A1270" s="81" t="s">
        <v>2937</v>
      </c>
      <c r="B1270" s="81" t="s">
        <v>2938</v>
      </c>
      <c r="C1270" s="86"/>
      <c r="D1270" s="86"/>
      <c r="E1270" s="86"/>
      <c r="F1270" s="86"/>
      <c r="G1270" s="86"/>
      <c r="H1270" s="86"/>
      <c r="I1270" s="86"/>
      <c r="J1270" s="86"/>
    </row>
    <row r="1271" spans="1:10" s="71" customFormat="1" ht="12.75" customHeight="1">
      <c r="A1271" s="81"/>
      <c r="B1271" s="81"/>
      <c r="C1271" s="86"/>
      <c r="D1271" s="86"/>
      <c r="E1271" s="86"/>
      <c r="F1271" s="86"/>
      <c r="G1271" s="86"/>
      <c r="H1271" s="86"/>
      <c r="I1271" s="86"/>
      <c r="J1271" s="86"/>
    </row>
    <row r="1272" spans="1:10" s="71" customFormat="1" ht="12.75" customHeight="1">
      <c r="A1272" s="81"/>
      <c r="B1272" s="81"/>
      <c r="C1272" s="86"/>
      <c r="D1272" s="86"/>
      <c r="E1272" s="86"/>
      <c r="F1272" s="86"/>
      <c r="G1272" s="86"/>
      <c r="H1272" s="86"/>
      <c r="I1272" s="86"/>
      <c r="J1272" s="86"/>
    </row>
    <row r="1273" spans="1:10" ht="12.75" customHeight="1">
      <c r="A1273" s="83"/>
      <c r="B1273" s="81" t="s">
        <v>2803</v>
      </c>
      <c r="C1273" s="84">
        <v>33</v>
      </c>
      <c r="D1273" s="84">
        <v>11</v>
      </c>
      <c r="E1273" s="84">
        <v>0</v>
      </c>
      <c r="F1273" s="84" t="s">
        <v>2812</v>
      </c>
      <c r="G1273" s="84">
        <v>22</v>
      </c>
      <c r="H1273" s="84" t="s">
        <v>2812</v>
      </c>
      <c r="I1273" s="84" t="s">
        <v>2812</v>
      </c>
      <c r="J1273" s="84" t="s">
        <v>2812</v>
      </c>
    </row>
    <row r="1274" spans="1:10" ht="12.75" customHeight="1">
      <c r="A1274" s="83"/>
      <c r="B1274" s="81" t="s">
        <v>2804</v>
      </c>
      <c r="C1274" s="84" t="s">
        <v>2805</v>
      </c>
      <c r="D1274" s="84" t="s">
        <v>2812</v>
      </c>
      <c r="E1274" s="84">
        <v>0</v>
      </c>
      <c r="F1274" s="84">
        <v>0</v>
      </c>
      <c r="G1274" s="84" t="s">
        <v>2812</v>
      </c>
      <c r="H1274" s="84">
        <v>0</v>
      </c>
      <c r="I1274" s="84">
        <v>0</v>
      </c>
      <c r="J1274" s="84" t="s">
        <v>2805</v>
      </c>
    </row>
    <row r="1275" spans="1:10" ht="12.75" customHeight="1">
      <c r="A1275" s="83"/>
      <c r="B1275" s="83" t="s">
        <v>2806</v>
      </c>
      <c r="C1275" s="84" t="s">
        <v>2805</v>
      </c>
      <c r="D1275" s="84" t="s">
        <v>2812</v>
      </c>
      <c r="E1275" s="84">
        <v>0</v>
      </c>
      <c r="F1275" s="84">
        <v>0</v>
      </c>
      <c r="G1275" s="84" t="s">
        <v>2812</v>
      </c>
      <c r="H1275" s="84">
        <v>0</v>
      </c>
      <c r="I1275" s="84">
        <v>0</v>
      </c>
      <c r="J1275" s="84" t="s">
        <v>2805</v>
      </c>
    </row>
    <row r="1276" spans="1:10" ht="12.75" customHeight="1">
      <c r="A1276" s="83"/>
      <c r="B1276" s="83" t="s">
        <v>2807</v>
      </c>
      <c r="C1276" s="84" t="s">
        <v>2805</v>
      </c>
      <c r="D1276" s="84">
        <v>0</v>
      </c>
      <c r="E1276" s="84">
        <v>0</v>
      </c>
      <c r="F1276" s="84">
        <v>0</v>
      </c>
      <c r="G1276" s="84" t="s">
        <v>2812</v>
      </c>
      <c r="H1276" s="84">
        <v>0</v>
      </c>
      <c r="I1276" s="84">
        <v>0</v>
      </c>
      <c r="J1276" s="84" t="s">
        <v>2805</v>
      </c>
    </row>
    <row r="1277" spans="1:10" ht="12.75" customHeight="1">
      <c r="A1277" s="83"/>
      <c r="B1277" s="81" t="s">
        <v>2808</v>
      </c>
      <c r="C1277" s="84" t="s">
        <v>2805</v>
      </c>
      <c r="D1277" s="84">
        <v>9</v>
      </c>
      <c r="E1277" s="84">
        <v>0</v>
      </c>
      <c r="F1277" s="84" t="s">
        <v>2812</v>
      </c>
      <c r="G1277" s="84">
        <v>20</v>
      </c>
      <c r="H1277" s="84" t="s">
        <v>2812</v>
      </c>
      <c r="I1277" s="84" t="s">
        <v>2812</v>
      </c>
      <c r="J1277" s="84" t="s">
        <v>2805</v>
      </c>
    </row>
    <row r="1278" spans="1:10" ht="12.75" customHeight="1">
      <c r="A1278" s="83"/>
      <c r="B1278" s="83" t="s">
        <v>2810</v>
      </c>
      <c r="C1278" s="84" t="s">
        <v>2805</v>
      </c>
      <c r="D1278" s="84">
        <v>4</v>
      </c>
      <c r="E1278" s="84">
        <v>0</v>
      </c>
      <c r="F1278" s="84" t="s">
        <v>2812</v>
      </c>
      <c r="G1278" s="84">
        <v>19</v>
      </c>
      <c r="H1278" s="84" t="s">
        <v>2812</v>
      </c>
      <c r="I1278" s="84" t="s">
        <v>2812</v>
      </c>
      <c r="J1278" s="84" t="s">
        <v>2805</v>
      </c>
    </row>
    <row r="1279" spans="1:10" ht="12.75" customHeight="1">
      <c r="A1279" s="83"/>
      <c r="B1279" s="83" t="s">
        <v>2811</v>
      </c>
      <c r="C1279" s="84" t="s">
        <v>2805</v>
      </c>
      <c r="D1279" s="84">
        <v>1</v>
      </c>
      <c r="E1279" s="84">
        <v>0</v>
      </c>
      <c r="F1279" s="84">
        <v>0</v>
      </c>
      <c r="G1279" s="84" t="s">
        <v>2812</v>
      </c>
      <c r="H1279" s="84">
        <v>0</v>
      </c>
      <c r="I1279" s="84">
        <v>0</v>
      </c>
      <c r="J1279" s="84" t="s">
        <v>2805</v>
      </c>
    </row>
    <row r="1280" spans="1:10" ht="12.75" customHeight="1">
      <c r="A1280" s="83"/>
      <c r="B1280" s="83" t="s">
        <v>2813</v>
      </c>
      <c r="C1280" s="84" t="s">
        <v>2805</v>
      </c>
      <c r="D1280" s="84">
        <v>5</v>
      </c>
      <c r="E1280" s="84">
        <v>0</v>
      </c>
      <c r="F1280" s="84" t="s">
        <v>2812</v>
      </c>
      <c r="G1280" s="84" t="s">
        <v>2812</v>
      </c>
      <c r="H1280" s="84" t="s">
        <v>2812</v>
      </c>
      <c r="I1280" s="84">
        <v>0</v>
      </c>
      <c r="J1280" s="84" t="s">
        <v>2805</v>
      </c>
    </row>
    <row r="1281" spans="1:10" ht="12.75" customHeight="1">
      <c r="A1281" s="83"/>
      <c r="B1281" s="83" t="s">
        <v>2814</v>
      </c>
      <c r="C1281" s="84" t="s">
        <v>2805</v>
      </c>
      <c r="D1281" s="84" t="s">
        <v>2812</v>
      </c>
      <c r="E1281" s="84" t="s">
        <v>2805</v>
      </c>
      <c r="F1281" s="84" t="s">
        <v>2805</v>
      </c>
      <c r="G1281" s="84" t="s">
        <v>2805</v>
      </c>
      <c r="H1281" s="84" t="s">
        <v>2805</v>
      </c>
      <c r="I1281" s="84" t="s">
        <v>2805</v>
      </c>
      <c r="J1281" s="84" t="s">
        <v>2805</v>
      </c>
    </row>
    <row r="1282" spans="1:10" ht="12.75" customHeight="1">
      <c r="A1282" s="83"/>
      <c r="B1282" s="83" t="s">
        <v>2815</v>
      </c>
      <c r="C1282" s="84" t="s">
        <v>2805</v>
      </c>
      <c r="D1282" s="84" t="s">
        <v>2812</v>
      </c>
      <c r="E1282" s="84">
        <v>0</v>
      </c>
      <c r="F1282" s="84" t="s">
        <v>2812</v>
      </c>
      <c r="G1282" s="84" t="s">
        <v>2812</v>
      </c>
      <c r="H1282" s="84">
        <v>0</v>
      </c>
      <c r="I1282" s="84">
        <v>0</v>
      </c>
      <c r="J1282" s="84" t="s">
        <v>2805</v>
      </c>
    </row>
    <row r="1283" spans="1:10" ht="12.75" customHeight="1">
      <c r="A1283" s="83"/>
      <c r="B1283" s="81" t="s">
        <v>2816</v>
      </c>
      <c r="C1283" s="84" t="s">
        <v>2805</v>
      </c>
      <c r="D1283" s="84">
        <v>1</v>
      </c>
      <c r="E1283" s="84">
        <v>0</v>
      </c>
      <c r="F1283" s="84" t="s">
        <v>2812</v>
      </c>
      <c r="G1283" s="84">
        <v>2</v>
      </c>
      <c r="H1283" s="84" t="s">
        <v>2812</v>
      </c>
      <c r="I1283" s="84">
        <v>0</v>
      </c>
      <c r="J1283" s="84" t="s">
        <v>2805</v>
      </c>
    </row>
    <row r="1284" spans="1:10" ht="12.75" customHeight="1">
      <c r="A1284" s="83"/>
      <c r="B1284" s="83" t="s">
        <v>2817</v>
      </c>
      <c r="C1284" s="84" t="s">
        <v>2805</v>
      </c>
      <c r="D1284" s="84">
        <v>1</v>
      </c>
      <c r="E1284" s="84">
        <v>0</v>
      </c>
      <c r="F1284" s="84" t="s">
        <v>2812</v>
      </c>
      <c r="G1284" s="84">
        <v>1</v>
      </c>
      <c r="H1284" s="84" t="s">
        <v>2812</v>
      </c>
      <c r="I1284" s="84">
        <v>0</v>
      </c>
      <c r="J1284" s="84" t="s">
        <v>2805</v>
      </c>
    </row>
    <row r="1285" spans="1:10" ht="12.75" customHeight="1">
      <c r="A1285" s="83"/>
      <c r="B1285" s="83" t="s">
        <v>2818</v>
      </c>
      <c r="C1285" s="84" t="s">
        <v>2805</v>
      </c>
      <c r="D1285" s="84">
        <v>1</v>
      </c>
      <c r="E1285" s="84" t="s">
        <v>2805</v>
      </c>
      <c r="F1285" s="84" t="s">
        <v>2805</v>
      </c>
      <c r="G1285" s="84" t="s">
        <v>2805</v>
      </c>
      <c r="H1285" s="84" t="s">
        <v>2805</v>
      </c>
      <c r="I1285" s="84" t="s">
        <v>2805</v>
      </c>
      <c r="J1285" s="84" t="s">
        <v>2805</v>
      </c>
    </row>
    <row r="1286" spans="1:10" ht="12.75" customHeight="1">
      <c r="A1286" s="83"/>
      <c r="B1286" s="83" t="s">
        <v>2819</v>
      </c>
      <c r="C1286" s="84" t="s">
        <v>2805</v>
      </c>
      <c r="D1286" s="84" t="s">
        <v>2812</v>
      </c>
      <c r="E1286" s="84">
        <v>0</v>
      </c>
      <c r="F1286" s="84" t="s">
        <v>2812</v>
      </c>
      <c r="G1286" s="84" t="s">
        <v>2812</v>
      </c>
      <c r="H1286" s="84">
        <v>0</v>
      </c>
      <c r="I1286" s="84">
        <v>0</v>
      </c>
      <c r="J1286" s="84" t="s">
        <v>2805</v>
      </c>
    </row>
    <row r="1287" spans="1:10" ht="12.75" customHeight="1">
      <c r="A1287" s="83"/>
      <c r="B1287" s="83" t="s">
        <v>2820</v>
      </c>
      <c r="C1287" s="84" t="s">
        <v>2805</v>
      </c>
      <c r="D1287" s="84" t="s">
        <v>2812</v>
      </c>
      <c r="E1287" s="84" t="s">
        <v>2805</v>
      </c>
      <c r="F1287" s="84" t="s">
        <v>2812</v>
      </c>
      <c r="G1287" s="84" t="s">
        <v>2812</v>
      </c>
      <c r="H1287" s="84" t="s">
        <v>2812</v>
      </c>
      <c r="I1287" s="84" t="s">
        <v>2805</v>
      </c>
      <c r="J1287" s="84" t="s">
        <v>2805</v>
      </c>
    </row>
    <row r="1288" spans="1:10" ht="12.75" customHeight="1">
      <c r="A1288" s="83"/>
      <c r="B1288" s="83" t="s">
        <v>2821</v>
      </c>
      <c r="C1288" s="84" t="s">
        <v>2805</v>
      </c>
      <c r="D1288" s="84" t="s">
        <v>2805</v>
      </c>
      <c r="E1288" s="84">
        <v>0</v>
      </c>
      <c r="F1288" s="84" t="s">
        <v>2812</v>
      </c>
      <c r="G1288" s="84" t="s">
        <v>2812</v>
      </c>
      <c r="H1288" s="84">
        <v>0</v>
      </c>
      <c r="I1288" s="84">
        <v>0</v>
      </c>
      <c r="J1288" s="84" t="s">
        <v>2805</v>
      </c>
    </row>
    <row r="1289" spans="1:10" ht="12.75" customHeight="1">
      <c r="A1289" s="83"/>
      <c r="B1289" s="83" t="s">
        <v>2822</v>
      </c>
      <c r="C1289" s="84" t="s">
        <v>2805</v>
      </c>
      <c r="D1289" s="84" t="s">
        <v>2812</v>
      </c>
      <c r="E1289" s="84">
        <v>0</v>
      </c>
      <c r="F1289" s="84" t="s">
        <v>2812</v>
      </c>
      <c r="G1289" s="84">
        <v>0</v>
      </c>
      <c r="H1289" s="84">
        <v>0</v>
      </c>
      <c r="I1289" s="84">
        <v>0</v>
      </c>
      <c r="J1289" s="84" t="s">
        <v>2805</v>
      </c>
    </row>
    <row r="1290" spans="1:10" ht="12.75" customHeight="1">
      <c r="A1290" s="83"/>
      <c r="B1290" s="81" t="s">
        <v>2823</v>
      </c>
      <c r="C1290" s="84" t="s">
        <v>2812</v>
      </c>
      <c r="D1290" s="84" t="s">
        <v>2812</v>
      </c>
      <c r="E1290" s="84">
        <v>0</v>
      </c>
      <c r="F1290" s="84">
        <v>0</v>
      </c>
      <c r="G1290" s="84">
        <v>0</v>
      </c>
      <c r="H1290" s="84">
        <v>0</v>
      </c>
      <c r="I1290" s="84">
        <v>0</v>
      </c>
      <c r="J1290" s="84" t="s">
        <v>2812</v>
      </c>
    </row>
    <row r="1291" spans="1:10" ht="12.75" customHeight="1">
      <c r="A1291" s="83"/>
      <c r="B1291" s="81"/>
      <c r="C1291" s="84"/>
      <c r="D1291" s="84"/>
      <c r="E1291" s="84"/>
      <c r="F1291" s="84"/>
      <c r="G1291" s="84"/>
      <c r="H1291" s="84"/>
      <c r="I1291" s="84"/>
      <c r="J1291" s="84"/>
    </row>
    <row r="1292" spans="1:10" ht="12.75" customHeight="1">
      <c r="A1292" s="81" t="s">
        <v>2939</v>
      </c>
      <c r="B1292" s="81" t="s">
        <v>2940</v>
      </c>
      <c r="C1292" s="84"/>
      <c r="D1292" s="84"/>
      <c r="E1292" s="84"/>
      <c r="F1292" s="84"/>
      <c r="G1292" s="84"/>
      <c r="H1292" s="84"/>
      <c r="I1292" s="84"/>
      <c r="J1292" s="84"/>
    </row>
    <row r="1293" spans="1:10" ht="12.75" customHeight="1">
      <c r="A1293" s="83"/>
      <c r="B1293" s="83"/>
      <c r="C1293" s="84"/>
      <c r="D1293" s="84"/>
      <c r="E1293" s="84"/>
      <c r="F1293" s="84"/>
      <c r="G1293" s="84"/>
      <c r="H1293" s="84"/>
      <c r="I1293" s="84"/>
      <c r="J1293" s="84"/>
    </row>
    <row r="1294" spans="1:10" ht="12.75" customHeight="1">
      <c r="A1294" s="83"/>
      <c r="B1294" s="83"/>
      <c r="C1294" s="84"/>
      <c r="D1294" s="84"/>
      <c r="E1294" s="84"/>
      <c r="F1294" s="84"/>
      <c r="G1294" s="84"/>
      <c r="H1294" s="84"/>
      <c r="I1294" s="84"/>
      <c r="J1294" s="84"/>
    </row>
    <row r="1295" spans="1:10" ht="12.75" customHeight="1">
      <c r="A1295" s="83"/>
      <c r="B1295" s="81" t="s">
        <v>2803</v>
      </c>
      <c r="C1295" s="84">
        <v>1588</v>
      </c>
      <c r="D1295" s="84">
        <v>385</v>
      </c>
      <c r="E1295" s="84" t="s">
        <v>2812</v>
      </c>
      <c r="F1295" s="84">
        <v>6</v>
      </c>
      <c r="G1295" s="84">
        <v>639</v>
      </c>
      <c r="H1295" s="84">
        <v>3</v>
      </c>
      <c r="I1295" s="84">
        <v>26</v>
      </c>
      <c r="J1295" s="84">
        <v>527</v>
      </c>
    </row>
    <row r="1296" spans="1:10" ht="12.75" customHeight="1">
      <c r="A1296" s="83"/>
      <c r="B1296" s="81" t="s">
        <v>2804</v>
      </c>
      <c r="C1296" s="84" t="s">
        <v>2805</v>
      </c>
      <c r="D1296" s="84">
        <v>2</v>
      </c>
      <c r="E1296" s="84" t="s">
        <v>2812</v>
      </c>
      <c r="F1296" s="84" t="s">
        <v>2812</v>
      </c>
      <c r="G1296" s="84">
        <v>68</v>
      </c>
      <c r="H1296" s="84" t="s">
        <v>2812</v>
      </c>
      <c r="I1296" s="84">
        <v>0</v>
      </c>
      <c r="J1296" s="84" t="s">
        <v>2805</v>
      </c>
    </row>
    <row r="1297" spans="1:10" ht="12.75" customHeight="1">
      <c r="A1297" s="83"/>
      <c r="B1297" s="83" t="s">
        <v>2806</v>
      </c>
      <c r="C1297" s="84" t="s">
        <v>2805</v>
      </c>
      <c r="D1297" s="84">
        <v>2</v>
      </c>
      <c r="E1297" s="84" t="s">
        <v>2812</v>
      </c>
      <c r="F1297" s="84" t="s">
        <v>2812</v>
      </c>
      <c r="G1297" s="84">
        <v>21</v>
      </c>
      <c r="H1297" s="84" t="s">
        <v>2812</v>
      </c>
      <c r="I1297" s="84">
        <v>0</v>
      </c>
      <c r="J1297" s="84" t="s">
        <v>2805</v>
      </c>
    </row>
    <row r="1298" spans="1:10" ht="12.75" customHeight="1">
      <c r="A1298" s="83"/>
      <c r="B1298" s="83" t="s">
        <v>2807</v>
      </c>
      <c r="C1298" s="84" t="s">
        <v>2805</v>
      </c>
      <c r="D1298" s="84">
        <v>0</v>
      </c>
      <c r="E1298" s="84" t="s">
        <v>2812</v>
      </c>
      <c r="F1298" s="84" t="s">
        <v>2812</v>
      </c>
      <c r="G1298" s="84">
        <v>47</v>
      </c>
      <c r="H1298" s="84" t="s">
        <v>2812</v>
      </c>
      <c r="I1298" s="84">
        <v>0</v>
      </c>
      <c r="J1298" s="84" t="s">
        <v>2805</v>
      </c>
    </row>
    <row r="1299" spans="1:10" ht="12.75" customHeight="1">
      <c r="A1299" s="83"/>
      <c r="B1299" s="81" t="s">
        <v>2808</v>
      </c>
      <c r="C1299" s="84" t="s">
        <v>2805</v>
      </c>
      <c r="D1299" s="84">
        <v>349</v>
      </c>
      <c r="E1299" s="84" t="s">
        <v>2812</v>
      </c>
      <c r="F1299" s="84">
        <v>1</v>
      </c>
      <c r="G1299" s="84">
        <v>524</v>
      </c>
      <c r="H1299" s="84">
        <v>1</v>
      </c>
      <c r="I1299" s="84">
        <v>26</v>
      </c>
      <c r="J1299" s="84" t="s">
        <v>2805</v>
      </c>
    </row>
    <row r="1300" spans="1:10" ht="12.75" customHeight="1">
      <c r="A1300" s="83"/>
      <c r="B1300" s="83" t="s">
        <v>2810</v>
      </c>
      <c r="C1300" s="84" t="s">
        <v>2805</v>
      </c>
      <c r="D1300" s="84">
        <v>128</v>
      </c>
      <c r="E1300" s="84">
        <v>0</v>
      </c>
      <c r="F1300" s="84" t="s">
        <v>2812</v>
      </c>
      <c r="G1300" s="84">
        <v>480</v>
      </c>
      <c r="H1300" s="84">
        <v>1</v>
      </c>
      <c r="I1300" s="84">
        <v>7</v>
      </c>
      <c r="J1300" s="84" t="s">
        <v>2805</v>
      </c>
    </row>
    <row r="1301" spans="1:10" ht="12.75" customHeight="1">
      <c r="A1301" s="83"/>
      <c r="B1301" s="83" t="s">
        <v>2811</v>
      </c>
      <c r="C1301" s="84" t="s">
        <v>2805</v>
      </c>
      <c r="D1301" s="84">
        <v>11</v>
      </c>
      <c r="E1301" s="84">
        <v>0</v>
      </c>
      <c r="F1301" s="84" t="s">
        <v>2812</v>
      </c>
      <c r="G1301" s="84">
        <v>3</v>
      </c>
      <c r="H1301" s="84" t="s">
        <v>2812</v>
      </c>
      <c r="I1301" s="84">
        <v>0</v>
      </c>
      <c r="J1301" s="84" t="s">
        <v>2805</v>
      </c>
    </row>
    <row r="1302" spans="1:10" ht="12.75" customHeight="1">
      <c r="A1302" s="83"/>
      <c r="B1302" s="83" t="s">
        <v>2813</v>
      </c>
      <c r="C1302" s="84" t="s">
        <v>2805</v>
      </c>
      <c r="D1302" s="84">
        <v>113</v>
      </c>
      <c r="E1302" s="84" t="s">
        <v>2812</v>
      </c>
      <c r="F1302" s="84">
        <v>1</v>
      </c>
      <c r="G1302" s="84">
        <v>5</v>
      </c>
      <c r="H1302" s="84" t="s">
        <v>2812</v>
      </c>
      <c r="I1302" s="84">
        <v>0</v>
      </c>
      <c r="J1302" s="84" t="s">
        <v>2805</v>
      </c>
    </row>
    <row r="1303" spans="1:10" ht="12.75" customHeight="1">
      <c r="A1303" s="83"/>
      <c r="B1303" s="83" t="s">
        <v>2814</v>
      </c>
      <c r="C1303" s="84" t="s">
        <v>2805</v>
      </c>
      <c r="D1303" s="84">
        <v>80</v>
      </c>
      <c r="E1303" s="84" t="s">
        <v>2805</v>
      </c>
      <c r="F1303" s="84" t="s">
        <v>2805</v>
      </c>
      <c r="G1303" s="84" t="s">
        <v>2805</v>
      </c>
      <c r="H1303" s="84" t="s">
        <v>2805</v>
      </c>
      <c r="I1303" s="84" t="s">
        <v>2805</v>
      </c>
      <c r="J1303" s="84" t="s">
        <v>2805</v>
      </c>
    </row>
    <row r="1304" spans="1:10" ht="12.75" customHeight="1">
      <c r="A1304" s="83"/>
      <c r="B1304" s="83" t="s">
        <v>2815</v>
      </c>
      <c r="C1304" s="84" t="s">
        <v>2805</v>
      </c>
      <c r="D1304" s="84">
        <v>18</v>
      </c>
      <c r="E1304" s="84">
        <v>0</v>
      </c>
      <c r="F1304" s="84" t="s">
        <v>2812</v>
      </c>
      <c r="G1304" s="84">
        <v>36</v>
      </c>
      <c r="H1304" s="84" t="s">
        <v>2812</v>
      </c>
      <c r="I1304" s="84">
        <v>20</v>
      </c>
      <c r="J1304" s="84" t="s">
        <v>2805</v>
      </c>
    </row>
    <row r="1305" spans="1:10" ht="12.75" customHeight="1">
      <c r="A1305" s="83"/>
      <c r="B1305" s="81" t="s">
        <v>2816</v>
      </c>
      <c r="C1305" s="84" t="s">
        <v>2805</v>
      </c>
      <c r="D1305" s="84">
        <v>33</v>
      </c>
      <c r="E1305" s="84">
        <v>0</v>
      </c>
      <c r="F1305" s="84">
        <v>5</v>
      </c>
      <c r="G1305" s="84">
        <v>46</v>
      </c>
      <c r="H1305" s="84">
        <v>2</v>
      </c>
      <c r="I1305" s="84">
        <v>0</v>
      </c>
      <c r="J1305" s="84" t="s">
        <v>2805</v>
      </c>
    </row>
    <row r="1306" spans="1:10" ht="12.75" customHeight="1">
      <c r="A1306" s="83"/>
      <c r="B1306" s="83" t="s">
        <v>2817</v>
      </c>
      <c r="C1306" s="84" t="s">
        <v>2805</v>
      </c>
      <c r="D1306" s="84">
        <v>14</v>
      </c>
      <c r="E1306" s="84">
        <v>0</v>
      </c>
      <c r="F1306" s="84" t="s">
        <v>2812</v>
      </c>
      <c r="G1306" s="84">
        <v>40</v>
      </c>
      <c r="H1306" s="84" t="s">
        <v>2812</v>
      </c>
      <c r="I1306" s="84">
        <v>0</v>
      </c>
      <c r="J1306" s="84" t="s">
        <v>2805</v>
      </c>
    </row>
    <row r="1307" spans="1:10" ht="12.75" customHeight="1">
      <c r="A1307" s="83"/>
      <c r="B1307" s="83" t="s">
        <v>2818</v>
      </c>
      <c r="C1307" s="84" t="s">
        <v>2805</v>
      </c>
      <c r="D1307" s="84">
        <v>14</v>
      </c>
      <c r="E1307" s="84" t="s">
        <v>2805</v>
      </c>
      <c r="F1307" s="84" t="s">
        <v>2805</v>
      </c>
      <c r="G1307" s="84" t="s">
        <v>2805</v>
      </c>
      <c r="H1307" s="84" t="s">
        <v>2805</v>
      </c>
      <c r="I1307" s="84" t="s">
        <v>2805</v>
      </c>
      <c r="J1307" s="84" t="s">
        <v>2805</v>
      </c>
    </row>
    <row r="1308" spans="1:10" ht="12.75" customHeight="1">
      <c r="A1308" s="83"/>
      <c r="B1308" s="83" t="s">
        <v>2819</v>
      </c>
      <c r="C1308" s="84" t="s">
        <v>2805</v>
      </c>
      <c r="D1308" s="84">
        <v>4</v>
      </c>
      <c r="E1308" s="84">
        <v>0</v>
      </c>
      <c r="F1308" s="84" t="s">
        <v>2812</v>
      </c>
      <c r="G1308" s="84">
        <v>3</v>
      </c>
      <c r="H1308" s="84" t="s">
        <v>2812</v>
      </c>
      <c r="I1308" s="84">
        <v>0</v>
      </c>
      <c r="J1308" s="84" t="s">
        <v>2805</v>
      </c>
    </row>
    <row r="1309" spans="1:10" ht="12.75" customHeight="1">
      <c r="A1309" s="83"/>
      <c r="B1309" s="83" t="s">
        <v>2820</v>
      </c>
      <c r="C1309" s="84" t="s">
        <v>2805</v>
      </c>
      <c r="D1309" s="84">
        <v>1</v>
      </c>
      <c r="E1309" s="84" t="s">
        <v>2805</v>
      </c>
      <c r="F1309" s="84">
        <v>5</v>
      </c>
      <c r="G1309" s="84" t="s">
        <v>2812</v>
      </c>
      <c r="H1309" s="84">
        <v>1</v>
      </c>
      <c r="I1309" s="84" t="s">
        <v>2805</v>
      </c>
      <c r="J1309" s="84" t="s">
        <v>2805</v>
      </c>
    </row>
    <row r="1310" spans="1:10" ht="12.75" customHeight="1">
      <c r="A1310" s="83"/>
      <c r="B1310" s="83" t="s">
        <v>2821</v>
      </c>
      <c r="C1310" s="84" t="s">
        <v>2805</v>
      </c>
      <c r="D1310" s="84" t="s">
        <v>2805</v>
      </c>
      <c r="E1310" s="84">
        <v>0</v>
      </c>
      <c r="F1310" s="84" t="s">
        <v>2812</v>
      </c>
      <c r="G1310" s="84" t="s">
        <v>2812</v>
      </c>
      <c r="H1310" s="84" t="s">
        <v>2812</v>
      </c>
      <c r="I1310" s="84">
        <v>0</v>
      </c>
      <c r="J1310" s="84" t="s">
        <v>2805</v>
      </c>
    </row>
    <row r="1311" spans="1:10" ht="12.75" customHeight="1">
      <c r="A1311" s="83"/>
      <c r="B1311" s="83" t="s">
        <v>2822</v>
      </c>
      <c r="C1311" s="84" t="s">
        <v>2805</v>
      </c>
      <c r="D1311" s="84">
        <v>1</v>
      </c>
      <c r="E1311" s="84">
        <v>0</v>
      </c>
      <c r="F1311" s="84" t="s">
        <v>2812</v>
      </c>
      <c r="G1311" s="84">
        <v>2</v>
      </c>
      <c r="H1311" s="84" t="s">
        <v>2812</v>
      </c>
      <c r="I1311" s="84">
        <v>0</v>
      </c>
      <c r="J1311" s="84" t="s">
        <v>2805</v>
      </c>
    </row>
    <row r="1312" spans="1:10" ht="12.75" customHeight="1">
      <c r="A1312" s="83"/>
      <c r="B1312" s="81" t="s">
        <v>2823</v>
      </c>
      <c r="C1312" s="84">
        <v>531</v>
      </c>
      <c r="D1312" s="84">
        <v>1</v>
      </c>
      <c r="E1312" s="84">
        <v>0</v>
      </c>
      <c r="F1312" s="84">
        <v>0</v>
      </c>
      <c r="G1312" s="84">
        <v>2</v>
      </c>
      <c r="H1312" s="84" t="s">
        <v>2812</v>
      </c>
      <c r="I1312" s="84">
        <v>0</v>
      </c>
      <c r="J1312" s="84">
        <v>527</v>
      </c>
    </row>
    <row r="1313" spans="1:10" ht="12.75" customHeight="1">
      <c r="A1313" s="83"/>
      <c r="B1313" s="81"/>
      <c r="C1313" s="84"/>
      <c r="D1313" s="84"/>
      <c r="E1313" s="84"/>
      <c r="F1313" s="84"/>
      <c r="G1313" s="84"/>
      <c r="H1313" s="84"/>
      <c r="I1313" s="84"/>
      <c r="J1313" s="84"/>
    </row>
    <row r="1314" spans="1:10" s="71" customFormat="1" ht="12.75" customHeight="1">
      <c r="A1314" s="81" t="s">
        <v>2941</v>
      </c>
      <c r="B1314" s="81" t="s">
        <v>2942</v>
      </c>
      <c r="C1314" s="86"/>
      <c r="D1314" s="86"/>
      <c r="E1314" s="86"/>
      <c r="F1314" s="86"/>
      <c r="G1314" s="86"/>
      <c r="H1314" s="86"/>
      <c r="I1314" s="86"/>
      <c r="J1314" s="86"/>
    </row>
    <row r="1315" spans="1:10" s="71" customFormat="1" ht="12.75" customHeight="1">
      <c r="A1315" s="81"/>
      <c r="B1315" s="81"/>
      <c r="C1315" s="86"/>
      <c r="D1315" s="86"/>
      <c r="E1315" s="86"/>
      <c r="F1315" s="86"/>
      <c r="G1315" s="86"/>
      <c r="H1315" s="86"/>
      <c r="I1315" s="86"/>
      <c r="J1315" s="86"/>
    </row>
    <row r="1316" spans="1:10" s="71" customFormat="1" ht="12.75" customHeight="1">
      <c r="A1316" s="81"/>
      <c r="B1316" s="81"/>
      <c r="C1316" s="86"/>
      <c r="D1316" s="86"/>
      <c r="E1316" s="86"/>
      <c r="F1316" s="86"/>
      <c r="G1316" s="86"/>
      <c r="H1316" s="86"/>
      <c r="I1316" s="86"/>
      <c r="J1316" s="86"/>
    </row>
    <row r="1317" spans="1:10" ht="12.75" customHeight="1">
      <c r="A1317" s="83"/>
      <c r="B1317" s="81" t="s">
        <v>2803</v>
      </c>
      <c r="C1317" s="84">
        <v>1141</v>
      </c>
      <c r="D1317" s="84">
        <v>190</v>
      </c>
      <c r="E1317" s="84" t="s">
        <v>2812</v>
      </c>
      <c r="F1317" s="84">
        <v>4</v>
      </c>
      <c r="G1317" s="84">
        <v>411</v>
      </c>
      <c r="H1317" s="84" t="s">
        <v>2812</v>
      </c>
      <c r="I1317" s="84">
        <v>26</v>
      </c>
      <c r="J1317" s="84">
        <v>509</v>
      </c>
    </row>
    <row r="1318" spans="1:10" ht="12.75" customHeight="1">
      <c r="A1318" s="83"/>
      <c r="B1318" s="81" t="s">
        <v>2804</v>
      </c>
      <c r="C1318" s="84" t="s">
        <v>2805</v>
      </c>
      <c r="D1318" s="84" t="s">
        <v>2812</v>
      </c>
      <c r="E1318" s="84" t="s">
        <v>2812</v>
      </c>
      <c r="F1318" s="84" t="s">
        <v>2812</v>
      </c>
      <c r="G1318" s="84">
        <v>41</v>
      </c>
      <c r="H1318" s="84" t="s">
        <v>2812</v>
      </c>
      <c r="I1318" s="84">
        <v>0</v>
      </c>
      <c r="J1318" s="84" t="s">
        <v>2805</v>
      </c>
    </row>
    <row r="1319" spans="1:10" ht="12.75" customHeight="1">
      <c r="A1319" s="83"/>
      <c r="B1319" s="83" t="s">
        <v>2806</v>
      </c>
      <c r="C1319" s="84" t="s">
        <v>2805</v>
      </c>
      <c r="D1319" s="84" t="s">
        <v>2812</v>
      </c>
      <c r="E1319" s="84" t="s">
        <v>2812</v>
      </c>
      <c r="F1319" s="84">
        <v>0</v>
      </c>
      <c r="G1319" s="84">
        <v>16</v>
      </c>
      <c r="H1319" s="84">
        <v>0</v>
      </c>
      <c r="I1319" s="84">
        <v>0</v>
      </c>
      <c r="J1319" s="84" t="s">
        <v>2805</v>
      </c>
    </row>
    <row r="1320" spans="1:10" ht="12.75" customHeight="1">
      <c r="A1320" s="83"/>
      <c r="B1320" s="83" t="s">
        <v>2807</v>
      </c>
      <c r="C1320" s="84" t="s">
        <v>2805</v>
      </c>
      <c r="D1320" s="84">
        <v>0</v>
      </c>
      <c r="E1320" s="84" t="s">
        <v>2812</v>
      </c>
      <c r="F1320" s="84" t="s">
        <v>2812</v>
      </c>
      <c r="G1320" s="84">
        <v>25</v>
      </c>
      <c r="H1320" s="84" t="s">
        <v>2812</v>
      </c>
      <c r="I1320" s="84">
        <v>0</v>
      </c>
      <c r="J1320" s="84" t="s">
        <v>2805</v>
      </c>
    </row>
    <row r="1321" spans="1:10" ht="12.75" customHeight="1">
      <c r="A1321" s="83"/>
      <c r="B1321" s="81" t="s">
        <v>2808</v>
      </c>
      <c r="C1321" s="84" t="s">
        <v>2805</v>
      </c>
      <c r="D1321" s="84">
        <v>177</v>
      </c>
      <c r="E1321" s="84">
        <v>0</v>
      </c>
      <c r="F1321" s="84" t="s">
        <v>2812</v>
      </c>
      <c r="G1321" s="84">
        <v>349</v>
      </c>
      <c r="H1321" s="84" t="s">
        <v>2812</v>
      </c>
      <c r="I1321" s="84">
        <v>26</v>
      </c>
      <c r="J1321" s="84" t="s">
        <v>2805</v>
      </c>
    </row>
    <row r="1322" spans="1:10" ht="12.75" customHeight="1">
      <c r="A1322" s="83"/>
      <c r="B1322" s="83" t="s">
        <v>2810</v>
      </c>
      <c r="C1322" s="84" t="s">
        <v>2805</v>
      </c>
      <c r="D1322" s="84">
        <v>90</v>
      </c>
      <c r="E1322" s="84">
        <v>0</v>
      </c>
      <c r="F1322" s="84" t="s">
        <v>2812</v>
      </c>
      <c r="G1322" s="84">
        <v>314</v>
      </c>
      <c r="H1322" s="84" t="s">
        <v>2812</v>
      </c>
      <c r="I1322" s="84">
        <v>7</v>
      </c>
      <c r="J1322" s="84" t="s">
        <v>2805</v>
      </c>
    </row>
    <row r="1323" spans="1:10" ht="12.75" customHeight="1">
      <c r="A1323" s="83"/>
      <c r="B1323" s="83" t="s">
        <v>2811</v>
      </c>
      <c r="C1323" s="84" t="s">
        <v>2805</v>
      </c>
      <c r="D1323" s="84">
        <v>5</v>
      </c>
      <c r="E1323" s="84">
        <v>0</v>
      </c>
      <c r="F1323" s="84">
        <v>0</v>
      </c>
      <c r="G1323" s="84">
        <v>3</v>
      </c>
      <c r="H1323" s="84" t="s">
        <v>2812</v>
      </c>
      <c r="I1323" s="84">
        <v>0</v>
      </c>
      <c r="J1323" s="84" t="s">
        <v>2805</v>
      </c>
    </row>
    <row r="1324" spans="1:10" ht="12.75" customHeight="1">
      <c r="A1324" s="83"/>
      <c r="B1324" s="83" t="s">
        <v>2813</v>
      </c>
      <c r="C1324" s="84" t="s">
        <v>2805</v>
      </c>
      <c r="D1324" s="84">
        <v>61</v>
      </c>
      <c r="E1324" s="84">
        <v>0</v>
      </c>
      <c r="F1324" s="84" t="s">
        <v>2812</v>
      </c>
      <c r="G1324" s="84">
        <v>1</v>
      </c>
      <c r="H1324" s="84" t="s">
        <v>2812</v>
      </c>
      <c r="I1324" s="84">
        <v>0</v>
      </c>
      <c r="J1324" s="84" t="s">
        <v>2805</v>
      </c>
    </row>
    <row r="1325" spans="1:10" ht="12.75" customHeight="1">
      <c r="A1325" s="83"/>
      <c r="B1325" s="83" t="s">
        <v>2814</v>
      </c>
      <c r="C1325" s="84" t="s">
        <v>2805</v>
      </c>
      <c r="D1325" s="84">
        <v>10</v>
      </c>
      <c r="E1325" s="84" t="s">
        <v>2805</v>
      </c>
      <c r="F1325" s="84" t="s">
        <v>2805</v>
      </c>
      <c r="G1325" s="84" t="s">
        <v>2805</v>
      </c>
      <c r="H1325" s="84" t="s">
        <v>2805</v>
      </c>
      <c r="I1325" s="84" t="s">
        <v>2805</v>
      </c>
      <c r="J1325" s="84" t="s">
        <v>2805</v>
      </c>
    </row>
    <row r="1326" spans="1:10" ht="12.75" customHeight="1">
      <c r="A1326" s="83"/>
      <c r="B1326" s="83" t="s">
        <v>2815</v>
      </c>
      <c r="C1326" s="84" t="s">
        <v>2805</v>
      </c>
      <c r="D1326" s="84">
        <v>11</v>
      </c>
      <c r="E1326" s="84">
        <v>0</v>
      </c>
      <c r="F1326" s="84" t="s">
        <v>2812</v>
      </c>
      <c r="G1326" s="84">
        <v>31</v>
      </c>
      <c r="H1326" s="84" t="s">
        <v>2812</v>
      </c>
      <c r="I1326" s="84">
        <v>20</v>
      </c>
      <c r="J1326" s="84" t="s">
        <v>2805</v>
      </c>
    </row>
    <row r="1327" spans="1:10" ht="12.75" customHeight="1">
      <c r="A1327" s="83"/>
      <c r="B1327" s="81" t="s">
        <v>2816</v>
      </c>
      <c r="C1327" s="84" t="s">
        <v>2805</v>
      </c>
      <c r="D1327" s="84">
        <v>12</v>
      </c>
      <c r="E1327" s="84">
        <v>0</v>
      </c>
      <c r="F1327" s="84">
        <v>4</v>
      </c>
      <c r="G1327" s="84">
        <v>19</v>
      </c>
      <c r="H1327" s="84" t="s">
        <v>2812</v>
      </c>
      <c r="I1327" s="84">
        <v>0</v>
      </c>
      <c r="J1327" s="84" t="s">
        <v>2805</v>
      </c>
    </row>
    <row r="1328" spans="1:10" ht="12.75" customHeight="1">
      <c r="A1328" s="83"/>
      <c r="B1328" s="83" t="s">
        <v>2817</v>
      </c>
      <c r="C1328" s="84" t="s">
        <v>2805</v>
      </c>
      <c r="D1328" s="84">
        <v>5</v>
      </c>
      <c r="E1328" s="84">
        <v>0</v>
      </c>
      <c r="F1328" s="84" t="s">
        <v>2812</v>
      </c>
      <c r="G1328" s="84">
        <v>15</v>
      </c>
      <c r="H1328" s="84" t="s">
        <v>2812</v>
      </c>
      <c r="I1328" s="84">
        <v>0</v>
      </c>
      <c r="J1328" s="84" t="s">
        <v>2805</v>
      </c>
    </row>
    <row r="1329" spans="1:10" ht="12.75" customHeight="1">
      <c r="A1329" s="83"/>
      <c r="B1329" s="83" t="s">
        <v>2818</v>
      </c>
      <c r="C1329" s="84" t="s">
        <v>2805</v>
      </c>
      <c r="D1329" s="84">
        <v>6</v>
      </c>
      <c r="E1329" s="84" t="s">
        <v>2805</v>
      </c>
      <c r="F1329" s="84" t="s">
        <v>2805</v>
      </c>
      <c r="G1329" s="84" t="s">
        <v>2805</v>
      </c>
      <c r="H1329" s="84" t="s">
        <v>2805</v>
      </c>
      <c r="I1329" s="84" t="s">
        <v>2805</v>
      </c>
      <c r="J1329" s="84" t="s">
        <v>2805</v>
      </c>
    </row>
    <row r="1330" spans="1:10" ht="12.75" customHeight="1">
      <c r="A1330" s="83"/>
      <c r="B1330" s="83" t="s">
        <v>2819</v>
      </c>
      <c r="C1330" s="84" t="s">
        <v>2805</v>
      </c>
      <c r="D1330" s="84">
        <v>1</v>
      </c>
      <c r="E1330" s="84">
        <v>0</v>
      </c>
      <c r="F1330" s="84" t="s">
        <v>2812</v>
      </c>
      <c r="G1330" s="84">
        <v>1</v>
      </c>
      <c r="H1330" s="84" t="s">
        <v>2812</v>
      </c>
      <c r="I1330" s="84">
        <v>0</v>
      </c>
      <c r="J1330" s="84" t="s">
        <v>2805</v>
      </c>
    </row>
    <row r="1331" spans="1:10" ht="12.75" customHeight="1">
      <c r="A1331" s="83"/>
      <c r="B1331" s="83" t="s">
        <v>2820</v>
      </c>
      <c r="C1331" s="84" t="s">
        <v>2805</v>
      </c>
      <c r="D1331" s="84" t="s">
        <v>2812</v>
      </c>
      <c r="E1331" s="84" t="s">
        <v>2805</v>
      </c>
      <c r="F1331" s="84">
        <v>4</v>
      </c>
      <c r="G1331" s="84" t="s">
        <v>2812</v>
      </c>
      <c r="H1331" s="84" t="s">
        <v>2812</v>
      </c>
      <c r="I1331" s="84" t="s">
        <v>2805</v>
      </c>
      <c r="J1331" s="84" t="s">
        <v>2805</v>
      </c>
    </row>
    <row r="1332" spans="1:10" ht="12.75" customHeight="1">
      <c r="A1332" s="83"/>
      <c r="B1332" s="83" t="s">
        <v>2821</v>
      </c>
      <c r="C1332" s="84" t="s">
        <v>2805</v>
      </c>
      <c r="D1332" s="84" t="s">
        <v>2805</v>
      </c>
      <c r="E1332" s="84">
        <v>0</v>
      </c>
      <c r="F1332" s="84" t="s">
        <v>2812</v>
      </c>
      <c r="G1332" s="84" t="s">
        <v>2812</v>
      </c>
      <c r="H1332" s="84" t="s">
        <v>2812</v>
      </c>
      <c r="I1332" s="84">
        <v>0</v>
      </c>
      <c r="J1332" s="84" t="s">
        <v>2805</v>
      </c>
    </row>
    <row r="1333" spans="1:10" ht="12.75" customHeight="1">
      <c r="A1333" s="83"/>
      <c r="B1333" s="83" t="s">
        <v>2822</v>
      </c>
      <c r="C1333" s="84" t="s">
        <v>2805</v>
      </c>
      <c r="D1333" s="84" t="s">
        <v>2812</v>
      </c>
      <c r="E1333" s="84">
        <v>0</v>
      </c>
      <c r="F1333" s="84" t="s">
        <v>2812</v>
      </c>
      <c r="G1333" s="84">
        <v>2</v>
      </c>
      <c r="H1333" s="84" t="s">
        <v>2812</v>
      </c>
      <c r="I1333" s="84">
        <v>0</v>
      </c>
      <c r="J1333" s="84" t="s">
        <v>2805</v>
      </c>
    </row>
    <row r="1334" spans="1:10" ht="12.75" customHeight="1">
      <c r="A1334" s="83"/>
      <c r="B1334" s="81" t="s">
        <v>2823</v>
      </c>
      <c r="C1334" s="84">
        <v>510</v>
      </c>
      <c r="D1334" s="84" t="s">
        <v>2812</v>
      </c>
      <c r="E1334" s="84">
        <v>0</v>
      </c>
      <c r="F1334" s="84">
        <v>0</v>
      </c>
      <c r="G1334" s="84">
        <v>1</v>
      </c>
      <c r="H1334" s="84" t="s">
        <v>2812</v>
      </c>
      <c r="I1334" s="84">
        <v>0</v>
      </c>
      <c r="J1334" s="84">
        <v>509</v>
      </c>
    </row>
    <row r="1335" spans="1:10" ht="12.75" customHeight="1">
      <c r="A1335" s="83"/>
      <c r="B1335" s="81"/>
      <c r="C1335" s="84"/>
      <c r="D1335" s="84"/>
      <c r="E1335" s="84"/>
      <c r="F1335" s="84"/>
      <c r="G1335" s="84"/>
      <c r="H1335" s="84"/>
      <c r="I1335" s="84"/>
      <c r="J1335" s="84"/>
    </row>
    <row r="1336" spans="1:10" s="71" customFormat="1" ht="12.75" customHeight="1">
      <c r="A1336" s="81" t="s">
        <v>2943</v>
      </c>
      <c r="B1336" s="81" t="s">
        <v>2944</v>
      </c>
      <c r="C1336" s="86"/>
      <c r="D1336" s="86"/>
      <c r="E1336" s="86"/>
      <c r="F1336" s="86"/>
      <c r="G1336" s="86"/>
      <c r="H1336" s="86"/>
      <c r="I1336" s="86"/>
      <c r="J1336" s="86"/>
    </row>
    <row r="1337" spans="1:10" ht="12.75" customHeight="1">
      <c r="A1337" s="83"/>
      <c r="B1337" s="83"/>
      <c r="C1337" s="84"/>
      <c r="D1337" s="84"/>
      <c r="E1337" s="84"/>
      <c r="F1337" s="84"/>
      <c r="G1337" s="84"/>
      <c r="H1337" s="84"/>
      <c r="I1337" s="84"/>
      <c r="J1337" s="84"/>
    </row>
    <row r="1338" spans="1:10" ht="12.75" customHeight="1">
      <c r="A1338" s="83"/>
      <c r="B1338" s="83"/>
      <c r="C1338" s="84"/>
      <c r="D1338" s="84"/>
      <c r="E1338" s="84"/>
      <c r="F1338" s="84"/>
      <c r="G1338" s="84"/>
      <c r="H1338" s="84"/>
      <c r="I1338" s="84"/>
      <c r="J1338" s="84"/>
    </row>
    <row r="1339" spans="1:10" ht="12.75" customHeight="1">
      <c r="A1339" s="83"/>
      <c r="B1339" s="81" t="s">
        <v>2803</v>
      </c>
      <c r="C1339" s="84">
        <v>51</v>
      </c>
      <c r="D1339" s="84">
        <v>24</v>
      </c>
      <c r="E1339" s="84">
        <v>0</v>
      </c>
      <c r="F1339" s="84" t="s">
        <v>2812</v>
      </c>
      <c r="G1339" s="84">
        <v>25</v>
      </c>
      <c r="H1339" s="84" t="s">
        <v>2812</v>
      </c>
      <c r="I1339" s="84" t="s">
        <v>2812</v>
      </c>
      <c r="J1339" s="84">
        <v>2</v>
      </c>
    </row>
    <row r="1340" spans="1:10" ht="12.75" customHeight="1">
      <c r="A1340" s="83"/>
      <c r="B1340" s="81" t="s">
        <v>2804</v>
      </c>
      <c r="C1340" s="84" t="s">
        <v>2805</v>
      </c>
      <c r="D1340" s="84" t="s">
        <v>2812</v>
      </c>
      <c r="E1340" s="84">
        <v>0</v>
      </c>
      <c r="F1340" s="84" t="s">
        <v>2812</v>
      </c>
      <c r="G1340" s="84">
        <v>3</v>
      </c>
      <c r="H1340" s="84" t="s">
        <v>2812</v>
      </c>
      <c r="I1340" s="84">
        <v>0</v>
      </c>
      <c r="J1340" s="84" t="s">
        <v>2805</v>
      </c>
    </row>
    <row r="1341" spans="1:10" ht="12.75" customHeight="1">
      <c r="A1341" s="83"/>
      <c r="B1341" s="83" t="s">
        <v>2806</v>
      </c>
      <c r="C1341" s="84" t="s">
        <v>2805</v>
      </c>
      <c r="D1341" s="84" t="s">
        <v>2812</v>
      </c>
      <c r="E1341" s="84">
        <v>0</v>
      </c>
      <c r="F1341" s="84">
        <v>0</v>
      </c>
      <c r="G1341" s="84">
        <v>1</v>
      </c>
      <c r="H1341" s="84" t="s">
        <v>2812</v>
      </c>
      <c r="I1341" s="84">
        <v>0</v>
      </c>
      <c r="J1341" s="84" t="s">
        <v>2805</v>
      </c>
    </row>
    <row r="1342" spans="1:10" ht="12.75" customHeight="1">
      <c r="A1342" s="83"/>
      <c r="B1342" s="83" t="s">
        <v>2807</v>
      </c>
      <c r="C1342" s="84" t="s">
        <v>2805</v>
      </c>
      <c r="D1342" s="84">
        <v>0</v>
      </c>
      <c r="E1342" s="84">
        <v>0</v>
      </c>
      <c r="F1342" s="84" t="s">
        <v>2812</v>
      </c>
      <c r="G1342" s="84">
        <v>2</v>
      </c>
      <c r="H1342" s="84" t="s">
        <v>2812</v>
      </c>
      <c r="I1342" s="84">
        <v>0</v>
      </c>
      <c r="J1342" s="84" t="s">
        <v>2805</v>
      </c>
    </row>
    <row r="1343" spans="1:10" ht="12.75" customHeight="1">
      <c r="A1343" s="83"/>
      <c r="B1343" s="81" t="s">
        <v>2808</v>
      </c>
      <c r="C1343" s="84" t="s">
        <v>2805</v>
      </c>
      <c r="D1343" s="84">
        <v>20</v>
      </c>
      <c r="E1343" s="84">
        <v>0</v>
      </c>
      <c r="F1343" s="84" t="s">
        <v>2812</v>
      </c>
      <c r="G1343" s="84">
        <v>19</v>
      </c>
      <c r="H1343" s="84" t="s">
        <v>2812</v>
      </c>
      <c r="I1343" s="84" t="s">
        <v>2812</v>
      </c>
      <c r="J1343" s="84" t="s">
        <v>2805</v>
      </c>
    </row>
    <row r="1344" spans="1:10" ht="12.75" customHeight="1">
      <c r="A1344" s="83"/>
      <c r="B1344" s="83" t="s">
        <v>2810</v>
      </c>
      <c r="C1344" s="84" t="s">
        <v>2805</v>
      </c>
      <c r="D1344" s="84">
        <v>5</v>
      </c>
      <c r="E1344" s="84">
        <v>0</v>
      </c>
      <c r="F1344" s="84" t="s">
        <v>2812</v>
      </c>
      <c r="G1344" s="84">
        <v>18</v>
      </c>
      <c r="H1344" s="84" t="s">
        <v>2812</v>
      </c>
      <c r="I1344" s="84" t="s">
        <v>2812</v>
      </c>
      <c r="J1344" s="84" t="s">
        <v>2805</v>
      </c>
    </row>
    <row r="1345" spans="1:10" ht="12.75" customHeight="1">
      <c r="A1345" s="83"/>
      <c r="B1345" s="83" t="s">
        <v>2811</v>
      </c>
      <c r="C1345" s="84" t="s">
        <v>2805</v>
      </c>
      <c r="D1345" s="84">
        <v>2</v>
      </c>
      <c r="E1345" s="84">
        <v>0</v>
      </c>
      <c r="F1345" s="84">
        <v>0</v>
      </c>
      <c r="G1345" s="84" t="s">
        <v>2812</v>
      </c>
      <c r="H1345" s="84" t="s">
        <v>2812</v>
      </c>
      <c r="I1345" s="84">
        <v>0</v>
      </c>
      <c r="J1345" s="84" t="s">
        <v>2805</v>
      </c>
    </row>
    <row r="1346" spans="1:10" ht="12.75" customHeight="1">
      <c r="A1346" s="83"/>
      <c r="B1346" s="83" t="s">
        <v>2813</v>
      </c>
      <c r="C1346" s="84" t="s">
        <v>2805</v>
      </c>
      <c r="D1346" s="84">
        <v>10</v>
      </c>
      <c r="E1346" s="84">
        <v>0</v>
      </c>
      <c r="F1346" s="84" t="s">
        <v>2812</v>
      </c>
      <c r="G1346" s="84">
        <v>1</v>
      </c>
      <c r="H1346" s="84" t="s">
        <v>2812</v>
      </c>
      <c r="I1346" s="84">
        <v>0</v>
      </c>
      <c r="J1346" s="84" t="s">
        <v>2805</v>
      </c>
    </row>
    <row r="1347" spans="1:10" ht="12.75" customHeight="1">
      <c r="A1347" s="83"/>
      <c r="B1347" s="83" t="s">
        <v>2814</v>
      </c>
      <c r="C1347" s="84" t="s">
        <v>2805</v>
      </c>
      <c r="D1347" s="84">
        <v>2</v>
      </c>
      <c r="E1347" s="84" t="s">
        <v>2805</v>
      </c>
      <c r="F1347" s="84" t="s">
        <v>2805</v>
      </c>
      <c r="G1347" s="84" t="s">
        <v>2805</v>
      </c>
      <c r="H1347" s="84" t="s">
        <v>2805</v>
      </c>
      <c r="I1347" s="84" t="s">
        <v>2805</v>
      </c>
      <c r="J1347" s="84" t="s">
        <v>2805</v>
      </c>
    </row>
    <row r="1348" spans="1:10" ht="12.75" customHeight="1">
      <c r="A1348" s="83"/>
      <c r="B1348" s="83" t="s">
        <v>2815</v>
      </c>
      <c r="C1348" s="84" t="s">
        <v>2805</v>
      </c>
      <c r="D1348" s="84" t="s">
        <v>2812</v>
      </c>
      <c r="E1348" s="84">
        <v>0</v>
      </c>
      <c r="F1348" s="84" t="s">
        <v>2812</v>
      </c>
      <c r="G1348" s="84">
        <v>1</v>
      </c>
      <c r="H1348" s="84" t="s">
        <v>2812</v>
      </c>
      <c r="I1348" s="84">
        <v>0</v>
      </c>
      <c r="J1348" s="84" t="s">
        <v>2805</v>
      </c>
    </row>
    <row r="1349" spans="1:10" ht="12.75" customHeight="1">
      <c r="A1349" s="83"/>
      <c r="B1349" s="81" t="s">
        <v>2816</v>
      </c>
      <c r="C1349" s="84" t="s">
        <v>2805</v>
      </c>
      <c r="D1349" s="84">
        <v>3</v>
      </c>
      <c r="E1349" s="84">
        <v>0</v>
      </c>
      <c r="F1349" s="84" t="s">
        <v>2812</v>
      </c>
      <c r="G1349" s="84">
        <v>3</v>
      </c>
      <c r="H1349" s="84" t="s">
        <v>2812</v>
      </c>
      <c r="I1349" s="84">
        <v>0</v>
      </c>
      <c r="J1349" s="84" t="s">
        <v>2805</v>
      </c>
    </row>
    <row r="1350" spans="1:10" ht="12.75" customHeight="1">
      <c r="A1350" s="83"/>
      <c r="B1350" s="83" t="s">
        <v>2817</v>
      </c>
      <c r="C1350" s="84" t="s">
        <v>2805</v>
      </c>
      <c r="D1350" s="84">
        <v>1</v>
      </c>
      <c r="E1350" s="84">
        <v>0</v>
      </c>
      <c r="F1350" s="84" t="s">
        <v>2812</v>
      </c>
      <c r="G1350" s="84">
        <v>3</v>
      </c>
      <c r="H1350" s="84" t="s">
        <v>2812</v>
      </c>
      <c r="I1350" s="84">
        <v>0</v>
      </c>
      <c r="J1350" s="84" t="s">
        <v>2805</v>
      </c>
    </row>
    <row r="1351" spans="1:10" ht="12.75" customHeight="1">
      <c r="A1351" s="83"/>
      <c r="B1351" s="83" t="s">
        <v>2818</v>
      </c>
      <c r="C1351" s="84" t="s">
        <v>2805</v>
      </c>
      <c r="D1351" s="84">
        <v>1</v>
      </c>
      <c r="E1351" s="84" t="s">
        <v>2805</v>
      </c>
      <c r="F1351" s="84" t="s">
        <v>2805</v>
      </c>
      <c r="G1351" s="84" t="s">
        <v>2805</v>
      </c>
      <c r="H1351" s="84" t="s">
        <v>2805</v>
      </c>
      <c r="I1351" s="84" t="s">
        <v>2805</v>
      </c>
      <c r="J1351" s="84" t="s">
        <v>2805</v>
      </c>
    </row>
    <row r="1352" spans="1:10" ht="12.75" customHeight="1">
      <c r="A1352" s="83"/>
      <c r="B1352" s="83" t="s">
        <v>2819</v>
      </c>
      <c r="C1352" s="84" t="s">
        <v>2805</v>
      </c>
      <c r="D1352" s="84" t="s">
        <v>2812</v>
      </c>
      <c r="E1352" s="84">
        <v>0</v>
      </c>
      <c r="F1352" s="84" t="s">
        <v>2812</v>
      </c>
      <c r="G1352" s="84" t="s">
        <v>2812</v>
      </c>
      <c r="H1352" s="84" t="s">
        <v>2812</v>
      </c>
      <c r="I1352" s="84">
        <v>0</v>
      </c>
      <c r="J1352" s="84" t="s">
        <v>2805</v>
      </c>
    </row>
    <row r="1353" spans="1:10" ht="12.75" customHeight="1">
      <c r="A1353" s="83"/>
      <c r="B1353" s="83" t="s">
        <v>2820</v>
      </c>
      <c r="C1353" s="84" t="s">
        <v>2805</v>
      </c>
      <c r="D1353" s="84" t="s">
        <v>2812</v>
      </c>
      <c r="E1353" s="84" t="s">
        <v>2805</v>
      </c>
      <c r="F1353" s="84" t="s">
        <v>2812</v>
      </c>
      <c r="G1353" s="84">
        <v>0</v>
      </c>
      <c r="H1353" s="84" t="s">
        <v>2812</v>
      </c>
      <c r="I1353" s="84" t="s">
        <v>2805</v>
      </c>
      <c r="J1353" s="84" t="s">
        <v>2805</v>
      </c>
    </row>
    <row r="1354" spans="1:10" ht="12.75" customHeight="1">
      <c r="A1354" s="83"/>
      <c r="B1354" s="83" t="s">
        <v>2821</v>
      </c>
      <c r="C1354" s="84" t="s">
        <v>2805</v>
      </c>
      <c r="D1354" s="84" t="s">
        <v>2805</v>
      </c>
      <c r="E1354" s="84">
        <v>0</v>
      </c>
      <c r="F1354" s="84" t="s">
        <v>2812</v>
      </c>
      <c r="G1354" s="84" t="s">
        <v>2812</v>
      </c>
      <c r="H1354" s="84" t="s">
        <v>2812</v>
      </c>
      <c r="I1354" s="84">
        <v>0</v>
      </c>
      <c r="J1354" s="84" t="s">
        <v>2805</v>
      </c>
    </row>
    <row r="1355" spans="1:10" ht="12.75" customHeight="1">
      <c r="A1355" s="83"/>
      <c r="B1355" s="83" t="s">
        <v>2822</v>
      </c>
      <c r="C1355" s="84" t="s">
        <v>2805</v>
      </c>
      <c r="D1355" s="84" t="s">
        <v>2812</v>
      </c>
      <c r="E1355" s="84">
        <v>0</v>
      </c>
      <c r="F1355" s="84">
        <v>0</v>
      </c>
      <c r="G1355" s="84">
        <v>0</v>
      </c>
      <c r="H1355" s="84" t="s">
        <v>2812</v>
      </c>
      <c r="I1355" s="84">
        <v>0</v>
      </c>
      <c r="J1355" s="84" t="s">
        <v>2805</v>
      </c>
    </row>
    <row r="1356" spans="1:10" ht="12.75" customHeight="1">
      <c r="A1356" s="83"/>
      <c r="B1356" s="81" t="s">
        <v>2823</v>
      </c>
      <c r="C1356" s="84">
        <v>2</v>
      </c>
      <c r="D1356" s="84" t="s">
        <v>2812</v>
      </c>
      <c r="E1356" s="84">
        <v>0</v>
      </c>
      <c r="F1356" s="84">
        <v>0</v>
      </c>
      <c r="G1356" s="84">
        <v>0</v>
      </c>
      <c r="H1356" s="84" t="s">
        <v>2812</v>
      </c>
      <c r="I1356" s="84">
        <v>0</v>
      </c>
      <c r="J1356" s="84">
        <v>2</v>
      </c>
    </row>
    <row r="1357" spans="1:10" ht="12.75" customHeight="1">
      <c r="A1357" s="83"/>
      <c r="B1357" s="81"/>
      <c r="C1357" s="84"/>
      <c r="D1357" s="84"/>
      <c r="E1357" s="84"/>
      <c r="F1357" s="84"/>
      <c r="G1357" s="84"/>
      <c r="H1357" s="84"/>
      <c r="I1357" s="84"/>
      <c r="J1357" s="84"/>
    </row>
    <row r="1358" spans="1:10" s="71" customFormat="1" ht="12.75" customHeight="1">
      <c r="A1358" s="81" t="s">
        <v>2945</v>
      </c>
      <c r="B1358" s="81" t="s">
        <v>2946</v>
      </c>
      <c r="C1358" s="86"/>
      <c r="D1358" s="86"/>
      <c r="E1358" s="86"/>
      <c r="F1358" s="86"/>
      <c r="G1358" s="86"/>
      <c r="H1358" s="86"/>
      <c r="I1358" s="86"/>
      <c r="J1358" s="86"/>
    </row>
    <row r="1359" spans="1:10" ht="12.75" customHeight="1">
      <c r="A1359" s="83"/>
      <c r="B1359" s="83"/>
      <c r="C1359" s="84"/>
      <c r="D1359" s="84"/>
      <c r="E1359" s="84"/>
      <c r="F1359" s="84"/>
      <c r="G1359" s="84"/>
      <c r="H1359" s="84"/>
      <c r="I1359" s="84"/>
      <c r="J1359" s="84"/>
    </row>
    <row r="1360" spans="1:10" ht="12.75" customHeight="1">
      <c r="A1360" s="83"/>
      <c r="B1360" s="83"/>
      <c r="C1360" s="84"/>
      <c r="D1360" s="84"/>
      <c r="E1360" s="84"/>
      <c r="F1360" s="84"/>
      <c r="G1360" s="84"/>
      <c r="H1360" s="84"/>
      <c r="I1360" s="84"/>
      <c r="J1360" s="84"/>
    </row>
    <row r="1361" spans="1:10" ht="12.75" customHeight="1">
      <c r="A1361" s="83"/>
      <c r="B1361" s="81" t="s">
        <v>2803</v>
      </c>
      <c r="C1361" s="84">
        <v>207</v>
      </c>
      <c r="D1361" s="84">
        <v>90</v>
      </c>
      <c r="E1361" s="84">
        <v>0</v>
      </c>
      <c r="F1361" s="84">
        <v>1</v>
      </c>
      <c r="G1361" s="84">
        <v>116</v>
      </c>
      <c r="H1361" s="84">
        <v>1</v>
      </c>
      <c r="I1361" s="84">
        <v>0</v>
      </c>
      <c r="J1361" s="84" t="s">
        <v>2812</v>
      </c>
    </row>
    <row r="1362" spans="1:10" ht="12.75" customHeight="1">
      <c r="A1362" s="83"/>
      <c r="B1362" s="81" t="s">
        <v>2804</v>
      </c>
      <c r="C1362" s="84" t="s">
        <v>2805</v>
      </c>
      <c r="D1362" s="84">
        <v>1</v>
      </c>
      <c r="E1362" s="84">
        <v>0</v>
      </c>
      <c r="F1362" s="84" t="s">
        <v>2812</v>
      </c>
      <c r="G1362" s="84">
        <v>14</v>
      </c>
      <c r="H1362" s="84" t="s">
        <v>2812</v>
      </c>
      <c r="I1362" s="84">
        <v>0</v>
      </c>
      <c r="J1362" s="84" t="s">
        <v>2805</v>
      </c>
    </row>
    <row r="1363" spans="1:10" ht="12.75" customHeight="1">
      <c r="A1363" s="83"/>
      <c r="B1363" s="83" t="s">
        <v>2806</v>
      </c>
      <c r="C1363" s="84" t="s">
        <v>2805</v>
      </c>
      <c r="D1363" s="84">
        <v>1</v>
      </c>
      <c r="E1363" s="84">
        <v>0</v>
      </c>
      <c r="F1363" s="84">
        <v>0</v>
      </c>
      <c r="G1363" s="84">
        <v>1</v>
      </c>
      <c r="H1363" s="84" t="s">
        <v>2812</v>
      </c>
      <c r="I1363" s="84">
        <v>0</v>
      </c>
      <c r="J1363" s="84" t="s">
        <v>2805</v>
      </c>
    </row>
    <row r="1364" spans="1:10" ht="12.75" customHeight="1">
      <c r="A1364" s="83"/>
      <c r="B1364" s="83" t="s">
        <v>2807</v>
      </c>
      <c r="C1364" s="84" t="s">
        <v>2805</v>
      </c>
      <c r="D1364" s="84">
        <v>0</v>
      </c>
      <c r="E1364" s="84">
        <v>0</v>
      </c>
      <c r="F1364" s="84" t="s">
        <v>2812</v>
      </c>
      <c r="G1364" s="84">
        <v>14</v>
      </c>
      <c r="H1364" s="84" t="s">
        <v>2812</v>
      </c>
      <c r="I1364" s="84">
        <v>0</v>
      </c>
      <c r="J1364" s="84" t="s">
        <v>2805</v>
      </c>
    </row>
    <row r="1365" spans="1:10" ht="12.75" customHeight="1">
      <c r="A1365" s="83"/>
      <c r="B1365" s="81" t="s">
        <v>2808</v>
      </c>
      <c r="C1365" s="84" t="s">
        <v>2805</v>
      </c>
      <c r="D1365" s="84">
        <v>81</v>
      </c>
      <c r="E1365" s="84">
        <v>0</v>
      </c>
      <c r="F1365" s="84" t="s">
        <v>2812</v>
      </c>
      <c r="G1365" s="84">
        <v>93</v>
      </c>
      <c r="H1365" s="84" t="s">
        <v>2812</v>
      </c>
      <c r="I1365" s="84">
        <v>0</v>
      </c>
      <c r="J1365" s="84" t="s">
        <v>2805</v>
      </c>
    </row>
    <row r="1366" spans="1:10" ht="12.75" customHeight="1">
      <c r="A1366" s="83"/>
      <c r="B1366" s="83" t="s">
        <v>2810</v>
      </c>
      <c r="C1366" s="84" t="s">
        <v>2805</v>
      </c>
      <c r="D1366" s="84">
        <v>4</v>
      </c>
      <c r="E1366" s="84">
        <v>0</v>
      </c>
      <c r="F1366" s="84" t="s">
        <v>2812</v>
      </c>
      <c r="G1366" s="84">
        <v>90</v>
      </c>
      <c r="H1366" s="84" t="s">
        <v>2812</v>
      </c>
      <c r="I1366" s="84">
        <v>0</v>
      </c>
      <c r="J1366" s="84" t="s">
        <v>2805</v>
      </c>
    </row>
    <row r="1367" spans="1:10" ht="12.75" customHeight="1">
      <c r="A1367" s="83"/>
      <c r="B1367" s="83" t="s">
        <v>2811</v>
      </c>
      <c r="C1367" s="84" t="s">
        <v>2805</v>
      </c>
      <c r="D1367" s="84">
        <v>1</v>
      </c>
      <c r="E1367" s="84">
        <v>0</v>
      </c>
      <c r="F1367" s="84">
        <v>0</v>
      </c>
      <c r="G1367" s="84" t="s">
        <v>2812</v>
      </c>
      <c r="H1367" s="84" t="s">
        <v>2812</v>
      </c>
      <c r="I1367" s="84">
        <v>0</v>
      </c>
      <c r="J1367" s="84" t="s">
        <v>2805</v>
      </c>
    </row>
    <row r="1368" spans="1:10" ht="12.75" customHeight="1">
      <c r="A1368" s="83"/>
      <c r="B1368" s="83" t="s">
        <v>2813</v>
      </c>
      <c r="C1368" s="84" t="s">
        <v>2805</v>
      </c>
      <c r="D1368" s="84">
        <v>20</v>
      </c>
      <c r="E1368" s="84">
        <v>0</v>
      </c>
      <c r="F1368" s="84" t="s">
        <v>2812</v>
      </c>
      <c r="G1368" s="84">
        <v>1</v>
      </c>
      <c r="H1368" s="84" t="s">
        <v>2812</v>
      </c>
      <c r="I1368" s="84">
        <v>0</v>
      </c>
      <c r="J1368" s="84" t="s">
        <v>2805</v>
      </c>
    </row>
    <row r="1369" spans="1:10" ht="12.75" customHeight="1">
      <c r="A1369" s="83"/>
      <c r="B1369" s="83" t="s">
        <v>2814</v>
      </c>
      <c r="C1369" s="84" t="s">
        <v>2805</v>
      </c>
      <c r="D1369" s="84">
        <v>56</v>
      </c>
      <c r="E1369" s="84" t="s">
        <v>2805</v>
      </c>
      <c r="F1369" s="84" t="s">
        <v>2805</v>
      </c>
      <c r="G1369" s="84" t="s">
        <v>2805</v>
      </c>
      <c r="H1369" s="84" t="s">
        <v>2805</v>
      </c>
      <c r="I1369" s="84" t="s">
        <v>2805</v>
      </c>
      <c r="J1369" s="84" t="s">
        <v>2805</v>
      </c>
    </row>
    <row r="1370" spans="1:10" ht="12.75" customHeight="1">
      <c r="A1370" s="83"/>
      <c r="B1370" s="83" t="s">
        <v>2815</v>
      </c>
      <c r="C1370" s="84" t="s">
        <v>2805</v>
      </c>
      <c r="D1370" s="84">
        <v>1</v>
      </c>
      <c r="E1370" s="84">
        <v>0</v>
      </c>
      <c r="F1370" s="84" t="s">
        <v>2812</v>
      </c>
      <c r="G1370" s="84">
        <v>2</v>
      </c>
      <c r="H1370" s="84" t="s">
        <v>2812</v>
      </c>
      <c r="I1370" s="84">
        <v>0</v>
      </c>
      <c r="J1370" s="84" t="s">
        <v>2805</v>
      </c>
    </row>
    <row r="1371" spans="1:10" ht="12.75" customHeight="1">
      <c r="A1371" s="83"/>
      <c r="B1371" s="81" t="s">
        <v>2816</v>
      </c>
      <c r="C1371" s="84" t="s">
        <v>2805</v>
      </c>
      <c r="D1371" s="84">
        <v>8</v>
      </c>
      <c r="E1371" s="84">
        <v>0</v>
      </c>
      <c r="F1371" s="84">
        <v>1</v>
      </c>
      <c r="G1371" s="84">
        <v>9</v>
      </c>
      <c r="H1371" s="84" t="s">
        <v>2812</v>
      </c>
      <c r="I1371" s="84">
        <v>0</v>
      </c>
      <c r="J1371" s="84" t="s">
        <v>2805</v>
      </c>
    </row>
    <row r="1372" spans="1:10" ht="12.75" customHeight="1">
      <c r="A1372" s="83"/>
      <c r="B1372" s="83" t="s">
        <v>2817</v>
      </c>
      <c r="C1372" s="84" t="s">
        <v>2805</v>
      </c>
      <c r="D1372" s="84">
        <v>2</v>
      </c>
      <c r="E1372" s="84">
        <v>0</v>
      </c>
      <c r="F1372" s="84" t="s">
        <v>2812</v>
      </c>
      <c r="G1372" s="84">
        <v>8</v>
      </c>
      <c r="H1372" s="84" t="s">
        <v>2812</v>
      </c>
      <c r="I1372" s="84">
        <v>0</v>
      </c>
      <c r="J1372" s="84" t="s">
        <v>2805</v>
      </c>
    </row>
    <row r="1373" spans="1:10" ht="12.75" customHeight="1">
      <c r="A1373" s="83"/>
      <c r="B1373" s="83" t="s">
        <v>2818</v>
      </c>
      <c r="C1373" s="84" t="s">
        <v>2805</v>
      </c>
      <c r="D1373" s="84">
        <v>3</v>
      </c>
      <c r="E1373" s="84" t="s">
        <v>2805</v>
      </c>
      <c r="F1373" s="84" t="s">
        <v>2805</v>
      </c>
      <c r="G1373" s="84" t="s">
        <v>2805</v>
      </c>
      <c r="H1373" s="84" t="s">
        <v>2805</v>
      </c>
      <c r="I1373" s="84" t="s">
        <v>2805</v>
      </c>
      <c r="J1373" s="84" t="s">
        <v>2805</v>
      </c>
    </row>
    <row r="1374" spans="1:10" ht="12.75" customHeight="1">
      <c r="A1374" s="83"/>
      <c r="B1374" s="83" t="s">
        <v>2819</v>
      </c>
      <c r="C1374" s="84" t="s">
        <v>2805</v>
      </c>
      <c r="D1374" s="84">
        <v>2</v>
      </c>
      <c r="E1374" s="84">
        <v>0</v>
      </c>
      <c r="F1374" s="84" t="s">
        <v>2812</v>
      </c>
      <c r="G1374" s="84">
        <v>1</v>
      </c>
      <c r="H1374" s="84" t="s">
        <v>2812</v>
      </c>
      <c r="I1374" s="84">
        <v>0</v>
      </c>
      <c r="J1374" s="84" t="s">
        <v>2805</v>
      </c>
    </row>
    <row r="1375" spans="1:10" ht="12.75" customHeight="1">
      <c r="A1375" s="83"/>
      <c r="B1375" s="83" t="s">
        <v>2820</v>
      </c>
      <c r="C1375" s="84" t="s">
        <v>2805</v>
      </c>
      <c r="D1375" s="84" t="s">
        <v>2812</v>
      </c>
      <c r="E1375" s="84" t="s">
        <v>2805</v>
      </c>
      <c r="F1375" s="84">
        <v>1</v>
      </c>
      <c r="G1375" s="84" t="s">
        <v>2812</v>
      </c>
      <c r="H1375" s="84" t="s">
        <v>2812</v>
      </c>
      <c r="I1375" s="84" t="s">
        <v>2805</v>
      </c>
      <c r="J1375" s="84" t="s">
        <v>2805</v>
      </c>
    </row>
    <row r="1376" spans="1:10" ht="12.75" customHeight="1">
      <c r="A1376" s="83"/>
      <c r="B1376" s="83" t="s">
        <v>2821</v>
      </c>
      <c r="C1376" s="84" t="s">
        <v>2805</v>
      </c>
      <c r="D1376" s="84" t="s">
        <v>2805</v>
      </c>
      <c r="E1376" s="84">
        <v>0</v>
      </c>
      <c r="F1376" s="84">
        <v>0</v>
      </c>
      <c r="G1376" s="84" t="s">
        <v>2812</v>
      </c>
      <c r="H1376" s="84" t="s">
        <v>2812</v>
      </c>
      <c r="I1376" s="84">
        <v>0</v>
      </c>
      <c r="J1376" s="84" t="s">
        <v>2805</v>
      </c>
    </row>
    <row r="1377" spans="1:10" ht="12.75" customHeight="1">
      <c r="A1377" s="83"/>
      <c r="B1377" s="83" t="s">
        <v>2822</v>
      </c>
      <c r="C1377" s="84" t="s">
        <v>2805</v>
      </c>
      <c r="D1377" s="84">
        <v>1</v>
      </c>
      <c r="E1377" s="84">
        <v>0</v>
      </c>
      <c r="F1377" s="84" t="s">
        <v>2812</v>
      </c>
      <c r="G1377" s="84">
        <v>0</v>
      </c>
      <c r="H1377" s="84" t="s">
        <v>2812</v>
      </c>
      <c r="I1377" s="84">
        <v>0</v>
      </c>
      <c r="J1377" s="84" t="s">
        <v>2805</v>
      </c>
    </row>
    <row r="1378" spans="1:10" ht="12.75" customHeight="1">
      <c r="A1378" s="83"/>
      <c r="B1378" s="81" t="s">
        <v>2823</v>
      </c>
      <c r="C1378" s="84">
        <v>1</v>
      </c>
      <c r="D1378" s="84" t="s">
        <v>2812</v>
      </c>
      <c r="E1378" s="84">
        <v>0</v>
      </c>
      <c r="F1378" s="84">
        <v>0</v>
      </c>
      <c r="G1378" s="84">
        <v>1</v>
      </c>
      <c r="H1378" s="84" t="s">
        <v>2812</v>
      </c>
      <c r="I1378" s="84">
        <v>0</v>
      </c>
      <c r="J1378" s="84" t="s">
        <v>2812</v>
      </c>
    </row>
    <row r="1379" spans="1:10" ht="12.75" customHeight="1">
      <c r="A1379" s="83"/>
      <c r="B1379" s="81"/>
      <c r="C1379" s="84"/>
      <c r="D1379" s="84"/>
      <c r="E1379" s="84"/>
      <c r="F1379" s="84"/>
      <c r="G1379" s="84"/>
      <c r="H1379" s="84"/>
      <c r="I1379" s="84"/>
      <c r="J1379" s="84"/>
    </row>
    <row r="1380" spans="1:10" s="71" customFormat="1" ht="12.75" customHeight="1">
      <c r="A1380" s="81" t="s">
        <v>2947</v>
      </c>
      <c r="B1380" s="81" t="s">
        <v>2948</v>
      </c>
      <c r="C1380" s="86"/>
      <c r="D1380" s="86"/>
      <c r="E1380" s="86"/>
      <c r="F1380" s="86"/>
      <c r="G1380" s="86"/>
      <c r="H1380" s="86"/>
      <c r="I1380" s="86"/>
      <c r="J1380" s="86"/>
    </row>
    <row r="1381" spans="1:10" s="71" customFormat="1" ht="12.75" customHeight="1">
      <c r="A1381" s="81"/>
      <c r="B1381" s="81"/>
      <c r="C1381" s="86"/>
      <c r="D1381" s="86"/>
      <c r="E1381" s="86"/>
      <c r="F1381" s="86"/>
      <c r="G1381" s="86"/>
      <c r="H1381" s="86"/>
      <c r="I1381" s="86"/>
      <c r="J1381" s="86"/>
    </row>
    <row r="1382" spans="1:10" s="71" customFormat="1" ht="12.75" customHeight="1">
      <c r="A1382" s="81"/>
      <c r="B1382" s="81"/>
      <c r="C1382" s="86"/>
      <c r="D1382" s="86"/>
      <c r="E1382" s="86"/>
      <c r="F1382" s="86"/>
      <c r="G1382" s="86"/>
      <c r="H1382" s="86"/>
      <c r="I1382" s="86"/>
      <c r="J1382" s="86"/>
    </row>
    <row r="1383" spans="1:10" ht="12.75" customHeight="1">
      <c r="A1383" s="83"/>
      <c r="B1383" s="81" t="s">
        <v>2803</v>
      </c>
      <c r="C1383" s="84">
        <v>21</v>
      </c>
      <c r="D1383" s="84">
        <v>3</v>
      </c>
      <c r="E1383" s="84">
        <v>0</v>
      </c>
      <c r="F1383" s="84" t="s">
        <v>2812</v>
      </c>
      <c r="G1383" s="84">
        <v>18</v>
      </c>
      <c r="H1383" s="84" t="s">
        <v>2812</v>
      </c>
      <c r="I1383" s="84">
        <v>0</v>
      </c>
      <c r="J1383" s="84" t="s">
        <v>2812</v>
      </c>
    </row>
    <row r="1384" spans="1:10" ht="12.75" customHeight="1">
      <c r="A1384" s="83"/>
      <c r="B1384" s="81" t="s">
        <v>2804</v>
      </c>
      <c r="C1384" s="84" t="s">
        <v>2805</v>
      </c>
      <c r="D1384" s="84" t="s">
        <v>2812</v>
      </c>
      <c r="E1384" s="84">
        <v>0</v>
      </c>
      <c r="F1384" s="84">
        <v>0</v>
      </c>
      <c r="G1384" s="84" t="s">
        <v>2812</v>
      </c>
      <c r="H1384" s="84">
        <v>0</v>
      </c>
      <c r="I1384" s="84">
        <v>0</v>
      </c>
      <c r="J1384" s="84" t="s">
        <v>2805</v>
      </c>
    </row>
    <row r="1385" spans="1:10" ht="12.75" customHeight="1">
      <c r="A1385" s="83"/>
      <c r="B1385" s="83" t="s">
        <v>2806</v>
      </c>
      <c r="C1385" s="84" t="s">
        <v>2805</v>
      </c>
      <c r="D1385" s="84" t="s">
        <v>2812</v>
      </c>
      <c r="E1385" s="84">
        <v>0</v>
      </c>
      <c r="F1385" s="84">
        <v>0</v>
      </c>
      <c r="G1385" s="84" t="s">
        <v>2812</v>
      </c>
      <c r="H1385" s="84">
        <v>0</v>
      </c>
      <c r="I1385" s="84">
        <v>0</v>
      </c>
      <c r="J1385" s="84" t="s">
        <v>2805</v>
      </c>
    </row>
    <row r="1386" spans="1:10" ht="12.75" customHeight="1">
      <c r="A1386" s="83"/>
      <c r="B1386" s="83" t="s">
        <v>2807</v>
      </c>
      <c r="C1386" s="84" t="s">
        <v>2805</v>
      </c>
      <c r="D1386" s="84">
        <v>0</v>
      </c>
      <c r="E1386" s="84">
        <v>0</v>
      </c>
      <c r="F1386" s="84">
        <v>0</v>
      </c>
      <c r="G1386" s="84" t="s">
        <v>2812</v>
      </c>
      <c r="H1386" s="84">
        <v>0</v>
      </c>
      <c r="I1386" s="84">
        <v>0</v>
      </c>
      <c r="J1386" s="84" t="s">
        <v>2805</v>
      </c>
    </row>
    <row r="1387" spans="1:10" ht="12.75" customHeight="1">
      <c r="A1387" s="83"/>
      <c r="B1387" s="81" t="s">
        <v>2808</v>
      </c>
      <c r="C1387" s="84" t="s">
        <v>2805</v>
      </c>
      <c r="D1387" s="84">
        <v>2</v>
      </c>
      <c r="E1387" s="84">
        <v>0</v>
      </c>
      <c r="F1387" s="84" t="s">
        <v>2812</v>
      </c>
      <c r="G1387" s="84">
        <v>17</v>
      </c>
      <c r="H1387" s="84" t="s">
        <v>2812</v>
      </c>
      <c r="I1387" s="84">
        <v>0</v>
      </c>
      <c r="J1387" s="84" t="s">
        <v>2805</v>
      </c>
    </row>
    <row r="1388" spans="1:10" ht="12.75" customHeight="1">
      <c r="A1388" s="83"/>
      <c r="B1388" s="83" t="s">
        <v>2810</v>
      </c>
      <c r="C1388" s="84" t="s">
        <v>2805</v>
      </c>
      <c r="D1388" s="84" t="s">
        <v>2812</v>
      </c>
      <c r="E1388" s="84">
        <v>0</v>
      </c>
      <c r="F1388" s="84">
        <v>0</v>
      </c>
      <c r="G1388" s="84">
        <v>17</v>
      </c>
      <c r="H1388" s="84" t="s">
        <v>2812</v>
      </c>
      <c r="I1388" s="84">
        <v>0</v>
      </c>
      <c r="J1388" s="84" t="s">
        <v>2805</v>
      </c>
    </row>
    <row r="1389" spans="1:10" ht="12.75" customHeight="1">
      <c r="A1389" s="83"/>
      <c r="B1389" s="83" t="s">
        <v>2811</v>
      </c>
      <c r="C1389" s="84" t="s">
        <v>2805</v>
      </c>
      <c r="D1389" s="84" t="s">
        <v>2812</v>
      </c>
      <c r="E1389" s="84">
        <v>0</v>
      </c>
      <c r="F1389" s="84">
        <v>0</v>
      </c>
      <c r="G1389" s="84" t="s">
        <v>2812</v>
      </c>
      <c r="H1389" s="84">
        <v>0</v>
      </c>
      <c r="I1389" s="84">
        <v>0</v>
      </c>
      <c r="J1389" s="84" t="s">
        <v>2805</v>
      </c>
    </row>
    <row r="1390" spans="1:10" ht="12.75" customHeight="1">
      <c r="A1390" s="83"/>
      <c r="B1390" s="83" t="s">
        <v>2813</v>
      </c>
      <c r="C1390" s="84" t="s">
        <v>2805</v>
      </c>
      <c r="D1390" s="84">
        <v>2</v>
      </c>
      <c r="E1390" s="84">
        <v>0</v>
      </c>
      <c r="F1390" s="84" t="s">
        <v>2812</v>
      </c>
      <c r="G1390" s="84" t="s">
        <v>2812</v>
      </c>
      <c r="H1390" s="84" t="s">
        <v>2812</v>
      </c>
      <c r="I1390" s="84">
        <v>0</v>
      </c>
      <c r="J1390" s="84" t="s">
        <v>2805</v>
      </c>
    </row>
    <row r="1391" spans="1:10" ht="12.75" customHeight="1">
      <c r="A1391" s="83"/>
      <c r="B1391" s="83" t="s">
        <v>2814</v>
      </c>
      <c r="C1391" s="84" t="s">
        <v>2805</v>
      </c>
      <c r="D1391" s="84">
        <v>0</v>
      </c>
      <c r="E1391" s="84" t="s">
        <v>2805</v>
      </c>
      <c r="F1391" s="84" t="s">
        <v>2805</v>
      </c>
      <c r="G1391" s="84" t="s">
        <v>2805</v>
      </c>
      <c r="H1391" s="84" t="s">
        <v>2805</v>
      </c>
      <c r="I1391" s="84" t="s">
        <v>2805</v>
      </c>
      <c r="J1391" s="84" t="s">
        <v>2805</v>
      </c>
    </row>
    <row r="1392" spans="1:10" ht="12.75" customHeight="1">
      <c r="A1392" s="83"/>
      <c r="B1392" s="83" t="s">
        <v>2815</v>
      </c>
      <c r="C1392" s="84" t="s">
        <v>2805</v>
      </c>
      <c r="D1392" s="84" t="s">
        <v>2812</v>
      </c>
      <c r="E1392" s="84">
        <v>0</v>
      </c>
      <c r="F1392" s="84">
        <v>0</v>
      </c>
      <c r="G1392" s="84" t="s">
        <v>2812</v>
      </c>
      <c r="H1392" s="84" t="s">
        <v>2812</v>
      </c>
      <c r="I1392" s="84">
        <v>0</v>
      </c>
      <c r="J1392" s="84" t="s">
        <v>2805</v>
      </c>
    </row>
    <row r="1393" spans="1:10" ht="12.75" customHeight="1">
      <c r="A1393" s="83"/>
      <c r="B1393" s="81" t="s">
        <v>2816</v>
      </c>
      <c r="C1393" s="84" t="s">
        <v>2805</v>
      </c>
      <c r="D1393" s="84" t="s">
        <v>2812</v>
      </c>
      <c r="E1393" s="84">
        <v>0</v>
      </c>
      <c r="F1393" s="84" t="s">
        <v>2812</v>
      </c>
      <c r="G1393" s="84">
        <v>1</v>
      </c>
      <c r="H1393" s="84" t="s">
        <v>2812</v>
      </c>
      <c r="I1393" s="84">
        <v>0</v>
      </c>
      <c r="J1393" s="84" t="s">
        <v>2805</v>
      </c>
    </row>
    <row r="1394" spans="1:10" ht="12.75" customHeight="1">
      <c r="A1394" s="83"/>
      <c r="B1394" s="83" t="s">
        <v>2817</v>
      </c>
      <c r="C1394" s="84" t="s">
        <v>2805</v>
      </c>
      <c r="D1394" s="84" t="s">
        <v>2812</v>
      </c>
      <c r="E1394" s="84">
        <v>0</v>
      </c>
      <c r="F1394" s="84" t="s">
        <v>2812</v>
      </c>
      <c r="G1394" s="84">
        <v>1</v>
      </c>
      <c r="H1394" s="84" t="s">
        <v>2812</v>
      </c>
      <c r="I1394" s="84">
        <v>0</v>
      </c>
      <c r="J1394" s="84" t="s">
        <v>2805</v>
      </c>
    </row>
    <row r="1395" spans="1:10" ht="12.75" customHeight="1">
      <c r="A1395" s="83"/>
      <c r="B1395" s="83" t="s">
        <v>2818</v>
      </c>
      <c r="C1395" s="84" t="s">
        <v>2805</v>
      </c>
      <c r="D1395" s="84" t="s">
        <v>2812</v>
      </c>
      <c r="E1395" s="84" t="s">
        <v>2805</v>
      </c>
      <c r="F1395" s="84" t="s">
        <v>2805</v>
      </c>
      <c r="G1395" s="84" t="s">
        <v>2805</v>
      </c>
      <c r="H1395" s="84" t="s">
        <v>2805</v>
      </c>
      <c r="I1395" s="84" t="s">
        <v>2805</v>
      </c>
      <c r="J1395" s="84" t="s">
        <v>2805</v>
      </c>
    </row>
    <row r="1396" spans="1:10" ht="12.75" customHeight="1">
      <c r="A1396" s="83"/>
      <c r="B1396" s="83" t="s">
        <v>2819</v>
      </c>
      <c r="C1396" s="84" t="s">
        <v>2805</v>
      </c>
      <c r="D1396" s="84" t="s">
        <v>2812</v>
      </c>
      <c r="E1396" s="84">
        <v>0</v>
      </c>
      <c r="F1396" s="84" t="s">
        <v>2812</v>
      </c>
      <c r="G1396" s="84" t="s">
        <v>2812</v>
      </c>
      <c r="H1396" s="84" t="s">
        <v>2812</v>
      </c>
      <c r="I1396" s="84">
        <v>0</v>
      </c>
      <c r="J1396" s="84" t="s">
        <v>2805</v>
      </c>
    </row>
    <row r="1397" spans="1:10" ht="12.75" customHeight="1">
      <c r="A1397" s="83"/>
      <c r="B1397" s="83" t="s">
        <v>2820</v>
      </c>
      <c r="C1397" s="84" t="s">
        <v>2805</v>
      </c>
      <c r="D1397" s="84" t="s">
        <v>2812</v>
      </c>
      <c r="E1397" s="84" t="s">
        <v>2805</v>
      </c>
      <c r="F1397" s="84" t="s">
        <v>2812</v>
      </c>
      <c r="G1397" s="84">
        <v>0</v>
      </c>
      <c r="H1397" s="84" t="s">
        <v>2812</v>
      </c>
      <c r="I1397" s="84" t="s">
        <v>2805</v>
      </c>
      <c r="J1397" s="84" t="s">
        <v>2805</v>
      </c>
    </row>
    <row r="1398" spans="1:10" ht="12.75" customHeight="1">
      <c r="A1398" s="83"/>
      <c r="B1398" s="83" t="s">
        <v>2821</v>
      </c>
      <c r="C1398" s="84" t="s">
        <v>2805</v>
      </c>
      <c r="D1398" s="84" t="s">
        <v>2805</v>
      </c>
      <c r="E1398" s="84">
        <v>0</v>
      </c>
      <c r="F1398" s="84">
        <v>0</v>
      </c>
      <c r="G1398" s="84">
        <v>0</v>
      </c>
      <c r="H1398" s="84">
        <v>0</v>
      </c>
      <c r="I1398" s="84">
        <v>0</v>
      </c>
      <c r="J1398" s="84" t="s">
        <v>2805</v>
      </c>
    </row>
    <row r="1399" spans="1:10" ht="12.75" customHeight="1">
      <c r="A1399" s="83"/>
      <c r="B1399" s="83" t="s">
        <v>2822</v>
      </c>
      <c r="C1399" s="84" t="s">
        <v>2805</v>
      </c>
      <c r="D1399" s="84" t="s">
        <v>2812</v>
      </c>
      <c r="E1399" s="84">
        <v>0</v>
      </c>
      <c r="F1399" s="84" t="s">
        <v>2812</v>
      </c>
      <c r="G1399" s="84">
        <v>0</v>
      </c>
      <c r="H1399" s="84" t="s">
        <v>2812</v>
      </c>
      <c r="I1399" s="84">
        <v>0</v>
      </c>
      <c r="J1399" s="84" t="s">
        <v>2805</v>
      </c>
    </row>
    <row r="1400" spans="1:10" ht="12.75" customHeight="1">
      <c r="A1400" s="83"/>
      <c r="B1400" s="81" t="s">
        <v>2823</v>
      </c>
      <c r="C1400" s="84" t="s">
        <v>2812</v>
      </c>
      <c r="D1400" s="84">
        <v>0</v>
      </c>
      <c r="E1400" s="84">
        <v>0</v>
      </c>
      <c r="F1400" s="84">
        <v>0</v>
      </c>
      <c r="G1400" s="84">
        <v>0</v>
      </c>
      <c r="H1400" s="84" t="s">
        <v>2812</v>
      </c>
      <c r="I1400" s="84">
        <v>0</v>
      </c>
      <c r="J1400" s="84" t="s">
        <v>2812</v>
      </c>
    </row>
    <row r="1401" spans="1:10" ht="12.75" customHeight="1">
      <c r="A1401" s="83"/>
      <c r="B1401" s="81"/>
      <c r="C1401" s="84"/>
      <c r="D1401" s="84"/>
      <c r="E1401" s="84"/>
      <c r="F1401" s="84"/>
      <c r="G1401" s="84"/>
      <c r="H1401" s="84"/>
      <c r="I1401" s="84"/>
      <c r="J1401" s="84"/>
    </row>
    <row r="1402" spans="1:10" s="71" customFormat="1" ht="12.75" customHeight="1">
      <c r="A1402" s="81" t="s">
        <v>2949</v>
      </c>
      <c r="B1402" s="81" t="s">
        <v>2950</v>
      </c>
      <c r="C1402" s="86"/>
      <c r="D1402" s="86"/>
      <c r="E1402" s="86"/>
      <c r="F1402" s="86"/>
      <c r="G1402" s="86"/>
      <c r="H1402" s="86"/>
      <c r="I1402" s="86"/>
      <c r="J1402" s="86"/>
    </row>
    <row r="1403" spans="1:10" s="71" customFormat="1" ht="12.75" customHeight="1">
      <c r="A1403" s="81"/>
      <c r="B1403" s="81"/>
      <c r="C1403" s="86"/>
      <c r="D1403" s="86"/>
      <c r="E1403" s="86"/>
      <c r="F1403" s="86"/>
      <c r="G1403" s="86"/>
      <c r="H1403" s="86"/>
      <c r="I1403" s="86"/>
      <c r="J1403" s="86"/>
    </row>
    <row r="1404" spans="1:10" s="71" customFormat="1" ht="12.75" customHeight="1">
      <c r="A1404" s="81"/>
      <c r="B1404" s="81"/>
      <c r="C1404" s="86"/>
      <c r="D1404" s="86"/>
      <c r="E1404" s="86"/>
      <c r="F1404" s="86"/>
      <c r="G1404" s="86"/>
      <c r="H1404" s="86"/>
      <c r="I1404" s="86"/>
      <c r="J1404" s="86"/>
    </row>
    <row r="1405" spans="1:10" ht="12.75" customHeight="1">
      <c r="A1405" s="83"/>
      <c r="B1405" s="81" t="s">
        <v>2803</v>
      </c>
      <c r="C1405" s="84">
        <v>73</v>
      </c>
      <c r="D1405" s="84">
        <v>18</v>
      </c>
      <c r="E1405" s="84">
        <v>0</v>
      </c>
      <c r="F1405" s="84" t="s">
        <v>2812</v>
      </c>
      <c r="G1405" s="84">
        <v>54</v>
      </c>
      <c r="H1405" s="84" t="s">
        <v>2812</v>
      </c>
      <c r="I1405" s="84">
        <v>0</v>
      </c>
      <c r="J1405" s="84" t="s">
        <v>2812</v>
      </c>
    </row>
    <row r="1406" spans="1:10" ht="12.75" customHeight="1">
      <c r="A1406" s="83"/>
      <c r="B1406" s="81" t="s">
        <v>2804</v>
      </c>
      <c r="C1406" s="84" t="s">
        <v>2805</v>
      </c>
      <c r="D1406" s="84" t="s">
        <v>2812</v>
      </c>
      <c r="E1406" s="84">
        <v>0</v>
      </c>
      <c r="F1406" s="84" t="s">
        <v>2812</v>
      </c>
      <c r="G1406" s="84">
        <v>1</v>
      </c>
      <c r="H1406" s="84">
        <v>0</v>
      </c>
      <c r="I1406" s="84">
        <v>0</v>
      </c>
      <c r="J1406" s="84" t="s">
        <v>2805</v>
      </c>
    </row>
    <row r="1407" spans="1:10" ht="12.75" customHeight="1">
      <c r="A1407" s="83"/>
      <c r="B1407" s="83" t="s">
        <v>2806</v>
      </c>
      <c r="C1407" s="84" t="s">
        <v>2805</v>
      </c>
      <c r="D1407" s="84" t="s">
        <v>2812</v>
      </c>
      <c r="E1407" s="84">
        <v>0</v>
      </c>
      <c r="F1407" s="84">
        <v>0</v>
      </c>
      <c r="G1407" s="84" t="s">
        <v>2812</v>
      </c>
      <c r="H1407" s="84">
        <v>0</v>
      </c>
      <c r="I1407" s="84">
        <v>0</v>
      </c>
      <c r="J1407" s="84" t="s">
        <v>2805</v>
      </c>
    </row>
    <row r="1408" spans="1:10" ht="12.75" customHeight="1">
      <c r="A1408" s="83"/>
      <c r="B1408" s="83" t="s">
        <v>2807</v>
      </c>
      <c r="C1408" s="84" t="s">
        <v>2805</v>
      </c>
      <c r="D1408" s="84">
        <v>0</v>
      </c>
      <c r="E1408" s="84">
        <v>0</v>
      </c>
      <c r="F1408" s="84" t="s">
        <v>2812</v>
      </c>
      <c r="G1408" s="84" t="s">
        <v>2812</v>
      </c>
      <c r="H1408" s="84">
        <v>0</v>
      </c>
      <c r="I1408" s="84">
        <v>0</v>
      </c>
      <c r="J1408" s="84" t="s">
        <v>2805</v>
      </c>
    </row>
    <row r="1409" spans="1:10" ht="12.75" customHeight="1">
      <c r="A1409" s="83"/>
      <c r="B1409" s="81" t="s">
        <v>2808</v>
      </c>
      <c r="C1409" s="84" t="s">
        <v>2805</v>
      </c>
      <c r="D1409" s="84">
        <v>16</v>
      </c>
      <c r="E1409" s="84">
        <v>0</v>
      </c>
      <c r="F1409" s="84" t="s">
        <v>2812</v>
      </c>
      <c r="G1409" s="84">
        <v>51</v>
      </c>
      <c r="H1409" s="84" t="s">
        <v>2812</v>
      </c>
      <c r="I1409" s="84">
        <v>0</v>
      </c>
      <c r="J1409" s="84" t="s">
        <v>2805</v>
      </c>
    </row>
    <row r="1410" spans="1:10" ht="12.75" customHeight="1">
      <c r="A1410" s="83"/>
      <c r="B1410" s="83" t="s">
        <v>2810</v>
      </c>
      <c r="C1410" s="84" t="s">
        <v>2805</v>
      </c>
      <c r="D1410" s="84">
        <v>2</v>
      </c>
      <c r="E1410" s="84">
        <v>0</v>
      </c>
      <c r="F1410" s="84">
        <v>0</v>
      </c>
      <c r="G1410" s="84">
        <v>50</v>
      </c>
      <c r="H1410" s="84" t="s">
        <v>2812</v>
      </c>
      <c r="I1410" s="84">
        <v>0</v>
      </c>
      <c r="J1410" s="84" t="s">
        <v>2805</v>
      </c>
    </row>
    <row r="1411" spans="1:10" ht="12.75" customHeight="1">
      <c r="A1411" s="83"/>
      <c r="B1411" s="83" t="s">
        <v>2811</v>
      </c>
      <c r="C1411" s="84" t="s">
        <v>2805</v>
      </c>
      <c r="D1411" s="84">
        <v>1</v>
      </c>
      <c r="E1411" s="84">
        <v>0</v>
      </c>
      <c r="F1411" s="84">
        <v>0</v>
      </c>
      <c r="G1411" s="84">
        <v>0</v>
      </c>
      <c r="H1411" s="84">
        <v>0</v>
      </c>
      <c r="I1411" s="84">
        <v>0</v>
      </c>
      <c r="J1411" s="84" t="s">
        <v>2805</v>
      </c>
    </row>
    <row r="1412" spans="1:10" ht="12.75" customHeight="1">
      <c r="A1412" s="83"/>
      <c r="B1412" s="83" t="s">
        <v>2813</v>
      </c>
      <c r="C1412" s="84" t="s">
        <v>2805</v>
      </c>
      <c r="D1412" s="84">
        <v>13</v>
      </c>
      <c r="E1412" s="84">
        <v>0</v>
      </c>
      <c r="F1412" s="84" t="s">
        <v>2812</v>
      </c>
      <c r="G1412" s="84" t="s">
        <v>2812</v>
      </c>
      <c r="H1412" s="84" t="s">
        <v>2812</v>
      </c>
      <c r="I1412" s="84">
        <v>0</v>
      </c>
      <c r="J1412" s="84" t="s">
        <v>2805</v>
      </c>
    </row>
    <row r="1413" spans="1:10" ht="12.75" customHeight="1">
      <c r="A1413" s="83"/>
      <c r="B1413" s="83" t="s">
        <v>2814</v>
      </c>
      <c r="C1413" s="84" t="s">
        <v>2805</v>
      </c>
      <c r="D1413" s="84" t="s">
        <v>2812</v>
      </c>
      <c r="E1413" s="84" t="s">
        <v>2805</v>
      </c>
      <c r="F1413" s="84" t="s">
        <v>2805</v>
      </c>
      <c r="G1413" s="84" t="s">
        <v>2805</v>
      </c>
      <c r="H1413" s="84" t="s">
        <v>2805</v>
      </c>
      <c r="I1413" s="84" t="s">
        <v>2805</v>
      </c>
      <c r="J1413" s="84" t="s">
        <v>2805</v>
      </c>
    </row>
    <row r="1414" spans="1:10" ht="12.75" customHeight="1">
      <c r="A1414" s="83"/>
      <c r="B1414" s="83" t="s">
        <v>2815</v>
      </c>
      <c r="C1414" s="84" t="s">
        <v>2805</v>
      </c>
      <c r="D1414" s="84" t="s">
        <v>2812</v>
      </c>
      <c r="E1414" s="84">
        <v>0</v>
      </c>
      <c r="F1414" s="84" t="s">
        <v>2812</v>
      </c>
      <c r="G1414" s="84">
        <v>2</v>
      </c>
      <c r="H1414" s="84" t="s">
        <v>2812</v>
      </c>
      <c r="I1414" s="84">
        <v>0</v>
      </c>
      <c r="J1414" s="84" t="s">
        <v>2805</v>
      </c>
    </row>
    <row r="1415" spans="1:10" ht="12.75" customHeight="1">
      <c r="A1415" s="83"/>
      <c r="B1415" s="81" t="s">
        <v>2816</v>
      </c>
      <c r="C1415" s="84" t="s">
        <v>2805</v>
      </c>
      <c r="D1415" s="84">
        <v>2</v>
      </c>
      <c r="E1415" s="84">
        <v>0</v>
      </c>
      <c r="F1415" s="84" t="s">
        <v>2812</v>
      </c>
      <c r="G1415" s="84">
        <v>2</v>
      </c>
      <c r="H1415" s="84" t="s">
        <v>2812</v>
      </c>
      <c r="I1415" s="84">
        <v>0</v>
      </c>
      <c r="J1415" s="84" t="s">
        <v>2805</v>
      </c>
    </row>
    <row r="1416" spans="1:10" ht="12.75" customHeight="1">
      <c r="A1416" s="83"/>
      <c r="B1416" s="83" t="s">
        <v>2817</v>
      </c>
      <c r="C1416" s="84" t="s">
        <v>2805</v>
      </c>
      <c r="D1416" s="84">
        <v>1</v>
      </c>
      <c r="E1416" s="84">
        <v>0</v>
      </c>
      <c r="F1416" s="84">
        <v>0</v>
      </c>
      <c r="G1416" s="84">
        <v>2</v>
      </c>
      <c r="H1416" s="84">
        <v>0</v>
      </c>
      <c r="I1416" s="84">
        <v>0</v>
      </c>
      <c r="J1416" s="84" t="s">
        <v>2805</v>
      </c>
    </row>
    <row r="1417" spans="1:10" ht="12.75" customHeight="1">
      <c r="A1417" s="83"/>
      <c r="B1417" s="83" t="s">
        <v>2818</v>
      </c>
      <c r="C1417" s="84" t="s">
        <v>2805</v>
      </c>
      <c r="D1417" s="84">
        <v>1</v>
      </c>
      <c r="E1417" s="84" t="s">
        <v>2805</v>
      </c>
      <c r="F1417" s="84" t="s">
        <v>2805</v>
      </c>
      <c r="G1417" s="84" t="s">
        <v>2805</v>
      </c>
      <c r="H1417" s="84" t="s">
        <v>2805</v>
      </c>
      <c r="I1417" s="84" t="s">
        <v>2805</v>
      </c>
      <c r="J1417" s="84" t="s">
        <v>2805</v>
      </c>
    </row>
    <row r="1418" spans="1:10" ht="12.75" customHeight="1">
      <c r="A1418" s="83"/>
      <c r="B1418" s="83" t="s">
        <v>2819</v>
      </c>
      <c r="C1418" s="84" t="s">
        <v>2805</v>
      </c>
      <c r="D1418" s="84" t="s">
        <v>2812</v>
      </c>
      <c r="E1418" s="84">
        <v>0</v>
      </c>
      <c r="F1418" s="84">
        <v>0</v>
      </c>
      <c r="G1418" s="84" t="s">
        <v>2812</v>
      </c>
      <c r="H1418" s="84">
        <v>0</v>
      </c>
      <c r="I1418" s="84">
        <v>0</v>
      </c>
      <c r="J1418" s="84" t="s">
        <v>2805</v>
      </c>
    </row>
    <row r="1419" spans="1:10" ht="12.75" customHeight="1">
      <c r="A1419" s="83"/>
      <c r="B1419" s="83" t="s">
        <v>2820</v>
      </c>
      <c r="C1419" s="84" t="s">
        <v>2805</v>
      </c>
      <c r="D1419" s="84" t="s">
        <v>2812</v>
      </c>
      <c r="E1419" s="84" t="s">
        <v>2805</v>
      </c>
      <c r="F1419" s="84" t="s">
        <v>2812</v>
      </c>
      <c r="G1419" s="84">
        <v>0</v>
      </c>
      <c r="H1419" s="84" t="s">
        <v>2812</v>
      </c>
      <c r="I1419" s="84" t="s">
        <v>2805</v>
      </c>
      <c r="J1419" s="84" t="s">
        <v>2805</v>
      </c>
    </row>
    <row r="1420" spans="1:10" ht="12.75" customHeight="1">
      <c r="A1420" s="83"/>
      <c r="B1420" s="83" t="s">
        <v>2821</v>
      </c>
      <c r="C1420" s="84" t="s">
        <v>2805</v>
      </c>
      <c r="D1420" s="84" t="s">
        <v>2805</v>
      </c>
      <c r="E1420" s="84">
        <v>0</v>
      </c>
      <c r="F1420" s="84">
        <v>0</v>
      </c>
      <c r="G1420" s="84">
        <v>0</v>
      </c>
      <c r="H1420" s="84">
        <v>0</v>
      </c>
      <c r="I1420" s="84">
        <v>0</v>
      </c>
      <c r="J1420" s="84" t="s">
        <v>2805</v>
      </c>
    </row>
    <row r="1421" spans="1:10" ht="12.75" customHeight="1">
      <c r="A1421" s="83"/>
      <c r="B1421" s="83" t="s">
        <v>2822</v>
      </c>
      <c r="C1421" s="84" t="s">
        <v>2805</v>
      </c>
      <c r="D1421" s="84">
        <v>0</v>
      </c>
      <c r="E1421" s="84">
        <v>0</v>
      </c>
      <c r="F1421" s="84" t="s">
        <v>2812</v>
      </c>
      <c r="G1421" s="84">
        <v>0</v>
      </c>
      <c r="H1421" s="84" t="s">
        <v>2812</v>
      </c>
      <c r="I1421" s="84">
        <v>0</v>
      </c>
      <c r="J1421" s="84" t="s">
        <v>2805</v>
      </c>
    </row>
    <row r="1422" spans="1:10" ht="12.75" customHeight="1">
      <c r="A1422" s="83"/>
      <c r="B1422" s="81" t="s">
        <v>2823</v>
      </c>
      <c r="C1422" s="84" t="s">
        <v>2812</v>
      </c>
      <c r="D1422" s="84">
        <v>0</v>
      </c>
      <c r="E1422" s="84">
        <v>0</v>
      </c>
      <c r="F1422" s="84">
        <v>0</v>
      </c>
      <c r="G1422" s="84">
        <v>0</v>
      </c>
      <c r="H1422" s="84">
        <v>0</v>
      </c>
      <c r="I1422" s="84">
        <v>0</v>
      </c>
      <c r="J1422" s="84" t="s">
        <v>2812</v>
      </c>
    </row>
    <row r="1423" spans="1:10" ht="12.75" customHeight="1">
      <c r="A1423" s="83"/>
      <c r="B1423" s="81"/>
      <c r="C1423" s="84"/>
      <c r="D1423" s="84"/>
      <c r="E1423" s="84"/>
      <c r="F1423" s="84"/>
      <c r="G1423" s="84"/>
      <c r="H1423" s="84"/>
      <c r="I1423" s="84"/>
      <c r="J1423" s="84"/>
    </row>
    <row r="1424" spans="1:10" s="71" customFormat="1" ht="12.75" customHeight="1">
      <c r="A1424" s="81" t="s">
        <v>2951</v>
      </c>
      <c r="B1424" s="81" t="s">
        <v>2952</v>
      </c>
      <c r="C1424" s="86"/>
      <c r="D1424" s="86"/>
      <c r="E1424" s="86"/>
      <c r="F1424" s="86"/>
      <c r="G1424" s="86"/>
      <c r="H1424" s="86"/>
      <c r="I1424" s="86"/>
      <c r="J1424" s="86"/>
    </row>
    <row r="1425" spans="1:10" ht="12.75" customHeight="1">
      <c r="A1425" s="83"/>
      <c r="B1425" s="83"/>
      <c r="C1425" s="84"/>
      <c r="D1425" s="84"/>
      <c r="E1425" s="84"/>
      <c r="F1425" s="84"/>
      <c r="G1425" s="84"/>
      <c r="H1425" s="84"/>
      <c r="I1425" s="84"/>
      <c r="J1425" s="84"/>
    </row>
    <row r="1426" spans="1:10" ht="12.75" customHeight="1">
      <c r="A1426" s="83"/>
      <c r="B1426" s="83"/>
      <c r="C1426" s="84"/>
      <c r="D1426" s="84"/>
      <c r="E1426" s="84"/>
      <c r="F1426" s="84"/>
      <c r="G1426" s="84"/>
      <c r="H1426" s="84"/>
      <c r="I1426" s="84"/>
      <c r="J1426" s="84"/>
    </row>
    <row r="1427" spans="1:10" ht="12.75" customHeight="1">
      <c r="A1427" s="83"/>
      <c r="B1427" s="81" t="s">
        <v>2803</v>
      </c>
      <c r="C1427" s="84">
        <v>24</v>
      </c>
      <c r="D1427" s="84">
        <v>7</v>
      </c>
      <c r="E1427" s="84">
        <v>0</v>
      </c>
      <c r="F1427" s="84" t="s">
        <v>2812</v>
      </c>
      <c r="G1427" s="84">
        <v>17</v>
      </c>
      <c r="H1427" s="84" t="s">
        <v>2812</v>
      </c>
      <c r="I1427" s="84">
        <v>0</v>
      </c>
      <c r="J1427" s="84" t="s">
        <v>2812</v>
      </c>
    </row>
    <row r="1428" spans="1:10" ht="12.75" customHeight="1">
      <c r="A1428" s="83"/>
      <c r="B1428" s="81" t="s">
        <v>2804</v>
      </c>
      <c r="C1428" s="84" t="s">
        <v>2805</v>
      </c>
      <c r="D1428" s="84" t="s">
        <v>2812</v>
      </c>
      <c r="E1428" s="84">
        <v>0</v>
      </c>
      <c r="F1428" s="84">
        <v>0</v>
      </c>
      <c r="G1428" s="84">
        <v>1</v>
      </c>
      <c r="H1428" s="84" t="s">
        <v>2812</v>
      </c>
      <c r="I1428" s="84">
        <v>0</v>
      </c>
      <c r="J1428" s="84" t="s">
        <v>2805</v>
      </c>
    </row>
    <row r="1429" spans="1:10" ht="12.75" customHeight="1">
      <c r="A1429" s="83"/>
      <c r="B1429" s="83" t="s">
        <v>2806</v>
      </c>
      <c r="C1429" s="84" t="s">
        <v>2805</v>
      </c>
      <c r="D1429" s="84" t="s">
        <v>2812</v>
      </c>
      <c r="E1429" s="84">
        <v>0</v>
      </c>
      <c r="F1429" s="84">
        <v>0</v>
      </c>
      <c r="G1429" s="84" t="s">
        <v>2812</v>
      </c>
      <c r="H1429" s="84" t="s">
        <v>2812</v>
      </c>
      <c r="I1429" s="84">
        <v>0</v>
      </c>
      <c r="J1429" s="84" t="s">
        <v>2805</v>
      </c>
    </row>
    <row r="1430" spans="1:10" ht="12.75" customHeight="1">
      <c r="A1430" s="83"/>
      <c r="B1430" s="83" t="s">
        <v>2807</v>
      </c>
      <c r="C1430" s="84" t="s">
        <v>2805</v>
      </c>
      <c r="D1430" s="84">
        <v>0</v>
      </c>
      <c r="E1430" s="84">
        <v>0</v>
      </c>
      <c r="F1430" s="84">
        <v>0</v>
      </c>
      <c r="G1430" s="84">
        <v>1</v>
      </c>
      <c r="H1430" s="84" t="s">
        <v>2812</v>
      </c>
      <c r="I1430" s="84">
        <v>0</v>
      </c>
      <c r="J1430" s="84" t="s">
        <v>2805</v>
      </c>
    </row>
    <row r="1431" spans="1:10" ht="12.75" customHeight="1">
      <c r="A1431" s="83"/>
      <c r="B1431" s="81" t="s">
        <v>2808</v>
      </c>
      <c r="C1431" s="84" t="s">
        <v>2805</v>
      </c>
      <c r="D1431" s="84">
        <v>5</v>
      </c>
      <c r="E1431" s="84">
        <v>0</v>
      </c>
      <c r="F1431" s="84" t="s">
        <v>2812</v>
      </c>
      <c r="G1431" s="84">
        <v>15</v>
      </c>
      <c r="H1431" s="84" t="s">
        <v>2812</v>
      </c>
      <c r="I1431" s="84">
        <v>0</v>
      </c>
      <c r="J1431" s="84" t="s">
        <v>2805</v>
      </c>
    </row>
    <row r="1432" spans="1:10" ht="12.75" customHeight="1">
      <c r="A1432" s="83"/>
      <c r="B1432" s="83" t="s">
        <v>2810</v>
      </c>
      <c r="C1432" s="84" t="s">
        <v>2805</v>
      </c>
      <c r="D1432" s="84">
        <v>1</v>
      </c>
      <c r="E1432" s="84">
        <v>0</v>
      </c>
      <c r="F1432" s="84" t="s">
        <v>2812</v>
      </c>
      <c r="G1432" s="84">
        <v>14</v>
      </c>
      <c r="H1432" s="84" t="s">
        <v>2812</v>
      </c>
      <c r="I1432" s="84">
        <v>0</v>
      </c>
      <c r="J1432" s="84" t="s">
        <v>2805</v>
      </c>
    </row>
    <row r="1433" spans="1:10" ht="12.75" customHeight="1">
      <c r="A1433" s="83"/>
      <c r="B1433" s="83" t="s">
        <v>2811</v>
      </c>
      <c r="C1433" s="84" t="s">
        <v>2805</v>
      </c>
      <c r="D1433" s="84" t="s">
        <v>2812</v>
      </c>
      <c r="E1433" s="84">
        <v>0</v>
      </c>
      <c r="F1433" s="84">
        <v>0</v>
      </c>
      <c r="G1433" s="84" t="s">
        <v>2812</v>
      </c>
      <c r="H1433" s="84" t="s">
        <v>2812</v>
      </c>
      <c r="I1433" s="84">
        <v>0</v>
      </c>
      <c r="J1433" s="84" t="s">
        <v>2805</v>
      </c>
    </row>
    <row r="1434" spans="1:10" ht="12.75" customHeight="1">
      <c r="A1434" s="83"/>
      <c r="B1434" s="83" t="s">
        <v>2813</v>
      </c>
      <c r="C1434" s="84" t="s">
        <v>2805</v>
      </c>
      <c r="D1434" s="84">
        <v>3</v>
      </c>
      <c r="E1434" s="84">
        <v>0</v>
      </c>
      <c r="F1434" s="84">
        <v>0</v>
      </c>
      <c r="G1434" s="84">
        <v>1</v>
      </c>
      <c r="H1434" s="84" t="s">
        <v>2812</v>
      </c>
      <c r="I1434" s="84">
        <v>0</v>
      </c>
      <c r="J1434" s="84" t="s">
        <v>2805</v>
      </c>
    </row>
    <row r="1435" spans="1:10" ht="12.75" customHeight="1">
      <c r="A1435" s="83"/>
      <c r="B1435" s="83" t="s">
        <v>2814</v>
      </c>
      <c r="C1435" s="84" t="s">
        <v>2805</v>
      </c>
      <c r="D1435" s="84" t="s">
        <v>2812</v>
      </c>
      <c r="E1435" s="84" t="s">
        <v>2805</v>
      </c>
      <c r="F1435" s="84" t="s">
        <v>2805</v>
      </c>
      <c r="G1435" s="84" t="s">
        <v>2805</v>
      </c>
      <c r="H1435" s="84" t="s">
        <v>2805</v>
      </c>
      <c r="I1435" s="84" t="s">
        <v>2805</v>
      </c>
      <c r="J1435" s="84" t="s">
        <v>2805</v>
      </c>
    </row>
    <row r="1436" spans="1:10" ht="12.75" customHeight="1">
      <c r="A1436" s="83"/>
      <c r="B1436" s="83" t="s">
        <v>2815</v>
      </c>
      <c r="C1436" s="84" t="s">
        <v>2805</v>
      </c>
      <c r="D1436" s="84" t="s">
        <v>2812</v>
      </c>
      <c r="E1436" s="84">
        <v>0</v>
      </c>
      <c r="F1436" s="84">
        <v>0</v>
      </c>
      <c r="G1436" s="84" t="s">
        <v>2812</v>
      </c>
      <c r="H1436" s="84" t="s">
        <v>2812</v>
      </c>
      <c r="I1436" s="84">
        <v>0</v>
      </c>
      <c r="J1436" s="84" t="s">
        <v>2805</v>
      </c>
    </row>
    <row r="1437" spans="1:10" ht="12.75" customHeight="1">
      <c r="A1437" s="83"/>
      <c r="B1437" s="81" t="s">
        <v>2816</v>
      </c>
      <c r="C1437" s="84" t="s">
        <v>2805</v>
      </c>
      <c r="D1437" s="84">
        <v>1</v>
      </c>
      <c r="E1437" s="84">
        <v>0</v>
      </c>
      <c r="F1437" s="84" t="s">
        <v>2812</v>
      </c>
      <c r="G1437" s="84">
        <v>1</v>
      </c>
      <c r="H1437" s="84" t="s">
        <v>2812</v>
      </c>
      <c r="I1437" s="84">
        <v>0</v>
      </c>
      <c r="J1437" s="84" t="s">
        <v>2805</v>
      </c>
    </row>
    <row r="1438" spans="1:10" ht="12.75" customHeight="1">
      <c r="A1438" s="83"/>
      <c r="B1438" s="83" t="s">
        <v>2817</v>
      </c>
      <c r="C1438" s="84" t="s">
        <v>2805</v>
      </c>
      <c r="D1438" s="84" t="s">
        <v>2812</v>
      </c>
      <c r="E1438" s="84">
        <v>0</v>
      </c>
      <c r="F1438" s="84" t="s">
        <v>2812</v>
      </c>
      <c r="G1438" s="84">
        <v>1</v>
      </c>
      <c r="H1438" s="84" t="s">
        <v>2812</v>
      </c>
      <c r="I1438" s="84">
        <v>0</v>
      </c>
      <c r="J1438" s="84" t="s">
        <v>2805</v>
      </c>
    </row>
    <row r="1439" spans="1:10" ht="12.75" customHeight="1">
      <c r="A1439" s="83"/>
      <c r="B1439" s="83" t="s">
        <v>2818</v>
      </c>
      <c r="C1439" s="84" t="s">
        <v>2805</v>
      </c>
      <c r="D1439" s="84">
        <v>1</v>
      </c>
      <c r="E1439" s="84" t="s">
        <v>2805</v>
      </c>
      <c r="F1439" s="84" t="s">
        <v>2805</v>
      </c>
      <c r="G1439" s="84" t="s">
        <v>2805</v>
      </c>
      <c r="H1439" s="84" t="s">
        <v>2805</v>
      </c>
      <c r="I1439" s="84" t="s">
        <v>2805</v>
      </c>
      <c r="J1439" s="84" t="s">
        <v>2805</v>
      </c>
    </row>
    <row r="1440" spans="1:10" ht="12.75" customHeight="1">
      <c r="A1440" s="83"/>
      <c r="B1440" s="83" t="s">
        <v>2819</v>
      </c>
      <c r="C1440" s="84" t="s">
        <v>2805</v>
      </c>
      <c r="D1440" s="84" t="s">
        <v>2812</v>
      </c>
      <c r="E1440" s="84">
        <v>0</v>
      </c>
      <c r="F1440" s="84">
        <v>0</v>
      </c>
      <c r="G1440" s="84" t="s">
        <v>2812</v>
      </c>
      <c r="H1440" s="84" t="s">
        <v>2812</v>
      </c>
      <c r="I1440" s="84">
        <v>0</v>
      </c>
      <c r="J1440" s="84" t="s">
        <v>2805</v>
      </c>
    </row>
    <row r="1441" spans="1:10" ht="12.75" customHeight="1">
      <c r="A1441" s="83"/>
      <c r="B1441" s="83" t="s">
        <v>2820</v>
      </c>
      <c r="C1441" s="84" t="s">
        <v>2805</v>
      </c>
      <c r="D1441" s="84" t="s">
        <v>2812</v>
      </c>
      <c r="E1441" s="84" t="s">
        <v>2805</v>
      </c>
      <c r="F1441" s="84" t="s">
        <v>2812</v>
      </c>
      <c r="G1441" s="84" t="s">
        <v>2812</v>
      </c>
      <c r="H1441" s="84" t="s">
        <v>2812</v>
      </c>
      <c r="I1441" s="84" t="s">
        <v>2805</v>
      </c>
      <c r="J1441" s="84" t="s">
        <v>2805</v>
      </c>
    </row>
    <row r="1442" spans="1:10" ht="12.75" customHeight="1">
      <c r="A1442" s="83"/>
      <c r="B1442" s="83" t="s">
        <v>2821</v>
      </c>
      <c r="C1442" s="84" t="s">
        <v>2805</v>
      </c>
      <c r="D1442" s="84" t="s">
        <v>2805</v>
      </c>
      <c r="E1442" s="84">
        <v>0</v>
      </c>
      <c r="F1442" s="84">
        <v>0</v>
      </c>
      <c r="G1442" s="84" t="s">
        <v>2812</v>
      </c>
      <c r="H1442" s="84">
        <v>0</v>
      </c>
      <c r="I1442" s="84">
        <v>0</v>
      </c>
      <c r="J1442" s="84" t="s">
        <v>2805</v>
      </c>
    </row>
    <row r="1443" spans="1:10" ht="12.75" customHeight="1">
      <c r="A1443" s="83"/>
      <c r="B1443" s="83" t="s">
        <v>2822</v>
      </c>
      <c r="C1443" s="84" t="s">
        <v>2805</v>
      </c>
      <c r="D1443" s="84" t="s">
        <v>2812</v>
      </c>
      <c r="E1443" s="84">
        <v>0</v>
      </c>
      <c r="F1443" s="84">
        <v>0</v>
      </c>
      <c r="G1443" s="84">
        <v>0</v>
      </c>
      <c r="H1443" s="84" t="s">
        <v>2812</v>
      </c>
      <c r="I1443" s="84">
        <v>0</v>
      </c>
      <c r="J1443" s="84" t="s">
        <v>2805</v>
      </c>
    </row>
    <row r="1444" spans="1:10" ht="12.75" customHeight="1">
      <c r="A1444" s="83"/>
      <c r="B1444" s="81" t="s">
        <v>2823</v>
      </c>
      <c r="C1444" s="84" t="s">
        <v>2812</v>
      </c>
      <c r="D1444" s="84" t="s">
        <v>2812</v>
      </c>
      <c r="E1444" s="84">
        <v>0</v>
      </c>
      <c r="F1444" s="84">
        <v>0</v>
      </c>
      <c r="G1444" s="84" t="s">
        <v>2812</v>
      </c>
      <c r="H1444" s="84" t="s">
        <v>2812</v>
      </c>
      <c r="I1444" s="84">
        <v>0</v>
      </c>
      <c r="J1444" s="84" t="s">
        <v>2812</v>
      </c>
    </row>
    <row r="1445" spans="1:10" ht="12.75" customHeight="1">
      <c r="A1445" s="83"/>
      <c r="B1445" s="81"/>
      <c r="C1445" s="84"/>
      <c r="D1445" s="84"/>
      <c r="E1445" s="84"/>
      <c r="F1445" s="84"/>
      <c r="G1445" s="84"/>
      <c r="H1445" s="84"/>
      <c r="I1445" s="84"/>
      <c r="J1445" s="84"/>
    </row>
    <row r="1446" spans="1:10" s="71" customFormat="1" ht="12.75" customHeight="1">
      <c r="A1446" s="81" t="s">
        <v>2953</v>
      </c>
      <c r="B1446" s="81" t="s">
        <v>2954</v>
      </c>
      <c r="C1446" s="86"/>
      <c r="D1446" s="86"/>
      <c r="E1446" s="86"/>
      <c r="F1446" s="86"/>
      <c r="G1446" s="86"/>
      <c r="H1446" s="86"/>
      <c r="I1446" s="86"/>
      <c r="J1446" s="86"/>
    </row>
    <row r="1447" spans="1:10" ht="12.75" customHeight="1">
      <c r="A1447" s="83"/>
      <c r="B1447" s="83"/>
      <c r="C1447" s="84"/>
      <c r="D1447" s="84"/>
      <c r="E1447" s="84"/>
      <c r="F1447" s="84"/>
      <c r="G1447" s="84"/>
      <c r="H1447" s="84"/>
      <c r="I1447" s="84"/>
      <c r="J1447" s="84"/>
    </row>
    <row r="1448" spans="1:10" ht="12.75" customHeight="1">
      <c r="A1448" s="83"/>
      <c r="B1448" s="83"/>
      <c r="C1448" s="84"/>
      <c r="D1448" s="84"/>
      <c r="E1448" s="84"/>
      <c r="F1448" s="84"/>
      <c r="G1448" s="84"/>
      <c r="H1448" s="84"/>
      <c r="I1448" s="84"/>
      <c r="J1448" s="84"/>
    </row>
    <row r="1449" spans="1:10" ht="12.75" customHeight="1">
      <c r="A1449" s="83"/>
      <c r="B1449" s="81" t="s">
        <v>2803</v>
      </c>
      <c r="C1449" s="84">
        <v>95</v>
      </c>
      <c r="D1449" s="84">
        <v>45</v>
      </c>
      <c r="E1449" s="84">
        <v>0</v>
      </c>
      <c r="F1449" s="84" t="s">
        <v>2812</v>
      </c>
      <c r="G1449" s="84">
        <v>42</v>
      </c>
      <c r="H1449" s="84">
        <v>1</v>
      </c>
      <c r="I1449" s="84">
        <v>0</v>
      </c>
      <c r="J1449" s="84">
        <v>7</v>
      </c>
    </row>
    <row r="1450" spans="1:10" ht="12.75" customHeight="1">
      <c r="A1450" s="83"/>
      <c r="B1450" s="81" t="s">
        <v>2804</v>
      </c>
      <c r="C1450" s="84" t="s">
        <v>2805</v>
      </c>
      <c r="D1450" s="84" t="s">
        <v>2812</v>
      </c>
      <c r="E1450" s="84">
        <v>0</v>
      </c>
      <c r="F1450" s="84" t="s">
        <v>2812</v>
      </c>
      <c r="G1450" s="84">
        <v>8</v>
      </c>
      <c r="H1450" s="84" t="s">
        <v>2812</v>
      </c>
      <c r="I1450" s="84">
        <v>0</v>
      </c>
      <c r="J1450" s="84" t="s">
        <v>2805</v>
      </c>
    </row>
    <row r="1451" spans="1:10" ht="12.75" customHeight="1">
      <c r="A1451" s="83"/>
      <c r="B1451" s="83" t="s">
        <v>2806</v>
      </c>
      <c r="C1451" s="84" t="s">
        <v>2805</v>
      </c>
      <c r="D1451" s="84" t="s">
        <v>2812</v>
      </c>
      <c r="E1451" s="84">
        <v>0</v>
      </c>
      <c r="F1451" s="84">
        <v>0</v>
      </c>
      <c r="G1451" s="84">
        <v>3</v>
      </c>
      <c r="H1451" s="84" t="s">
        <v>2812</v>
      </c>
      <c r="I1451" s="84">
        <v>0</v>
      </c>
      <c r="J1451" s="84" t="s">
        <v>2805</v>
      </c>
    </row>
    <row r="1452" spans="1:10" ht="12.75" customHeight="1">
      <c r="A1452" s="83"/>
      <c r="B1452" s="83" t="s">
        <v>2807</v>
      </c>
      <c r="C1452" s="84" t="s">
        <v>2805</v>
      </c>
      <c r="D1452" s="84">
        <v>0</v>
      </c>
      <c r="E1452" s="84">
        <v>0</v>
      </c>
      <c r="F1452" s="84" t="s">
        <v>2812</v>
      </c>
      <c r="G1452" s="84">
        <v>6</v>
      </c>
      <c r="H1452" s="84" t="s">
        <v>2812</v>
      </c>
      <c r="I1452" s="84">
        <v>0</v>
      </c>
      <c r="J1452" s="84" t="s">
        <v>2805</v>
      </c>
    </row>
    <row r="1453" spans="1:10" ht="12.75" customHeight="1">
      <c r="A1453" s="83"/>
      <c r="B1453" s="81" t="s">
        <v>2808</v>
      </c>
      <c r="C1453" s="84" t="s">
        <v>2805</v>
      </c>
      <c r="D1453" s="84">
        <v>41</v>
      </c>
      <c r="E1453" s="84">
        <v>0</v>
      </c>
      <c r="F1453" s="84" t="s">
        <v>2812</v>
      </c>
      <c r="G1453" s="84">
        <v>29</v>
      </c>
      <c r="H1453" s="84" t="s">
        <v>2812</v>
      </c>
      <c r="I1453" s="84">
        <v>0</v>
      </c>
      <c r="J1453" s="84" t="s">
        <v>2805</v>
      </c>
    </row>
    <row r="1454" spans="1:10" ht="12.75" customHeight="1">
      <c r="A1454" s="83"/>
      <c r="B1454" s="83" t="s">
        <v>2810</v>
      </c>
      <c r="C1454" s="84" t="s">
        <v>2805</v>
      </c>
      <c r="D1454" s="84">
        <v>13</v>
      </c>
      <c r="E1454" s="84">
        <v>0</v>
      </c>
      <c r="F1454" s="84" t="s">
        <v>2812</v>
      </c>
      <c r="G1454" s="84">
        <v>28</v>
      </c>
      <c r="H1454" s="84" t="s">
        <v>2812</v>
      </c>
      <c r="I1454" s="84">
        <v>0</v>
      </c>
      <c r="J1454" s="84" t="s">
        <v>2805</v>
      </c>
    </row>
    <row r="1455" spans="1:10" ht="12.75" customHeight="1">
      <c r="A1455" s="83"/>
      <c r="B1455" s="83" t="s">
        <v>2811</v>
      </c>
      <c r="C1455" s="84" t="s">
        <v>2805</v>
      </c>
      <c r="D1455" s="84">
        <v>2</v>
      </c>
      <c r="E1455" s="84">
        <v>0</v>
      </c>
      <c r="F1455" s="84">
        <v>0</v>
      </c>
      <c r="G1455" s="84" t="s">
        <v>2812</v>
      </c>
      <c r="H1455" s="84" t="s">
        <v>2812</v>
      </c>
      <c r="I1455" s="84">
        <v>0</v>
      </c>
      <c r="J1455" s="84" t="s">
        <v>2805</v>
      </c>
    </row>
    <row r="1456" spans="1:10" ht="12.75" customHeight="1">
      <c r="A1456" s="83"/>
      <c r="B1456" s="83" t="s">
        <v>2813</v>
      </c>
      <c r="C1456" s="84" t="s">
        <v>2805</v>
      </c>
      <c r="D1456" s="84">
        <v>10</v>
      </c>
      <c r="E1456" s="84">
        <v>0</v>
      </c>
      <c r="F1456" s="84" t="s">
        <v>2812</v>
      </c>
      <c r="G1456" s="84" t="s">
        <v>2812</v>
      </c>
      <c r="H1456" s="84" t="s">
        <v>2812</v>
      </c>
      <c r="I1456" s="84">
        <v>0</v>
      </c>
      <c r="J1456" s="84" t="s">
        <v>2805</v>
      </c>
    </row>
    <row r="1457" spans="1:10" ht="12.75" customHeight="1">
      <c r="A1457" s="83"/>
      <c r="B1457" s="83" t="s">
        <v>2814</v>
      </c>
      <c r="C1457" s="84" t="s">
        <v>2805</v>
      </c>
      <c r="D1457" s="84">
        <v>12</v>
      </c>
      <c r="E1457" s="84" t="s">
        <v>2805</v>
      </c>
      <c r="F1457" s="84" t="s">
        <v>2805</v>
      </c>
      <c r="G1457" s="84" t="s">
        <v>2805</v>
      </c>
      <c r="H1457" s="84" t="s">
        <v>2805</v>
      </c>
      <c r="I1457" s="84" t="s">
        <v>2805</v>
      </c>
      <c r="J1457" s="84" t="s">
        <v>2805</v>
      </c>
    </row>
    <row r="1458" spans="1:10" ht="12.75" customHeight="1">
      <c r="A1458" s="83"/>
      <c r="B1458" s="83" t="s">
        <v>2815</v>
      </c>
      <c r="C1458" s="84" t="s">
        <v>2805</v>
      </c>
      <c r="D1458" s="84">
        <v>4</v>
      </c>
      <c r="E1458" s="84">
        <v>0</v>
      </c>
      <c r="F1458" s="84">
        <v>0</v>
      </c>
      <c r="G1458" s="84" t="s">
        <v>2812</v>
      </c>
      <c r="H1458" s="84" t="s">
        <v>2812</v>
      </c>
      <c r="I1458" s="84">
        <v>0</v>
      </c>
      <c r="J1458" s="84" t="s">
        <v>2805</v>
      </c>
    </row>
    <row r="1459" spans="1:10" ht="12.75" customHeight="1">
      <c r="A1459" s="83"/>
      <c r="B1459" s="81" t="s">
        <v>2816</v>
      </c>
      <c r="C1459" s="84" t="s">
        <v>2805</v>
      </c>
      <c r="D1459" s="84">
        <v>4</v>
      </c>
      <c r="E1459" s="84">
        <v>0</v>
      </c>
      <c r="F1459" s="84" t="s">
        <v>2812</v>
      </c>
      <c r="G1459" s="84">
        <v>4</v>
      </c>
      <c r="H1459" s="84" t="s">
        <v>2812</v>
      </c>
      <c r="I1459" s="84">
        <v>0</v>
      </c>
      <c r="J1459" s="84" t="s">
        <v>2805</v>
      </c>
    </row>
    <row r="1460" spans="1:10" ht="12.75" customHeight="1">
      <c r="A1460" s="83"/>
      <c r="B1460" s="83" t="s">
        <v>2817</v>
      </c>
      <c r="C1460" s="84" t="s">
        <v>2805</v>
      </c>
      <c r="D1460" s="84">
        <v>2</v>
      </c>
      <c r="E1460" s="84">
        <v>0</v>
      </c>
      <c r="F1460" s="84" t="s">
        <v>2812</v>
      </c>
      <c r="G1460" s="84">
        <v>4</v>
      </c>
      <c r="H1460" s="84" t="s">
        <v>2812</v>
      </c>
      <c r="I1460" s="84">
        <v>0</v>
      </c>
      <c r="J1460" s="84" t="s">
        <v>2805</v>
      </c>
    </row>
    <row r="1461" spans="1:10" ht="12.75" customHeight="1">
      <c r="A1461" s="83"/>
      <c r="B1461" s="83" t="s">
        <v>2818</v>
      </c>
      <c r="C1461" s="84" t="s">
        <v>2805</v>
      </c>
      <c r="D1461" s="84">
        <v>2</v>
      </c>
      <c r="E1461" s="84" t="s">
        <v>2805</v>
      </c>
      <c r="F1461" s="84" t="s">
        <v>2805</v>
      </c>
      <c r="G1461" s="84" t="s">
        <v>2805</v>
      </c>
      <c r="H1461" s="84" t="s">
        <v>2805</v>
      </c>
      <c r="I1461" s="84" t="s">
        <v>2805</v>
      </c>
      <c r="J1461" s="84" t="s">
        <v>2805</v>
      </c>
    </row>
    <row r="1462" spans="1:10" ht="12.75" customHeight="1">
      <c r="A1462" s="83"/>
      <c r="B1462" s="83" t="s">
        <v>2819</v>
      </c>
      <c r="C1462" s="84" t="s">
        <v>2805</v>
      </c>
      <c r="D1462" s="84" t="s">
        <v>2812</v>
      </c>
      <c r="E1462" s="84">
        <v>0</v>
      </c>
      <c r="F1462" s="84" t="s">
        <v>2812</v>
      </c>
      <c r="G1462" s="84" t="s">
        <v>2812</v>
      </c>
      <c r="H1462" s="84" t="s">
        <v>2812</v>
      </c>
      <c r="I1462" s="84">
        <v>0</v>
      </c>
      <c r="J1462" s="84" t="s">
        <v>2805</v>
      </c>
    </row>
    <row r="1463" spans="1:10" ht="12.75" customHeight="1">
      <c r="A1463" s="83"/>
      <c r="B1463" s="83" t="s">
        <v>2820</v>
      </c>
      <c r="C1463" s="84" t="s">
        <v>2805</v>
      </c>
      <c r="D1463" s="84" t="s">
        <v>2812</v>
      </c>
      <c r="E1463" s="84" t="s">
        <v>2805</v>
      </c>
      <c r="F1463" s="84" t="s">
        <v>2812</v>
      </c>
      <c r="G1463" s="84" t="s">
        <v>2812</v>
      </c>
      <c r="H1463" s="84" t="s">
        <v>2812</v>
      </c>
      <c r="I1463" s="84" t="s">
        <v>2805</v>
      </c>
      <c r="J1463" s="84" t="s">
        <v>2805</v>
      </c>
    </row>
    <row r="1464" spans="1:10" ht="12.75" customHeight="1">
      <c r="A1464" s="83"/>
      <c r="B1464" s="83" t="s">
        <v>2821</v>
      </c>
      <c r="C1464" s="84" t="s">
        <v>2805</v>
      </c>
      <c r="D1464" s="84" t="s">
        <v>2805</v>
      </c>
      <c r="E1464" s="84">
        <v>0</v>
      </c>
      <c r="F1464" s="84" t="s">
        <v>2812</v>
      </c>
      <c r="G1464" s="84" t="s">
        <v>2812</v>
      </c>
      <c r="H1464" s="84" t="s">
        <v>2812</v>
      </c>
      <c r="I1464" s="84">
        <v>0</v>
      </c>
      <c r="J1464" s="84" t="s">
        <v>2805</v>
      </c>
    </row>
    <row r="1465" spans="1:10" ht="12.75" customHeight="1">
      <c r="A1465" s="83"/>
      <c r="B1465" s="83" t="s">
        <v>2822</v>
      </c>
      <c r="C1465" s="84" t="s">
        <v>2805</v>
      </c>
      <c r="D1465" s="84" t="s">
        <v>2812</v>
      </c>
      <c r="E1465" s="84">
        <v>0</v>
      </c>
      <c r="F1465" s="84" t="s">
        <v>2812</v>
      </c>
      <c r="G1465" s="84" t="s">
        <v>2812</v>
      </c>
      <c r="H1465" s="84" t="s">
        <v>2812</v>
      </c>
      <c r="I1465" s="84">
        <v>0</v>
      </c>
      <c r="J1465" s="84" t="s">
        <v>2805</v>
      </c>
    </row>
    <row r="1466" spans="1:10" ht="12.75" customHeight="1">
      <c r="A1466" s="83"/>
      <c r="B1466" s="81" t="s">
        <v>2823</v>
      </c>
      <c r="C1466" s="84">
        <v>7</v>
      </c>
      <c r="D1466" s="84" t="s">
        <v>2812</v>
      </c>
      <c r="E1466" s="84">
        <v>0</v>
      </c>
      <c r="F1466" s="84">
        <v>0</v>
      </c>
      <c r="G1466" s="84" t="s">
        <v>2812</v>
      </c>
      <c r="H1466" s="84" t="s">
        <v>2812</v>
      </c>
      <c r="I1466" s="84">
        <v>0</v>
      </c>
      <c r="J1466" s="84">
        <v>7</v>
      </c>
    </row>
    <row r="1467" spans="1:10" ht="12.75" customHeight="1">
      <c r="A1467" s="83"/>
      <c r="B1467" s="81"/>
      <c r="C1467" s="84"/>
      <c r="D1467" s="84"/>
      <c r="E1467" s="84"/>
      <c r="F1467" s="84"/>
      <c r="G1467" s="84"/>
      <c r="H1467" s="84"/>
      <c r="I1467" s="84"/>
      <c r="J1467" s="84"/>
    </row>
    <row r="1468" spans="1:10" s="71" customFormat="1" ht="12.75" customHeight="1">
      <c r="A1468" s="81" t="s">
        <v>2955</v>
      </c>
      <c r="B1468" s="81" t="s">
        <v>2956</v>
      </c>
      <c r="C1468" s="86"/>
      <c r="D1468" s="86"/>
      <c r="E1468" s="86"/>
      <c r="F1468" s="86"/>
      <c r="G1468" s="86"/>
      <c r="H1468" s="86"/>
      <c r="I1468" s="86"/>
      <c r="J1468" s="86"/>
    </row>
    <row r="1469" spans="1:10" ht="12.75" customHeight="1">
      <c r="A1469" s="83"/>
      <c r="B1469" s="83"/>
      <c r="C1469" s="84"/>
      <c r="D1469" s="84"/>
      <c r="E1469" s="84"/>
      <c r="F1469" s="84"/>
      <c r="G1469" s="84"/>
      <c r="H1469" s="84"/>
      <c r="I1469" s="84"/>
      <c r="J1469" s="84"/>
    </row>
    <row r="1470" spans="1:10" ht="12.75" customHeight="1">
      <c r="A1470" s="83"/>
      <c r="B1470" s="83"/>
      <c r="C1470" s="84"/>
      <c r="D1470" s="84"/>
      <c r="E1470" s="84"/>
      <c r="F1470" s="84"/>
      <c r="G1470" s="84"/>
      <c r="H1470" s="84"/>
      <c r="I1470" s="84"/>
      <c r="J1470" s="84"/>
    </row>
    <row r="1471" spans="1:10" ht="12.75" customHeight="1">
      <c r="A1471" s="83"/>
      <c r="B1471" s="81" t="s">
        <v>2803</v>
      </c>
      <c r="C1471" s="84">
        <v>44</v>
      </c>
      <c r="D1471" s="84">
        <v>27</v>
      </c>
      <c r="E1471" s="84">
        <v>0</v>
      </c>
      <c r="F1471" s="84" t="s">
        <v>2812</v>
      </c>
      <c r="G1471" s="84">
        <v>16</v>
      </c>
      <c r="H1471" s="84" t="s">
        <v>2812</v>
      </c>
      <c r="I1471" s="84">
        <v>0</v>
      </c>
      <c r="J1471" s="84">
        <v>1</v>
      </c>
    </row>
    <row r="1472" spans="1:10" ht="12.75" customHeight="1">
      <c r="A1472" s="83"/>
      <c r="B1472" s="81" t="s">
        <v>2804</v>
      </c>
      <c r="C1472" s="84" t="s">
        <v>2805</v>
      </c>
      <c r="D1472" s="84" t="s">
        <v>2812</v>
      </c>
      <c r="E1472" s="84">
        <v>0</v>
      </c>
      <c r="F1472" s="84" t="s">
        <v>2812</v>
      </c>
      <c r="G1472" s="84">
        <v>6</v>
      </c>
      <c r="H1472" s="84" t="s">
        <v>2812</v>
      </c>
      <c r="I1472" s="84">
        <v>0</v>
      </c>
      <c r="J1472" s="84" t="s">
        <v>2805</v>
      </c>
    </row>
    <row r="1473" spans="1:10" ht="12.75" customHeight="1">
      <c r="A1473" s="83"/>
      <c r="B1473" s="83" t="s">
        <v>2806</v>
      </c>
      <c r="C1473" s="84" t="s">
        <v>2805</v>
      </c>
      <c r="D1473" s="84" t="s">
        <v>2812</v>
      </c>
      <c r="E1473" s="84">
        <v>0</v>
      </c>
      <c r="F1473" s="84">
        <v>0</v>
      </c>
      <c r="G1473" s="84">
        <v>2</v>
      </c>
      <c r="H1473" s="84">
        <v>0</v>
      </c>
      <c r="I1473" s="84">
        <v>0</v>
      </c>
      <c r="J1473" s="84" t="s">
        <v>2805</v>
      </c>
    </row>
    <row r="1474" spans="1:10" ht="12.75" customHeight="1">
      <c r="A1474" s="83"/>
      <c r="B1474" s="83" t="s">
        <v>2807</v>
      </c>
      <c r="C1474" s="84" t="s">
        <v>2805</v>
      </c>
      <c r="D1474" s="84">
        <v>0</v>
      </c>
      <c r="E1474" s="84">
        <v>0</v>
      </c>
      <c r="F1474" s="84" t="s">
        <v>2812</v>
      </c>
      <c r="G1474" s="84">
        <v>4</v>
      </c>
      <c r="H1474" s="84" t="s">
        <v>2812</v>
      </c>
      <c r="I1474" s="84">
        <v>0</v>
      </c>
      <c r="J1474" s="84" t="s">
        <v>2805</v>
      </c>
    </row>
    <row r="1475" spans="1:10" ht="12.75" customHeight="1">
      <c r="A1475" s="83"/>
      <c r="B1475" s="81" t="s">
        <v>2808</v>
      </c>
      <c r="C1475" s="84" t="s">
        <v>2805</v>
      </c>
      <c r="D1475" s="84">
        <v>26</v>
      </c>
      <c r="E1475" s="84">
        <v>0</v>
      </c>
      <c r="F1475" s="84" t="s">
        <v>2812</v>
      </c>
      <c r="G1475" s="84">
        <v>9</v>
      </c>
      <c r="H1475" s="84" t="s">
        <v>2812</v>
      </c>
      <c r="I1475" s="84">
        <v>0</v>
      </c>
      <c r="J1475" s="84" t="s">
        <v>2805</v>
      </c>
    </row>
    <row r="1476" spans="1:10" ht="12.75" customHeight="1">
      <c r="A1476" s="83"/>
      <c r="B1476" s="83" t="s">
        <v>2810</v>
      </c>
      <c r="C1476" s="84" t="s">
        <v>2805</v>
      </c>
      <c r="D1476" s="84">
        <v>8</v>
      </c>
      <c r="E1476" s="84">
        <v>0</v>
      </c>
      <c r="F1476" s="84" t="s">
        <v>2812</v>
      </c>
      <c r="G1476" s="84">
        <v>9</v>
      </c>
      <c r="H1476" s="84" t="s">
        <v>2812</v>
      </c>
      <c r="I1476" s="84">
        <v>0</v>
      </c>
      <c r="J1476" s="84" t="s">
        <v>2805</v>
      </c>
    </row>
    <row r="1477" spans="1:10" ht="12.75" customHeight="1">
      <c r="A1477" s="83"/>
      <c r="B1477" s="83" t="s">
        <v>2811</v>
      </c>
      <c r="C1477" s="84" t="s">
        <v>2805</v>
      </c>
      <c r="D1477" s="84">
        <v>1</v>
      </c>
      <c r="E1477" s="84">
        <v>0</v>
      </c>
      <c r="F1477" s="84">
        <v>0</v>
      </c>
      <c r="G1477" s="84" t="s">
        <v>2812</v>
      </c>
      <c r="H1477" s="84">
        <v>0</v>
      </c>
      <c r="I1477" s="84">
        <v>0</v>
      </c>
      <c r="J1477" s="84" t="s">
        <v>2805</v>
      </c>
    </row>
    <row r="1478" spans="1:10" ht="12.75" customHeight="1">
      <c r="A1478" s="83"/>
      <c r="B1478" s="83" t="s">
        <v>2813</v>
      </c>
      <c r="C1478" s="84" t="s">
        <v>2805</v>
      </c>
      <c r="D1478" s="84">
        <v>3</v>
      </c>
      <c r="E1478" s="84">
        <v>0</v>
      </c>
      <c r="F1478" s="84" t="s">
        <v>2812</v>
      </c>
      <c r="G1478" s="84" t="s">
        <v>2812</v>
      </c>
      <c r="H1478" s="84" t="s">
        <v>2812</v>
      </c>
      <c r="I1478" s="84">
        <v>0</v>
      </c>
      <c r="J1478" s="84" t="s">
        <v>2805</v>
      </c>
    </row>
    <row r="1479" spans="1:10" ht="12.75" customHeight="1">
      <c r="A1479" s="83"/>
      <c r="B1479" s="83" t="s">
        <v>2814</v>
      </c>
      <c r="C1479" s="84" t="s">
        <v>2805</v>
      </c>
      <c r="D1479" s="84">
        <v>11</v>
      </c>
      <c r="E1479" s="84" t="s">
        <v>2805</v>
      </c>
      <c r="F1479" s="84" t="s">
        <v>2805</v>
      </c>
      <c r="G1479" s="84" t="s">
        <v>2805</v>
      </c>
      <c r="H1479" s="84" t="s">
        <v>2805</v>
      </c>
      <c r="I1479" s="84" t="s">
        <v>2805</v>
      </c>
      <c r="J1479" s="84" t="s">
        <v>2805</v>
      </c>
    </row>
    <row r="1480" spans="1:10" ht="12.75" customHeight="1">
      <c r="A1480" s="83"/>
      <c r="B1480" s="83" t="s">
        <v>2815</v>
      </c>
      <c r="C1480" s="84" t="s">
        <v>2805</v>
      </c>
      <c r="D1480" s="84">
        <v>2</v>
      </c>
      <c r="E1480" s="84">
        <v>0</v>
      </c>
      <c r="F1480" s="84">
        <v>0</v>
      </c>
      <c r="G1480" s="84" t="s">
        <v>2812</v>
      </c>
      <c r="H1480" s="84" t="s">
        <v>2812</v>
      </c>
      <c r="I1480" s="84">
        <v>0</v>
      </c>
      <c r="J1480" s="84" t="s">
        <v>2805</v>
      </c>
    </row>
    <row r="1481" spans="1:10" ht="12.75" customHeight="1">
      <c r="A1481" s="83"/>
      <c r="B1481" s="81" t="s">
        <v>2816</v>
      </c>
      <c r="C1481" s="84" t="s">
        <v>2805</v>
      </c>
      <c r="D1481" s="84">
        <v>1</v>
      </c>
      <c r="E1481" s="84">
        <v>0</v>
      </c>
      <c r="F1481" s="84" t="s">
        <v>2812</v>
      </c>
      <c r="G1481" s="84">
        <v>1</v>
      </c>
      <c r="H1481" s="84" t="s">
        <v>2812</v>
      </c>
      <c r="I1481" s="84">
        <v>0</v>
      </c>
      <c r="J1481" s="84" t="s">
        <v>2805</v>
      </c>
    </row>
    <row r="1482" spans="1:10" ht="12.75" customHeight="1">
      <c r="A1482" s="83"/>
      <c r="B1482" s="83" t="s">
        <v>2817</v>
      </c>
      <c r="C1482" s="84" t="s">
        <v>2805</v>
      </c>
      <c r="D1482" s="84">
        <v>1</v>
      </c>
      <c r="E1482" s="84">
        <v>0</v>
      </c>
      <c r="F1482" s="84" t="s">
        <v>2812</v>
      </c>
      <c r="G1482" s="84">
        <v>1</v>
      </c>
      <c r="H1482" s="84" t="s">
        <v>2812</v>
      </c>
      <c r="I1482" s="84">
        <v>0</v>
      </c>
      <c r="J1482" s="84" t="s">
        <v>2805</v>
      </c>
    </row>
    <row r="1483" spans="1:10" ht="12.75" customHeight="1">
      <c r="A1483" s="83"/>
      <c r="B1483" s="83" t="s">
        <v>2818</v>
      </c>
      <c r="C1483" s="84" t="s">
        <v>2805</v>
      </c>
      <c r="D1483" s="84">
        <v>1</v>
      </c>
      <c r="E1483" s="84" t="s">
        <v>2805</v>
      </c>
      <c r="F1483" s="84" t="s">
        <v>2805</v>
      </c>
      <c r="G1483" s="84" t="s">
        <v>2805</v>
      </c>
      <c r="H1483" s="84" t="s">
        <v>2805</v>
      </c>
      <c r="I1483" s="84" t="s">
        <v>2805</v>
      </c>
      <c r="J1483" s="84" t="s">
        <v>2805</v>
      </c>
    </row>
    <row r="1484" spans="1:10" ht="12.75" customHeight="1">
      <c r="A1484" s="83"/>
      <c r="B1484" s="83" t="s">
        <v>2819</v>
      </c>
      <c r="C1484" s="84" t="s">
        <v>2805</v>
      </c>
      <c r="D1484" s="84" t="s">
        <v>2812</v>
      </c>
      <c r="E1484" s="84">
        <v>0</v>
      </c>
      <c r="F1484" s="84" t="s">
        <v>2812</v>
      </c>
      <c r="G1484" s="84" t="s">
        <v>2812</v>
      </c>
      <c r="H1484" s="84" t="s">
        <v>2812</v>
      </c>
      <c r="I1484" s="84">
        <v>0</v>
      </c>
      <c r="J1484" s="84" t="s">
        <v>2805</v>
      </c>
    </row>
    <row r="1485" spans="1:10" ht="12.75" customHeight="1">
      <c r="A1485" s="83"/>
      <c r="B1485" s="83" t="s">
        <v>2820</v>
      </c>
      <c r="C1485" s="84" t="s">
        <v>2805</v>
      </c>
      <c r="D1485" s="84" t="s">
        <v>2812</v>
      </c>
      <c r="E1485" s="84" t="s">
        <v>2805</v>
      </c>
      <c r="F1485" s="84" t="s">
        <v>2812</v>
      </c>
      <c r="G1485" s="84" t="s">
        <v>2812</v>
      </c>
      <c r="H1485" s="84" t="s">
        <v>2812</v>
      </c>
      <c r="I1485" s="84" t="s">
        <v>2805</v>
      </c>
      <c r="J1485" s="84" t="s">
        <v>2805</v>
      </c>
    </row>
    <row r="1486" spans="1:10" ht="12.75" customHeight="1">
      <c r="A1486" s="83"/>
      <c r="B1486" s="83" t="s">
        <v>2821</v>
      </c>
      <c r="C1486" s="84" t="s">
        <v>2805</v>
      </c>
      <c r="D1486" s="84" t="s">
        <v>2805</v>
      </c>
      <c r="E1486" s="84">
        <v>0</v>
      </c>
      <c r="F1486" s="84" t="s">
        <v>2812</v>
      </c>
      <c r="G1486" s="84" t="s">
        <v>2812</v>
      </c>
      <c r="H1486" s="84">
        <v>0</v>
      </c>
      <c r="I1486" s="84">
        <v>0</v>
      </c>
      <c r="J1486" s="84" t="s">
        <v>2805</v>
      </c>
    </row>
    <row r="1487" spans="1:10" ht="12.75" customHeight="1">
      <c r="A1487" s="83"/>
      <c r="B1487" s="83" t="s">
        <v>2822</v>
      </c>
      <c r="C1487" s="84" t="s">
        <v>2805</v>
      </c>
      <c r="D1487" s="84">
        <v>0</v>
      </c>
      <c r="E1487" s="84">
        <v>0</v>
      </c>
      <c r="F1487" s="84" t="s">
        <v>2812</v>
      </c>
      <c r="G1487" s="84">
        <v>0</v>
      </c>
      <c r="H1487" s="84" t="s">
        <v>2812</v>
      </c>
      <c r="I1487" s="84">
        <v>0</v>
      </c>
      <c r="J1487" s="84" t="s">
        <v>2805</v>
      </c>
    </row>
    <row r="1488" spans="1:10" ht="12.75" customHeight="1">
      <c r="A1488" s="83"/>
      <c r="B1488" s="81" t="s">
        <v>2823</v>
      </c>
      <c r="C1488" s="84">
        <v>1</v>
      </c>
      <c r="D1488" s="84" t="s">
        <v>2812</v>
      </c>
      <c r="E1488" s="84">
        <v>0</v>
      </c>
      <c r="F1488" s="84">
        <v>0</v>
      </c>
      <c r="G1488" s="84">
        <v>0</v>
      </c>
      <c r="H1488" s="84" t="s">
        <v>2812</v>
      </c>
      <c r="I1488" s="84">
        <v>0</v>
      </c>
      <c r="J1488" s="84">
        <v>1</v>
      </c>
    </row>
    <row r="1489" spans="1:10" ht="12.75" customHeight="1">
      <c r="A1489" s="83"/>
      <c r="B1489" s="81"/>
      <c r="C1489" s="84"/>
      <c r="D1489" s="84"/>
      <c r="E1489" s="84"/>
      <c r="F1489" s="84"/>
      <c r="G1489" s="84"/>
      <c r="H1489" s="84"/>
      <c r="I1489" s="84"/>
      <c r="J1489" s="84"/>
    </row>
    <row r="1490" spans="1:10" s="71" customFormat="1" ht="12.75" customHeight="1">
      <c r="A1490" s="81" t="s">
        <v>2957</v>
      </c>
      <c r="B1490" s="81" t="s">
        <v>2958</v>
      </c>
      <c r="C1490" s="86"/>
      <c r="D1490" s="86"/>
      <c r="E1490" s="86"/>
      <c r="F1490" s="86"/>
      <c r="G1490" s="86"/>
      <c r="H1490" s="86"/>
      <c r="I1490" s="86"/>
      <c r="J1490" s="86"/>
    </row>
    <row r="1491" spans="1:10" s="71" customFormat="1" ht="12.75" customHeight="1">
      <c r="A1491" s="81"/>
      <c r="B1491" s="81"/>
      <c r="C1491" s="86"/>
      <c r="D1491" s="86"/>
      <c r="E1491" s="86"/>
      <c r="F1491" s="86"/>
      <c r="G1491" s="86"/>
      <c r="H1491" s="86"/>
      <c r="I1491" s="86"/>
      <c r="J1491" s="86"/>
    </row>
    <row r="1492" spans="1:10" s="71" customFormat="1" ht="12.75" customHeight="1">
      <c r="A1492" s="81"/>
      <c r="B1492" s="81"/>
      <c r="C1492" s="86"/>
      <c r="D1492" s="86"/>
      <c r="E1492" s="86"/>
      <c r="F1492" s="86"/>
      <c r="G1492" s="86"/>
      <c r="H1492" s="86"/>
      <c r="I1492" s="86"/>
      <c r="J1492" s="86"/>
    </row>
    <row r="1493" spans="1:10" ht="12.75" customHeight="1">
      <c r="A1493" s="83"/>
      <c r="B1493" s="81" t="s">
        <v>2803</v>
      </c>
      <c r="C1493" s="84">
        <v>92</v>
      </c>
      <c r="D1493" s="84">
        <v>37</v>
      </c>
      <c r="E1493" s="84" t="s">
        <v>2812</v>
      </c>
      <c r="F1493" s="84" t="s">
        <v>2812</v>
      </c>
      <c r="G1493" s="84">
        <v>44</v>
      </c>
      <c r="H1493" s="84">
        <v>1</v>
      </c>
      <c r="I1493" s="84" t="s">
        <v>2812</v>
      </c>
      <c r="J1493" s="84">
        <v>10</v>
      </c>
    </row>
    <row r="1494" spans="1:10" ht="12.75" customHeight="1">
      <c r="A1494" s="83"/>
      <c r="B1494" s="81" t="s">
        <v>2804</v>
      </c>
      <c r="C1494" s="84" t="s">
        <v>2805</v>
      </c>
      <c r="D1494" s="84" t="s">
        <v>2812</v>
      </c>
      <c r="E1494" s="84">
        <v>0</v>
      </c>
      <c r="F1494" s="84" t="s">
        <v>2812</v>
      </c>
      <c r="G1494" s="84">
        <v>1</v>
      </c>
      <c r="H1494" s="84" t="s">
        <v>2812</v>
      </c>
      <c r="I1494" s="84">
        <v>0</v>
      </c>
      <c r="J1494" s="84" t="s">
        <v>2805</v>
      </c>
    </row>
    <row r="1495" spans="1:10" ht="12.75" customHeight="1">
      <c r="A1495" s="83"/>
      <c r="B1495" s="83" t="s">
        <v>2806</v>
      </c>
      <c r="C1495" s="84" t="s">
        <v>2805</v>
      </c>
      <c r="D1495" s="84" t="s">
        <v>2812</v>
      </c>
      <c r="E1495" s="84">
        <v>0</v>
      </c>
      <c r="F1495" s="84" t="s">
        <v>2812</v>
      </c>
      <c r="G1495" s="84" t="s">
        <v>2812</v>
      </c>
      <c r="H1495" s="84" t="s">
        <v>2812</v>
      </c>
      <c r="I1495" s="84">
        <v>0</v>
      </c>
      <c r="J1495" s="84" t="s">
        <v>2805</v>
      </c>
    </row>
    <row r="1496" spans="1:10" ht="12.75" customHeight="1">
      <c r="A1496" s="83"/>
      <c r="B1496" s="83" t="s">
        <v>2807</v>
      </c>
      <c r="C1496" s="84" t="s">
        <v>2805</v>
      </c>
      <c r="D1496" s="84">
        <v>0</v>
      </c>
      <c r="E1496" s="84">
        <v>0</v>
      </c>
      <c r="F1496" s="84" t="s">
        <v>2812</v>
      </c>
      <c r="G1496" s="84">
        <v>1</v>
      </c>
      <c r="H1496" s="84" t="s">
        <v>2812</v>
      </c>
      <c r="I1496" s="84">
        <v>0</v>
      </c>
      <c r="J1496" s="84" t="s">
        <v>2805</v>
      </c>
    </row>
    <row r="1497" spans="1:10" ht="12.75" customHeight="1">
      <c r="A1497" s="83"/>
      <c r="B1497" s="81" t="s">
        <v>2808</v>
      </c>
      <c r="C1497" s="84" t="s">
        <v>2805</v>
      </c>
      <c r="D1497" s="84">
        <v>31</v>
      </c>
      <c r="E1497" s="84" t="s">
        <v>2812</v>
      </c>
      <c r="F1497" s="84" t="s">
        <v>2812</v>
      </c>
      <c r="G1497" s="84">
        <v>33</v>
      </c>
      <c r="H1497" s="84" t="s">
        <v>2812</v>
      </c>
      <c r="I1497" s="84" t="s">
        <v>2812</v>
      </c>
      <c r="J1497" s="84" t="s">
        <v>2805</v>
      </c>
    </row>
    <row r="1498" spans="1:10" ht="12.75" customHeight="1">
      <c r="A1498" s="83"/>
      <c r="B1498" s="83" t="s">
        <v>2810</v>
      </c>
      <c r="C1498" s="84" t="s">
        <v>2805</v>
      </c>
      <c r="D1498" s="84">
        <v>16</v>
      </c>
      <c r="E1498" s="84">
        <v>0</v>
      </c>
      <c r="F1498" s="84" t="s">
        <v>2812</v>
      </c>
      <c r="G1498" s="84">
        <v>29</v>
      </c>
      <c r="H1498" s="84" t="s">
        <v>2812</v>
      </c>
      <c r="I1498" s="84" t="s">
        <v>2812</v>
      </c>
      <c r="J1498" s="84" t="s">
        <v>2805</v>
      </c>
    </row>
    <row r="1499" spans="1:10" ht="12.75" customHeight="1">
      <c r="A1499" s="83"/>
      <c r="B1499" s="83" t="s">
        <v>2811</v>
      </c>
      <c r="C1499" s="84" t="s">
        <v>2805</v>
      </c>
      <c r="D1499" s="84">
        <v>1</v>
      </c>
      <c r="E1499" s="84">
        <v>0</v>
      </c>
      <c r="F1499" s="84" t="s">
        <v>2812</v>
      </c>
      <c r="G1499" s="84" t="s">
        <v>2812</v>
      </c>
      <c r="H1499" s="84" t="s">
        <v>2812</v>
      </c>
      <c r="I1499" s="84">
        <v>0</v>
      </c>
      <c r="J1499" s="84" t="s">
        <v>2805</v>
      </c>
    </row>
    <row r="1500" spans="1:10" ht="12.75" customHeight="1">
      <c r="A1500" s="83"/>
      <c r="B1500" s="83" t="s">
        <v>2813</v>
      </c>
      <c r="C1500" s="84" t="s">
        <v>2805</v>
      </c>
      <c r="D1500" s="84">
        <v>12</v>
      </c>
      <c r="E1500" s="84" t="s">
        <v>2812</v>
      </c>
      <c r="F1500" s="84" t="s">
        <v>2812</v>
      </c>
      <c r="G1500" s="84">
        <v>2</v>
      </c>
      <c r="H1500" s="84" t="s">
        <v>2812</v>
      </c>
      <c r="I1500" s="84">
        <v>0</v>
      </c>
      <c r="J1500" s="84" t="s">
        <v>2805</v>
      </c>
    </row>
    <row r="1501" spans="1:10" ht="12.75" customHeight="1">
      <c r="A1501" s="83"/>
      <c r="B1501" s="83" t="s">
        <v>2814</v>
      </c>
      <c r="C1501" s="84" t="s">
        <v>2805</v>
      </c>
      <c r="D1501" s="84" t="s">
        <v>2812</v>
      </c>
      <c r="E1501" s="84" t="s">
        <v>2805</v>
      </c>
      <c r="F1501" s="84" t="s">
        <v>2805</v>
      </c>
      <c r="G1501" s="84" t="s">
        <v>2805</v>
      </c>
      <c r="H1501" s="84" t="s">
        <v>2805</v>
      </c>
      <c r="I1501" s="84" t="s">
        <v>2805</v>
      </c>
      <c r="J1501" s="84" t="s">
        <v>2805</v>
      </c>
    </row>
    <row r="1502" spans="1:10" ht="12.75" customHeight="1">
      <c r="A1502" s="83"/>
      <c r="B1502" s="83" t="s">
        <v>2815</v>
      </c>
      <c r="C1502" s="84" t="s">
        <v>2805</v>
      </c>
      <c r="D1502" s="84">
        <v>2</v>
      </c>
      <c r="E1502" s="84">
        <v>0</v>
      </c>
      <c r="F1502" s="84" t="s">
        <v>2812</v>
      </c>
      <c r="G1502" s="84">
        <v>2</v>
      </c>
      <c r="H1502" s="84" t="s">
        <v>2812</v>
      </c>
      <c r="I1502" s="84" t="s">
        <v>2812</v>
      </c>
      <c r="J1502" s="84" t="s">
        <v>2805</v>
      </c>
    </row>
    <row r="1503" spans="1:10" ht="12.75" customHeight="1">
      <c r="A1503" s="83"/>
      <c r="B1503" s="81" t="s">
        <v>2816</v>
      </c>
      <c r="C1503" s="84" t="s">
        <v>2805</v>
      </c>
      <c r="D1503" s="84">
        <v>5</v>
      </c>
      <c r="E1503" s="84">
        <v>0</v>
      </c>
      <c r="F1503" s="84" t="s">
        <v>2812</v>
      </c>
      <c r="G1503" s="84">
        <v>10</v>
      </c>
      <c r="H1503" s="84" t="s">
        <v>2812</v>
      </c>
      <c r="I1503" s="84">
        <v>0</v>
      </c>
      <c r="J1503" s="84" t="s">
        <v>2805</v>
      </c>
    </row>
    <row r="1504" spans="1:10" ht="12.75" customHeight="1">
      <c r="A1504" s="83"/>
      <c r="B1504" s="83" t="s">
        <v>2817</v>
      </c>
      <c r="C1504" s="84" t="s">
        <v>2805</v>
      </c>
      <c r="D1504" s="84">
        <v>3</v>
      </c>
      <c r="E1504" s="84">
        <v>0</v>
      </c>
      <c r="F1504" s="84" t="s">
        <v>2812</v>
      </c>
      <c r="G1504" s="84">
        <v>9</v>
      </c>
      <c r="H1504" s="84" t="s">
        <v>2812</v>
      </c>
      <c r="I1504" s="84">
        <v>0</v>
      </c>
      <c r="J1504" s="84" t="s">
        <v>2805</v>
      </c>
    </row>
    <row r="1505" spans="1:10" ht="12.75" customHeight="1">
      <c r="A1505" s="83"/>
      <c r="B1505" s="83" t="s">
        <v>2818</v>
      </c>
      <c r="C1505" s="84" t="s">
        <v>2805</v>
      </c>
      <c r="D1505" s="84">
        <v>2</v>
      </c>
      <c r="E1505" s="84" t="s">
        <v>2805</v>
      </c>
      <c r="F1505" s="84" t="s">
        <v>2805</v>
      </c>
      <c r="G1505" s="84" t="s">
        <v>2805</v>
      </c>
      <c r="H1505" s="84" t="s">
        <v>2805</v>
      </c>
      <c r="I1505" s="84" t="s">
        <v>2805</v>
      </c>
      <c r="J1505" s="84" t="s">
        <v>2805</v>
      </c>
    </row>
    <row r="1506" spans="1:10" ht="12.75" customHeight="1">
      <c r="A1506" s="83"/>
      <c r="B1506" s="83" t="s">
        <v>2819</v>
      </c>
      <c r="C1506" s="84" t="s">
        <v>2805</v>
      </c>
      <c r="D1506" s="84">
        <v>1</v>
      </c>
      <c r="E1506" s="84">
        <v>0</v>
      </c>
      <c r="F1506" s="84" t="s">
        <v>2812</v>
      </c>
      <c r="G1506" s="84" t="s">
        <v>2812</v>
      </c>
      <c r="H1506" s="84" t="s">
        <v>2812</v>
      </c>
      <c r="I1506" s="84">
        <v>0</v>
      </c>
      <c r="J1506" s="84" t="s">
        <v>2805</v>
      </c>
    </row>
    <row r="1507" spans="1:10" ht="12.75" customHeight="1">
      <c r="A1507" s="83"/>
      <c r="B1507" s="83" t="s">
        <v>2820</v>
      </c>
      <c r="C1507" s="84" t="s">
        <v>2805</v>
      </c>
      <c r="D1507" s="84" t="s">
        <v>2812</v>
      </c>
      <c r="E1507" s="84" t="s">
        <v>2805</v>
      </c>
      <c r="F1507" s="84" t="s">
        <v>2812</v>
      </c>
      <c r="G1507" s="84" t="s">
        <v>2812</v>
      </c>
      <c r="H1507" s="84" t="s">
        <v>2812</v>
      </c>
      <c r="I1507" s="84" t="s">
        <v>2805</v>
      </c>
      <c r="J1507" s="84" t="s">
        <v>2805</v>
      </c>
    </row>
    <row r="1508" spans="1:10" ht="12.75" customHeight="1">
      <c r="A1508" s="83"/>
      <c r="B1508" s="83" t="s">
        <v>2821</v>
      </c>
      <c r="C1508" s="84" t="s">
        <v>2805</v>
      </c>
      <c r="D1508" s="84" t="s">
        <v>2805</v>
      </c>
      <c r="E1508" s="84">
        <v>0</v>
      </c>
      <c r="F1508" s="84" t="s">
        <v>2812</v>
      </c>
      <c r="G1508" s="84" t="s">
        <v>2812</v>
      </c>
      <c r="H1508" s="84">
        <v>0</v>
      </c>
      <c r="I1508" s="84">
        <v>0</v>
      </c>
      <c r="J1508" s="84" t="s">
        <v>2805</v>
      </c>
    </row>
    <row r="1509" spans="1:10" ht="12.75" customHeight="1">
      <c r="A1509" s="83"/>
      <c r="B1509" s="83" t="s">
        <v>2822</v>
      </c>
      <c r="C1509" s="84" t="s">
        <v>2805</v>
      </c>
      <c r="D1509" s="84" t="s">
        <v>2812</v>
      </c>
      <c r="E1509" s="84">
        <v>0</v>
      </c>
      <c r="F1509" s="84" t="s">
        <v>2812</v>
      </c>
      <c r="G1509" s="84" t="s">
        <v>2812</v>
      </c>
      <c r="H1509" s="84" t="s">
        <v>2812</v>
      </c>
      <c r="I1509" s="84">
        <v>0</v>
      </c>
      <c r="J1509" s="84" t="s">
        <v>2805</v>
      </c>
    </row>
    <row r="1510" spans="1:10" ht="12.75" customHeight="1">
      <c r="A1510" s="83"/>
      <c r="B1510" s="81" t="s">
        <v>2823</v>
      </c>
      <c r="C1510" s="84">
        <v>11</v>
      </c>
      <c r="D1510" s="84">
        <v>1</v>
      </c>
      <c r="E1510" s="84">
        <v>0</v>
      </c>
      <c r="F1510" s="84">
        <v>0</v>
      </c>
      <c r="G1510" s="84" t="s">
        <v>2812</v>
      </c>
      <c r="H1510" s="84" t="s">
        <v>2812</v>
      </c>
      <c r="I1510" s="84">
        <v>0</v>
      </c>
      <c r="J1510" s="84">
        <v>10</v>
      </c>
    </row>
    <row r="1511" spans="1:10" ht="12.75" customHeight="1">
      <c r="A1511" s="83"/>
      <c r="B1511" s="81"/>
      <c r="C1511" s="84"/>
      <c r="D1511" s="84"/>
      <c r="E1511" s="84"/>
      <c r="F1511" s="84"/>
      <c r="G1511" s="84"/>
      <c r="H1511" s="84"/>
      <c r="I1511" s="84"/>
      <c r="J1511" s="84"/>
    </row>
    <row r="1512" spans="1:10" s="71" customFormat="1" ht="12.75" customHeight="1">
      <c r="A1512" s="88" t="s">
        <v>2959</v>
      </c>
      <c r="B1512" s="81" t="s">
        <v>2960</v>
      </c>
      <c r="C1512" s="86"/>
      <c r="D1512" s="86"/>
      <c r="E1512" s="86"/>
      <c r="F1512" s="86"/>
      <c r="G1512" s="86"/>
      <c r="H1512" s="86"/>
      <c r="I1512" s="86"/>
      <c r="J1512" s="86"/>
    </row>
    <row r="1513" spans="1:10" s="71" customFormat="1" ht="12.75" customHeight="1">
      <c r="A1513" s="88"/>
      <c r="B1513" s="81"/>
      <c r="C1513" s="86"/>
      <c r="D1513" s="86"/>
      <c r="E1513" s="86"/>
      <c r="F1513" s="86"/>
      <c r="G1513" s="86"/>
      <c r="H1513" s="86"/>
      <c r="I1513" s="86"/>
      <c r="J1513" s="86"/>
    </row>
    <row r="1514" spans="1:10" s="71" customFormat="1" ht="12.75" customHeight="1">
      <c r="A1514" s="88"/>
      <c r="B1514" s="81"/>
      <c r="C1514" s="86"/>
      <c r="D1514" s="86"/>
      <c r="E1514" s="86"/>
      <c r="F1514" s="86"/>
      <c r="G1514" s="86"/>
      <c r="H1514" s="86"/>
      <c r="I1514" s="86"/>
      <c r="J1514" s="86"/>
    </row>
    <row r="1515" spans="1:10" ht="12.75" customHeight="1">
      <c r="A1515" s="83"/>
      <c r="B1515" s="81" t="s">
        <v>2803</v>
      </c>
      <c r="C1515" s="84">
        <v>40</v>
      </c>
      <c r="D1515" s="84">
        <v>18</v>
      </c>
      <c r="E1515" s="84">
        <v>0</v>
      </c>
      <c r="F1515" s="84" t="s">
        <v>2812</v>
      </c>
      <c r="G1515" s="84">
        <v>12</v>
      </c>
      <c r="H1515" s="84" t="s">
        <v>2812</v>
      </c>
      <c r="I1515" s="84" t="s">
        <v>2812</v>
      </c>
      <c r="J1515" s="84">
        <v>10</v>
      </c>
    </row>
    <row r="1516" spans="1:10" ht="12.75" customHeight="1">
      <c r="A1516" s="83"/>
      <c r="B1516" s="81" t="s">
        <v>2804</v>
      </c>
      <c r="C1516" s="84" t="s">
        <v>2805</v>
      </c>
      <c r="D1516" s="84" t="s">
        <v>2812</v>
      </c>
      <c r="E1516" s="84">
        <v>0</v>
      </c>
      <c r="F1516" s="84" t="s">
        <v>2812</v>
      </c>
      <c r="G1516" s="84" t="s">
        <v>2812</v>
      </c>
      <c r="H1516" s="84" t="s">
        <v>2812</v>
      </c>
      <c r="I1516" s="84">
        <v>0</v>
      </c>
      <c r="J1516" s="84" t="s">
        <v>2805</v>
      </c>
    </row>
    <row r="1517" spans="1:10" ht="12.75" customHeight="1">
      <c r="A1517" s="83"/>
      <c r="B1517" s="83" t="s">
        <v>2806</v>
      </c>
      <c r="C1517" s="84" t="s">
        <v>2805</v>
      </c>
      <c r="D1517" s="84" t="s">
        <v>2812</v>
      </c>
      <c r="E1517" s="84">
        <v>0</v>
      </c>
      <c r="F1517" s="84" t="s">
        <v>2812</v>
      </c>
      <c r="G1517" s="84" t="s">
        <v>2812</v>
      </c>
      <c r="H1517" s="84" t="s">
        <v>2812</v>
      </c>
      <c r="I1517" s="84">
        <v>0</v>
      </c>
      <c r="J1517" s="84" t="s">
        <v>2805</v>
      </c>
    </row>
    <row r="1518" spans="1:10" ht="12.75" customHeight="1">
      <c r="A1518" s="83"/>
      <c r="B1518" s="83" t="s">
        <v>2807</v>
      </c>
      <c r="C1518" s="84" t="s">
        <v>2805</v>
      </c>
      <c r="D1518" s="84">
        <v>0</v>
      </c>
      <c r="E1518" s="84">
        <v>0</v>
      </c>
      <c r="F1518" s="84" t="s">
        <v>2812</v>
      </c>
      <c r="G1518" s="84" t="s">
        <v>2812</v>
      </c>
      <c r="H1518" s="84">
        <v>0</v>
      </c>
      <c r="I1518" s="84">
        <v>0</v>
      </c>
      <c r="J1518" s="84" t="s">
        <v>2805</v>
      </c>
    </row>
    <row r="1519" spans="1:10" ht="12.75" customHeight="1">
      <c r="A1519" s="83"/>
      <c r="B1519" s="81" t="s">
        <v>2808</v>
      </c>
      <c r="C1519" s="84" t="s">
        <v>2805</v>
      </c>
      <c r="D1519" s="84">
        <v>15</v>
      </c>
      <c r="E1519" s="84">
        <v>0</v>
      </c>
      <c r="F1519" s="84" t="s">
        <v>2812</v>
      </c>
      <c r="G1519" s="84">
        <v>7</v>
      </c>
      <c r="H1519" s="84" t="s">
        <v>2812</v>
      </c>
      <c r="I1519" s="84" t="s">
        <v>2812</v>
      </c>
      <c r="J1519" s="84" t="s">
        <v>2805</v>
      </c>
    </row>
    <row r="1520" spans="1:10" ht="12.75" customHeight="1">
      <c r="A1520" s="83"/>
      <c r="B1520" s="83" t="s">
        <v>2810</v>
      </c>
      <c r="C1520" s="84" t="s">
        <v>2805</v>
      </c>
      <c r="D1520" s="84">
        <v>8</v>
      </c>
      <c r="E1520" s="84">
        <v>0</v>
      </c>
      <c r="F1520" s="84" t="s">
        <v>2812</v>
      </c>
      <c r="G1520" s="84">
        <v>6</v>
      </c>
      <c r="H1520" s="84" t="s">
        <v>2812</v>
      </c>
      <c r="I1520" s="84">
        <v>0</v>
      </c>
      <c r="J1520" s="84" t="s">
        <v>2805</v>
      </c>
    </row>
    <row r="1521" spans="1:10" ht="12.75" customHeight="1">
      <c r="A1521" s="83"/>
      <c r="B1521" s="83" t="s">
        <v>2811</v>
      </c>
      <c r="C1521" s="84" t="s">
        <v>2805</v>
      </c>
      <c r="D1521" s="84" t="s">
        <v>2812</v>
      </c>
      <c r="E1521" s="84">
        <v>0</v>
      </c>
      <c r="F1521" s="84">
        <v>0</v>
      </c>
      <c r="G1521" s="84" t="s">
        <v>2812</v>
      </c>
      <c r="H1521" s="84" t="s">
        <v>2812</v>
      </c>
      <c r="I1521" s="84">
        <v>0</v>
      </c>
      <c r="J1521" s="84" t="s">
        <v>2805</v>
      </c>
    </row>
    <row r="1522" spans="1:10" ht="12.75" customHeight="1">
      <c r="A1522" s="83"/>
      <c r="B1522" s="83" t="s">
        <v>2813</v>
      </c>
      <c r="C1522" s="84" t="s">
        <v>2805</v>
      </c>
      <c r="D1522" s="84">
        <v>5</v>
      </c>
      <c r="E1522" s="84">
        <v>0</v>
      </c>
      <c r="F1522" s="84" t="s">
        <v>2812</v>
      </c>
      <c r="G1522" s="84">
        <v>1</v>
      </c>
      <c r="H1522" s="84" t="s">
        <v>2812</v>
      </c>
      <c r="I1522" s="84">
        <v>0</v>
      </c>
      <c r="J1522" s="84" t="s">
        <v>2805</v>
      </c>
    </row>
    <row r="1523" spans="1:10" ht="12.75" customHeight="1">
      <c r="A1523" s="83"/>
      <c r="B1523" s="83" t="s">
        <v>2814</v>
      </c>
      <c r="C1523" s="84" t="s">
        <v>2805</v>
      </c>
      <c r="D1523" s="84" t="s">
        <v>2812</v>
      </c>
      <c r="E1523" s="84" t="s">
        <v>2805</v>
      </c>
      <c r="F1523" s="84" t="s">
        <v>2805</v>
      </c>
      <c r="G1523" s="84" t="s">
        <v>2805</v>
      </c>
      <c r="H1523" s="84" t="s">
        <v>2805</v>
      </c>
      <c r="I1523" s="84" t="s">
        <v>2805</v>
      </c>
      <c r="J1523" s="84" t="s">
        <v>2805</v>
      </c>
    </row>
    <row r="1524" spans="1:10" ht="12.75" customHeight="1">
      <c r="A1524" s="83"/>
      <c r="B1524" s="83" t="s">
        <v>2815</v>
      </c>
      <c r="C1524" s="84" t="s">
        <v>2805</v>
      </c>
      <c r="D1524" s="84">
        <v>1</v>
      </c>
      <c r="E1524" s="84">
        <v>0</v>
      </c>
      <c r="F1524" s="84">
        <v>0</v>
      </c>
      <c r="G1524" s="84" t="s">
        <v>2812</v>
      </c>
      <c r="H1524" s="84" t="s">
        <v>2812</v>
      </c>
      <c r="I1524" s="84" t="s">
        <v>2812</v>
      </c>
      <c r="J1524" s="84" t="s">
        <v>2805</v>
      </c>
    </row>
    <row r="1525" spans="1:10" ht="12.75" customHeight="1">
      <c r="A1525" s="83"/>
      <c r="B1525" s="81" t="s">
        <v>2816</v>
      </c>
      <c r="C1525" s="84" t="s">
        <v>2805</v>
      </c>
      <c r="D1525" s="84">
        <v>2</v>
      </c>
      <c r="E1525" s="84">
        <v>0</v>
      </c>
      <c r="F1525" s="84" t="s">
        <v>2812</v>
      </c>
      <c r="G1525" s="84">
        <v>5</v>
      </c>
      <c r="H1525" s="84" t="s">
        <v>2812</v>
      </c>
      <c r="I1525" s="84">
        <v>0</v>
      </c>
      <c r="J1525" s="84" t="s">
        <v>2805</v>
      </c>
    </row>
    <row r="1526" spans="1:10" ht="12.75" customHeight="1">
      <c r="A1526" s="83"/>
      <c r="B1526" s="83" t="s">
        <v>2817</v>
      </c>
      <c r="C1526" s="84" t="s">
        <v>2805</v>
      </c>
      <c r="D1526" s="84">
        <v>1</v>
      </c>
      <c r="E1526" s="84">
        <v>0</v>
      </c>
      <c r="F1526" s="84" t="s">
        <v>2812</v>
      </c>
      <c r="G1526" s="84">
        <v>5</v>
      </c>
      <c r="H1526" s="84" t="s">
        <v>2812</v>
      </c>
      <c r="I1526" s="84">
        <v>0</v>
      </c>
      <c r="J1526" s="84" t="s">
        <v>2805</v>
      </c>
    </row>
    <row r="1527" spans="1:10" ht="12.75" customHeight="1">
      <c r="A1527" s="83"/>
      <c r="B1527" s="83" t="s">
        <v>2818</v>
      </c>
      <c r="C1527" s="84" t="s">
        <v>2805</v>
      </c>
      <c r="D1527" s="84">
        <v>1</v>
      </c>
      <c r="E1527" s="84" t="s">
        <v>2805</v>
      </c>
      <c r="F1527" s="84" t="s">
        <v>2805</v>
      </c>
      <c r="G1527" s="84" t="s">
        <v>2805</v>
      </c>
      <c r="H1527" s="84" t="s">
        <v>2805</v>
      </c>
      <c r="I1527" s="84" t="s">
        <v>2805</v>
      </c>
      <c r="J1527" s="84" t="s">
        <v>2805</v>
      </c>
    </row>
    <row r="1528" spans="1:10" ht="12.75" customHeight="1">
      <c r="A1528" s="83"/>
      <c r="B1528" s="83" t="s">
        <v>2819</v>
      </c>
      <c r="C1528" s="84" t="s">
        <v>2805</v>
      </c>
      <c r="D1528" s="84" t="s">
        <v>2812</v>
      </c>
      <c r="E1528" s="84">
        <v>0</v>
      </c>
      <c r="F1528" s="84">
        <v>0</v>
      </c>
      <c r="G1528" s="84" t="s">
        <v>2812</v>
      </c>
      <c r="H1528" s="84" t="s">
        <v>2812</v>
      </c>
      <c r="I1528" s="84">
        <v>0</v>
      </c>
      <c r="J1528" s="84" t="s">
        <v>2805</v>
      </c>
    </row>
    <row r="1529" spans="1:10" ht="12.75" customHeight="1">
      <c r="A1529" s="83"/>
      <c r="B1529" s="83" t="s">
        <v>2820</v>
      </c>
      <c r="C1529" s="84" t="s">
        <v>2805</v>
      </c>
      <c r="D1529" s="84" t="s">
        <v>2812</v>
      </c>
      <c r="E1529" s="84" t="s">
        <v>2805</v>
      </c>
      <c r="F1529" s="84" t="s">
        <v>2812</v>
      </c>
      <c r="G1529" s="84" t="s">
        <v>2812</v>
      </c>
      <c r="H1529" s="84" t="s">
        <v>2812</v>
      </c>
      <c r="I1529" s="84" t="s">
        <v>2805</v>
      </c>
      <c r="J1529" s="84" t="s">
        <v>2805</v>
      </c>
    </row>
    <row r="1530" spans="1:10" ht="12.75" customHeight="1">
      <c r="A1530" s="83"/>
      <c r="B1530" s="83" t="s">
        <v>2821</v>
      </c>
      <c r="C1530" s="84" t="s">
        <v>2805</v>
      </c>
      <c r="D1530" s="84" t="s">
        <v>2805</v>
      </c>
      <c r="E1530" s="84">
        <v>0</v>
      </c>
      <c r="F1530" s="84" t="s">
        <v>2812</v>
      </c>
      <c r="G1530" s="84">
        <v>0</v>
      </c>
      <c r="H1530" s="84">
        <v>0</v>
      </c>
      <c r="I1530" s="84">
        <v>0</v>
      </c>
      <c r="J1530" s="84" t="s">
        <v>2805</v>
      </c>
    </row>
    <row r="1531" spans="1:10" ht="12.75" customHeight="1">
      <c r="A1531" s="83"/>
      <c r="B1531" s="83" t="s">
        <v>2822</v>
      </c>
      <c r="C1531" s="84" t="s">
        <v>2805</v>
      </c>
      <c r="D1531" s="84" t="s">
        <v>2812</v>
      </c>
      <c r="E1531" s="84">
        <v>0</v>
      </c>
      <c r="F1531" s="84" t="s">
        <v>2812</v>
      </c>
      <c r="G1531" s="84" t="s">
        <v>2812</v>
      </c>
      <c r="H1531" s="84" t="s">
        <v>2812</v>
      </c>
      <c r="I1531" s="84">
        <v>0</v>
      </c>
      <c r="J1531" s="84" t="s">
        <v>2805</v>
      </c>
    </row>
    <row r="1532" spans="1:10" ht="12.75" customHeight="1">
      <c r="A1532" s="83"/>
      <c r="B1532" s="81" t="s">
        <v>2823</v>
      </c>
      <c r="C1532" s="84">
        <v>10</v>
      </c>
      <c r="D1532" s="84" t="s">
        <v>2812</v>
      </c>
      <c r="E1532" s="84">
        <v>0</v>
      </c>
      <c r="F1532" s="84">
        <v>0</v>
      </c>
      <c r="G1532" s="84" t="s">
        <v>2812</v>
      </c>
      <c r="H1532" s="84" t="s">
        <v>2812</v>
      </c>
      <c r="I1532" s="84">
        <v>0</v>
      </c>
      <c r="J1532" s="84">
        <v>10</v>
      </c>
    </row>
    <row r="1533" spans="1:10" ht="12.75" customHeight="1">
      <c r="A1533" s="83"/>
      <c r="B1533" s="83"/>
      <c r="C1533" s="84"/>
      <c r="D1533" s="84"/>
      <c r="E1533" s="84"/>
      <c r="F1533" s="84"/>
      <c r="G1533" s="84"/>
      <c r="H1533" s="84"/>
      <c r="I1533" s="84"/>
      <c r="J1533" s="84"/>
    </row>
    <row r="1534" spans="1:10" s="71" customFormat="1" ht="12.75" customHeight="1">
      <c r="A1534" s="88" t="s">
        <v>2961</v>
      </c>
      <c r="B1534" s="81" t="s">
        <v>2962</v>
      </c>
      <c r="C1534" s="86"/>
      <c r="D1534" s="86"/>
      <c r="E1534" s="86"/>
      <c r="F1534" s="86"/>
      <c r="G1534" s="86"/>
      <c r="H1534" s="86"/>
      <c r="I1534" s="86"/>
      <c r="J1534" s="86"/>
    </row>
    <row r="1535" spans="1:10" ht="12.75" customHeight="1">
      <c r="A1535" s="83"/>
      <c r="B1535" s="83"/>
      <c r="C1535" s="84"/>
      <c r="D1535" s="84"/>
      <c r="E1535" s="84"/>
      <c r="F1535" s="84"/>
      <c r="G1535" s="84"/>
      <c r="H1535" s="84"/>
      <c r="I1535" s="84"/>
      <c r="J1535" s="84"/>
    </row>
    <row r="1536" spans="1:10" ht="12.75" customHeight="1">
      <c r="A1536" s="83"/>
      <c r="B1536" s="83"/>
      <c r="C1536" s="84"/>
      <c r="D1536" s="84"/>
      <c r="E1536" s="84"/>
      <c r="F1536" s="84"/>
      <c r="G1536" s="84"/>
      <c r="H1536" s="84"/>
      <c r="I1536" s="84"/>
      <c r="J1536" s="84"/>
    </row>
    <row r="1537" spans="1:10" ht="12.75" customHeight="1">
      <c r="A1537" s="83"/>
      <c r="B1537" s="81" t="s">
        <v>2803</v>
      </c>
      <c r="C1537" s="84">
        <v>22</v>
      </c>
      <c r="D1537" s="84">
        <v>7</v>
      </c>
      <c r="E1537" s="84" t="s">
        <v>2812</v>
      </c>
      <c r="F1537" s="84" t="s">
        <v>2812</v>
      </c>
      <c r="G1537" s="84">
        <v>15</v>
      </c>
      <c r="H1537" s="84" t="s">
        <v>2812</v>
      </c>
      <c r="I1537" s="84">
        <v>0</v>
      </c>
      <c r="J1537" s="84" t="s">
        <v>2812</v>
      </c>
    </row>
    <row r="1538" spans="1:10" ht="12.75" customHeight="1">
      <c r="A1538" s="83"/>
      <c r="B1538" s="81" t="s">
        <v>2804</v>
      </c>
      <c r="C1538" s="84" t="s">
        <v>2805</v>
      </c>
      <c r="D1538" s="84" t="s">
        <v>2812</v>
      </c>
      <c r="E1538" s="84">
        <v>0</v>
      </c>
      <c r="F1538" s="84" t="s">
        <v>2812</v>
      </c>
      <c r="G1538" s="84" t="s">
        <v>2812</v>
      </c>
      <c r="H1538" s="84" t="s">
        <v>2812</v>
      </c>
      <c r="I1538" s="84">
        <v>0</v>
      </c>
      <c r="J1538" s="84" t="s">
        <v>2805</v>
      </c>
    </row>
    <row r="1539" spans="1:10" ht="12.75" customHeight="1">
      <c r="A1539" s="83"/>
      <c r="B1539" s="83" t="s">
        <v>2806</v>
      </c>
      <c r="C1539" s="84" t="s">
        <v>2805</v>
      </c>
      <c r="D1539" s="84" t="s">
        <v>2812</v>
      </c>
      <c r="E1539" s="84">
        <v>0</v>
      </c>
      <c r="F1539" s="84" t="s">
        <v>2812</v>
      </c>
      <c r="G1539" s="84" t="s">
        <v>2812</v>
      </c>
      <c r="H1539" s="84" t="s">
        <v>2812</v>
      </c>
      <c r="I1539" s="84">
        <v>0</v>
      </c>
      <c r="J1539" s="84" t="s">
        <v>2805</v>
      </c>
    </row>
    <row r="1540" spans="1:10" ht="12.75" customHeight="1">
      <c r="A1540" s="83"/>
      <c r="B1540" s="83" t="s">
        <v>2807</v>
      </c>
      <c r="C1540" s="84" t="s">
        <v>2805</v>
      </c>
      <c r="D1540" s="84">
        <v>0</v>
      </c>
      <c r="E1540" s="84">
        <v>0</v>
      </c>
      <c r="F1540" s="84" t="s">
        <v>2812</v>
      </c>
      <c r="G1540" s="84" t="s">
        <v>2812</v>
      </c>
      <c r="H1540" s="84" t="s">
        <v>2812</v>
      </c>
      <c r="I1540" s="84">
        <v>0</v>
      </c>
      <c r="J1540" s="84" t="s">
        <v>2805</v>
      </c>
    </row>
    <row r="1541" spans="1:10" ht="12.75" customHeight="1">
      <c r="A1541" s="83"/>
      <c r="B1541" s="81" t="s">
        <v>2808</v>
      </c>
      <c r="C1541" s="84" t="s">
        <v>2805</v>
      </c>
      <c r="D1541" s="84">
        <v>6</v>
      </c>
      <c r="E1541" s="84" t="s">
        <v>2812</v>
      </c>
      <c r="F1541" s="84" t="s">
        <v>2812</v>
      </c>
      <c r="G1541" s="84">
        <v>12</v>
      </c>
      <c r="H1541" s="84" t="s">
        <v>2812</v>
      </c>
      <c r="I1541" s="84">
        <v>0</v>
      </c>
      <c r="J1541" s="84" t="s">
        <v>2805</v>
      </c>
    </row>
    <row r="1542" spans="1:10" ht="12.75" customHeight="1">
      <c r="A1542" s="83"/>
      <c r="B1542" s="83" t="s">
        <v>2810</v>
      </c>
      <c r="C1542" s="84" t="s">
        <v>2805</v>
      </c>
      <c r="D1542" s="84">
        <v>2</v>
      </c>
      <c r="E1542" s="84">
        <v>0</v>
      </c>
      <c r="F1542" s="84" t="s">
        <v>2812</v>
      </c>
      <c r="G1542" s="84">
        <v>10</v>
      </c>
      <c r="H1542" s="84" t="s">
        <v>2812</v>
      </c>
      <c r="I1542" s="84">
        <v>0</v>
      </c>
      <c r="J1542" s="84" t="s">
        <v>2805</v>
      </c>
    </row>
    <row r="1543" spans="1:10" ht="12.75" customHeight="1">
      <c r="A1543" s="83"/>
      <c r="B1543" s="83" t="s">
        <v>2811</v>
      </c>
      <c r="C1543" s="84" t="s">
        <v>2805</v>
      </c>
      <c r="D1543" s="84" t="s">
        <v>2812</v>
      </c>
      <c r="E1543" s="84">
        <v>0</v>
      </c>
      <c r="F1543" s="84" t="s">
        <v>2812</v>
      </c>
      <c r="G1543" s="84" t="s">
        <v>2812</v>
      </c>
      <c r="H1543" s="84" t="s">
        <v>2812</v>
      </c>
      <c r="I1543" s="84">
        <v>0</v>
      </c>
      <c r="J1543" s="84" t="s">
        <v>2805</v>
      </c>
    </row>
    <row r="1544" spans="1:10" ht="12.75" customHeight="1">
      <c r="A1544" s="83"/>
      <c r="B1544" s="83" t="s">
        <v>2813</v>
      </c>
      <c r="C1544" s="84" t="s">
        <v>2805</v>
      </c>
      <c r="D1544" s="84">
        <v>3</v>
      </c>
      <c r="E1544" s="84" t="s">
        <v>2812</v>
      </c>
      <c r="F1544" s="84" t="s">
        <v>2812</v>
      </c>
      <c r="G1544" s="84">
        <v>1</v>
      </c>
      <c r="H1544" s="84" t="s">
        <v>2812</v>
      </c>
      <c r="I1544" s="84">
        <v>0</v>
      </c>
      <c r="J1544" s="84" t="s">
        <v>2805</v>
      </c>
    </row>
    <row r="1545" spans="1:10" ht="12.75" customHeight="1">
      <c r="A1545" s="83"/>
      <c r="B1545" s="83" t="s">
        <v>2814</v>
      </c>
      <c r="C1545" s="84" t="s">
        <v>2805</v>
      </c>
      <c r="D1545" s="84" t="s">
        <v>2812</v>
      </c>
      <c r="E1545" s="84" t="s">
        <v>2805</v>
      </c>
      <c r="F1545" s="84" t="s">
        <v>2805</v>
      </c>
      <c r="G1545" s="84" t="s">
        <v>2805</v>
      </c>
      <c r="H1545" s="84" t="s">
        <v>2805</v>
      </c>
      <c r="I1545" s="84" t="s">
        <v>2805</v>
      </c>
      <c r="J1545" s="84" t="s">
        <v>2805</v>
      </c>
    </row>
    <row r="1546" spans="1:10" ht="12.75" customHeight="1">
      <c r="A1546" s="83"/>
      <c r="B1546" s="83" t="s">
        <v>2815</v>
      </c>
      <c r="C1546" s="84" t="s">
        <v>2805</v>
      </c>
      <c r="D1546" s="84" t="s">
        <v>2812</v>
      </c>
      <c r="E1546" s="84">
        <v>0</v>
      </c>
      <c r="F1546" s="84" t="s">
        <v>2812</v>
      </c>
      <c r="G1546" s="84" t="s">
        <v>2812</v>
      </c>
      <c r="H1546" s="84" t="s">
        <v>2812</v>
      </c>
      <c r="I1546" s="84">
        <v>0</v>
      </c>
      <c r="J1546" s="84" t="s">
        <v>2805</v>
      </c>
    </row>
    <row r="1547" spans="1:10" ht="12.75" customHeight="1">
      <c r="A1547" s="83"/>
      <c r="B1547" s="81" t="s">
        <v>2816</v>
      </c>
      <c r="C1547" s="84" t="s">
        <v>2805</v>
      </c>
      <c r="D1547" s="84">
        <v>1</v>
      </c>
      <c r="E1547" s="84">
        <v>0</v>
      </c>
      <c r="F1547" s="84" t="s">
        <v>2812</v>
      </c>
      <c r="G1547" s="84">
        <v>2</v>
      </c>
      <c r="H1547" s="84" t="s">
        <v>2812</v>
      </c>
      <c r="I1547" s="84">
        <v>0</v>
      </c>
      <c r="J1547" s="84" t="s">
        <v>2805</v>
      </c>
    </row>
    <row r="1548" spans="1:10" ht="12.75" customHeight="1">
      <c r="A1548" s="83"/>
      <c r="B1548" s="83" t="s">
        <v>2817</v>
      </c>
      <c r="C1548" s="84" t="s">
        <v>2805</v>
      </c>
      <c r="D1548" s="84">
        <v>1</v>
      </c>
      <c r="E1548" s="84">
        <v>0</v>
      </c>
      <c r="F1548" s="84" t="s">
        <v>2812</v>
      </c>
      <c r="G1548" s="84">
        <v>2</v>
      </c>
      <c r="H1548" s="84" t="s">
        <v>2812</v>
      </c>
      <c r="I1548" s="84">
        <v>0</v>
      </c>
      <c r="J1548" s="84" t="s">
        <v>2805</v>
      </c>
    </row>
    <row r="1549" spans="1:10" ht="12.75" customHeight="1">
      <c r="A1549" s="83"/>
      <c r="B1549" s="83" t="s">
        <v>2818</v>
      </c>
      <c r="C1549" s="84" t="s">
        <v>2805</v>
      </c>
      <c r="D1549" s="84" t="s">
        <v>2812</v>
      </c>
      <c r="E1549" s="84" t="s">
        <v>2805</v>
      </c>
      <c r="F1549" s="84" t="s">
        <v>2805</v>
      </c>
      <c r="G1549" s="84" t="s">
        <v>2805</v>
      </c>
      <c r="H1549" s="84" t="s">
        <v>2805</v>
      </c>
      <c r="I1549" s="84" t="s">
        <v>2805</v>
      </c>
      <c r="J1549" s="84" t="s">
        <v>2805</v>
      </c>
    </row>
    <row r="1550" spans="1:10" ht="12.75" customHeight="1">
      <c r="A1550" s="83"/>
      <c r="B1550" s="83" t="s">
        <v>2819</v>
      </c>
      <c r="C1550" s="84" t="s">
        <v>2805</v>
      </c>
      <c r="D1550" s="84" t="s">
        <v>2812</v>
      </c>
      <c r="E1550" s="84">
        <v>0</v>
      </c>
      <c r="F1550" s="84" t="s">
        <v>2812</v>
      </c>
      <c r="G1550" s="84" t="s">
        <v>2812</v>
      </c>
      <c r="H1550" s="84" t="s">
        <v>2812</v>
      </c>
      <c r="I1550" s="84">
        <v>0</v>
      </c>
      <c r="J1550" s="84" t="s">
        <v>2805</v>
      </c>
    </row>
    <row r="1551" spans="1:10" ht="12.75" customHeight="1">
      <c r="A1551" s="83"/>
      <c r="B1551" s="83" t="s">
        <v>2820</v>
      </c>
      <c r="C1551" s="84" t="s">
        <v>2805</v>
      </c>
      <c r="D1551" s="84" t="s">
        <v>2812</v>
      </c>
      <c r="E1551" s="84" t="s">
        <v>2805</v>
      </c>
      <c r="F1551" s="84" t="s">
        <v>2812</v>
      </c>
      <c r="G1551" s="84" t="s">
        <v>2812</v>
      </c>
      <c r="H1551" s="84" t="s">
        <v>2812</v>
      </c>
      <c r="I1551" s="84" t="s">
        <v>2805</v>
      </c>
      <c r="J1551" s="84" t="s">
        <v>2805</v>
      </c>
    </row>
    <row r="1552" spans="1:10" ht="12.75" customHeight="1">
      <c r="A1552" s="83"/>
      <c r="B1552" s="83" t="s">
        <v>2821</v>
      </c>
      <c r="C1552" s="84" t="s">
        <v>2805</v>
      </c>
      <c r="D1552" s="84" t="s">
        <v>2805</v>
      </c>
      <c r="E1552" s="84">
        <v>0</v>
      </c>
      <c r="F1552" s="84" t="s">
        <v>2812</v>
      </c>
      <c r="G1552" s="84" t="s">
        <v>2812</v>
      </c>
      <c r="H1552" s="84">
        <v>0</v>
      </c>
      <c r="I1552" s="84">
        <v>0</v>
      </c>
      <c r="J1552" s="84" t="s">
        <v>2805</v>
      </c>
    </row>
    <row r="1553" spans="1:10" ht="12.75" customHeight="1">
      <c r="A1553" s="83"/>
      <c r="B1553" s="83" t="s">
        <v>2822</v>
      </c>
      <c r="C1553" s="84" t="s">
        <v>2805</v>
      </c>
      <c r="D1553" s="84" t="s">
        <v>2812</v>
      </c>
      <c r="E1553" s="84">
        <v>0</v>
      </c>
      <c r="F1553" s="84" t="s">
        <v>2812</v>
      </c>
      <c r="G1553" s="84">
        <v>0</v>
      </c>
      <c r="H1553" s="84">
        <v>0</v>
      </c>
      <c r="I1553" s="84">
        <v>0</v>
      </c>
      <c r="J1553" s="84" t="s">
        <v>2805</v>
      </c>
    </row>
    <row r="1554" spans="1:10" ht="12.75" customHeight="1">
      <c r="A1554" s="83"/>
      <c r="B1554" s="81" t="s">
        <v>2823</v>
      </c>
      <c r="C1554" s="84">
        <v>1</v>
      </c>
      <c r="D1554" s="84" t="s">
        <v>2812</v>
      </c>
      <c r="E1554" s="84">
        <v>0</v>
      </c>
      <c r="F1554" s="84">
        <v>0</v>
      </c>
      <c r="G1554" s="84" t="s">
        <v>2812</v>
      </c>
      <c r="H1554" s="84" t="s">
        <v>2812</v>
      </c>
      <c r="I1554" s="84">
        <v>0</v>
      </c>
      <c r="J1554" s="84" t="s">
        <v>2812</v>
      </c>
    </row>
    <row r="1555" spans="1:10" ht="12.75" customHeight="1">
      <c r="A1555" s="83"/>
      <c r="B1555" s="83"/>
      <c r="C1555" s="84"/>
      <c r="D1555" s="84"/>
      <c r="E1555" s="84"/>
      <c r="F1555" s="84"/>
      <c r="G1555" s="84"/>
      <c r="H1555" s="84"/>
      <c r="I1555" s="84"/>
      <c r="J1555" s="84"/>
    </row>
    <row r="1556" spans="1:10" s="71" customFormat="1" ht="12.75" customHeight="1">
      <c r="A1556" s="81" t="s">
        <v>2963</v>
      </c>
      <c r="B1556" s="81" t="s">
        <v>2964</v>
      </c>
      <c r="C1556" s="86"/>
      <c r="D1556" s="86"/>
      <c r="E1556" s="86"/>
      <c r="F1556" s="86"/>
      <c r="G1556" s="86"/>
      <c r="H1556" s="86"/>
      <c r="I1556" s="86"/>
      <c r="J1556" s="86"/>
    </row>
    <row r="1557" spans="1:10" ht="12.75" customHeight="1">
      <c r="A1557" s="89"/>
      <c r="B1557" s="90"/>
      <c r="C1557" s="84"/>
      <c r="D1557" s="84"/>
      <c r="E1557" s="84"/>
      <c r="F1557" s="84"/>
      <c r="G1557" s="84"/>
      <c r="H1557" s="84"/>
      <c r="I1557" s="84"/>
      <c r="J1557" s="84"/>
    </row>
    <row r="1558" spans="1:10" ht="12.75" customHeight="1">
      <c r="A1558" s="83"/>
      <c r="B1558" s="83"/>
      <c r="C1558" s="84"/>
      <c r="D1558" s="84"/>
      <c r="E1558" s="84"/>
      <c r="F1558" s="84"/>
      <c r="G1558" s="84"/>
      <c r="H1558" s="84"/>
      <c r="I1558" s="84"/>
      <c r="J1558" s="84"/>
    </row>
    <row r="1559" spans="1:10" ht="12.75" customHeight="1">
      <c r="A1559" s="83"/>
      <c r="B1559" s="81" t="s">
        <v>2803</v>
      </c>
      <c r="C1559" s="84">
        <v>9</v>
      </c>
      <c r="D1559" s="84">
        <v>3</v>
      </c>
      <c r="E1559" s="84">
        <v>0</v>
      </c>
      <c r="F1559" s="84" t="s">
        <v>2812</v>
      </c>
      <c r="G1559" s="84">
        <v>6</v>
      </c>
      <c r="H1559" s="84" t="s">
        <v>2812</v>
      </c>
      <c r="I1559" s="84">
        <v>0</v>
      </c>
      <c r="J1559" s="84" t="s">
        <v>2812</v>
      </c>
    </row>
    <row r="1560" spans="1:10" ht="12.75" customHeight="1">
      <c r="A1560" s="83"/>
      <c r="B1560" s="81" t="s">
        <v>2804</v>
      </c>
      <c r="C1560" s="84" t="s">
        <v>2805</v>
      </c>
      <c r="D1560" s="84" t="s">
        <v>2812</v>
      </c>
      <c r="E1560" s="84">
        <v>0</v>
      </c>
      <c r="F1560" s="84">
        <v>0</v>
      </c>
      <c r="G1560" s="84" t="s">
        <v>2812</v>
      </c>
      <c r="H1560" s="84" t="s">
        <v>2812</v>
      </c>
      <c r="I1560" s="84">
        <v>0</v>
      </c>
      <c r="J1560" s="84" t="s">
        <v>2805</v>
      </c>
    </row>
    <row r="1561" spans="1:10" ht="12.75" customHeight="1">
      <c r="A1561" s="83"/>
      <c r="B1561" s="83" t="s">
        <v>2806</v>
      </c>
      <c r="C1561" s="84" t="s">
        <v>2805</v>
      </c>
      <c r="D1561" s="84" t="s">
        <v>2812</v>
      </c>
      <c r="E1561" s="84">
        <v>0</v>
      </c>
      <c r="F1561" s="84">
        <v>0</v>
      </c>
      <c r="G1561" s="84" t="s">
        <v>2812</v>
      </c>
      <c r="H1561" s="84" t="s">
        <v>2812</v>
      </c>
      <c r="I1561" s="84">
        <v>0</v>
      </c>
      <c r="J1561" s="84" t="s">
        <v>2805</v>
      </c>
    </row>
    <row r="1562" spans="1:10" ht="12.75" customHeight="1">
      <c r="A1562" s="83"/>
      <c r="B1562" s="83" t="s">
        <v>2807</v>
      </c>
      <c r="C1562" s="84" t="s">
        <v>2805</v>
      </c>
      <c r="D1562" s="84">
        <v>0</v>
      </c>
      <c r="E1562" s="84">
        <v>0</v>
      </c>
      <c r="F1562" s="84">
        <v>0</v>
      </c>
      <c r="G1562" s="84" t="s">
        <v>2812</v>
      </c>
      <c r="H1562" s="84" t="s">
        <v>2812</v>
      </c>
      <c r="I1562" s="84">
        <v>0</v>
      </c>
      <c r="J1562" s="84" t="s">
        <v>2805</v>
      </c>
    </row>
    <row r="1563" spans="1:10" ht="12.75" customHeight="1">
      <c r="A1563" s="83"/>
      <c r="B1563" s="81" t="s">
        <v>2808</v>
      </c>
      <c r="C1563" s="84" t="s">
        <v>2805</v>
      </c>
      <c r="D1563" s="84">
        <v>2</v>
      </c>
      <c r="E1563" s="84">
        <v>0</v>
      </c>
      <c r="F1563" s="84" t="s">
        <v>2812</v>
      </c>
      <c r="G1563" s="84">
        <v>5</v>
      </c>
      <c r="H1563" s="84" t="s">
        <v>2812</v>
      </c>
      <c r="I1563" s="84">
        <v>0</v>
      </c>
      <c r="J1563" s="84" t="s">
        <v>2805</v>
      </c>
    </row>
    <row r="1564" spans="1:10" ht="12.75" customHeight="1">
      <c r="A1564" s="83"/>
      <c r="B1564" s="83" t="s">
        <v>2810</v>
      </c>
      <c r="C1564" s="84" t="s">
        <v>2805</v>
      </c>
      <c r="D1564" s="84">
        <v>1</v>
      </c>
      <c r="E1564" s="84">
        <v>0</v>
      </c>
      <c r="F1564" s="84" t="s">
        <v>2812</v>
      </c>
      <c r="G1564" s="84">
        <v>4</v>
      </c>
      <c r="H1564" s="84" t="s">
        <v>2812</v>
      </c>
      <c r="I1564" s="84">
        <v>0</v>
      </c>
      <c r="J1564" s="84" t="s">
        <v>2805</v>
      </c>
    </row>
    <row r="1565" spans="1:10" ht="12.75" customHeight="1">
      <c r="A1565" s="83"/>
      <c r="B1565" s="83" t="s">
        <v>2811</v>
      </c>
      <c r="C1565" s="84" t="s">
        <v>2805</v>
      </c>
      <c r="D1565" s="84" t="s">
        <v>2812</v>
      </c>
      <c r="E1565" s="84">
        <v>0</v>
      </c>
      <c r="F1565" s="84">
        <v>0</v>
      </c>
      <c r="G1565" s="84" t="s">
        <v>2812</v>
      </c>
      <c r="H1565" s="84" t="s">
        <v>2812</v>
      </c>
      <c r="I1565" s="84">
        <v>0</v>
      </c>
      <c r="J1565" s="84" t="s">
        <v>2805</v>
      </c>
    </row>
    <row r="1566" spans="1:10" ht="12.75" customHeight="1">
      <c r="A1566" s="83"/>
      <c r="B1566" s="83" t="s">
        <v>2813</v>
      </c>
      <c r="C1566" s="84" t="s">
        <v>2805</v>
      </c>
      <c r="D1566" s="84">
        <v>1</v>
      </c>
      <c r="E1566" s="84">
        <v>0</v>
      </c>
      <c r="F1566" s="84" t="s">
        <v>2812</v>
      </c>
      <c r="G1566" s="84" t="s">
        <v>2812</v>
      </c>
      <c r="H1566" s="84" t="s">
        <v>2812</v>
      </c>
      <c r="I1566" s="84">
        <v>0</v>
      </c>
      <c r="J1566" s="84" t="s">
        <v>2805</v>
      </c>
    </row>
    <row r="1567" spans="1:10" ht="12.75" customHeight="1">
      <c r="A1567" s="83"/>
      <c r="B1567" s="83" t="s">
        <v>2814</v>
      </c>
      <c r="C1567" s="84" t="s">
        <v>2805</v>
      </c>
      <c r="D1567" s="84" t="s">
        <v>2812</v>
      </c>
      <c r="E1567" s="84" t="s">
        <v>2805</v>
      </c>
      <c r="F1567" s="84" t="s">
        <v>2805</v>
      </c>
      <c r="G1567" s="84" t="s">
        <v>2805</v>
      </c>
      <c r="H1567" s="84" t="s">
        <v>2805</v>
      </c>
      <c r="I1567" s="84" t="s">
        <v>2805</v>
      </c>
      <c r="J1567" s="84" t="s">
        <v>2805</v>
      </c>
    </row>
    <row r="1568" spans="1:10" ht="12.75" customHeight="1">
      <c r="A1568" s="83"/>
      <c r="B1568" s="83" t="s">
        <v>2815</v>
      </c>
      <c r="C1568" s="84" t="s">
        <v>2805</v>
      </c>
      <c r="D1568" s="84" t="s">
        <v>2812</v>
      </c>
      <c r="E1568" s="84">
        <v>0</v>
      </c>
      <c r="F1568" s="84" t="s">
        <v>2812</v>
      </c>
      <c r="G1568" s="84" t="s">
        <v>2812</v>
      </c>
      <c r="H1568" s="84" t="s">
        <v>2812</v>
      </c>
      <c r="I1568" s="84">
        <v>0</v>
      </c>
      <c r="J1568" s="84" t="s">
        <v>2805</v>
      </c>
    </row>
    <row r="1569" spans="1:10" ht="12.75" customHeight="1">
      <c r="A1569" s="83"/>
      <c r="B1569" s="81" t="s">
        <v>2816</v>
      </c>
      <c r="C1569" s="84" t="s">
        <v>2805</v>
      </c>
      <c r="D1569" s="84" t="s">
        <v>2812</v>
      </c>
      <c r="E1569" s="84">
        <v>0</v>
      </c>
      <c r="F1569" s="84" t="s">
        <v>2812</v>
      </c>
      <c r="G1569" s="84">
        <v>1</v>
      </c>
      <c r="H1569" s="84" t="s">
        <v>2812</v>
      </c>
      <c r="I1569" s="84">
        <v>0</v>
      </c>
      <c r="J1569" s="84" t="s">
        <v>2805</v>
      </c>
    </row>
    <row r="1570" spans="1:10" ht="12.75" customHeight="1">
      <c r="A1570" s="83"/>
      <c r="B1570" s="83" t="s">
        <v>2817</v>
      </c>
      <c r="C1570" s="84" t="s">
        <v>2805</v>
      </c>
      <c r="D1570" s="84" t="s">
        <v>2812</v>
      </c>
      <c r="E1570" s="84">
        <v>0</v>
      </c>
      <c r="F1570" s="84" t="s">
        <v>2812</v>
      </c>
      <c r="G1570" s="84">
        <v>1</v>
      </c>
      <c r="H1570" s="84" t="s">
        <v>2812</v>
      </c>
      <c r="I1570" s="84">
        <v>0</v>
      </c>
      <c r="J1570" s="84" t="s">
        <v>2805</v>
      </c>
    </row>
    <row r="1571" spans="1:10" ht="12.75" customHeight="1">
      <c r="A1571" s="83"/>
      <c r="B1571" s="83" t="s">
        <v>2818</v>
      </c>
      <c r="C1571" s="84" t="s">
        <v>2805</v>
      </c>
      <c r="D1571" s="84" t="s">
        <v>2812</v>
      </c>
      <c r="E1571" s="84" t="s">
        <v>2805</v>
      </c>
      <c r="F1571" s="84" t="s">
        <v>2805</v>
      </c>
      <c r="G1571" s="84" t="s">
        <v>2805</v>
      </c>
      <c r="H1571" s="84" t="s">
        <v>2805</v>
      </c>
      <c r="I1571" s="84" t="s">
        <v>2805</v>
      </c>
      <c r="J1571" s="84" t="s">
        <v>2805</v>
      </c>
    </row>
    <row r="1572" spans="1:10" ht="12.75" customHeight="1">
      <c r="A1572" s="83"/>
      <c r="B1572" s="83" t="s">
        <v>2819</v>
      </c>
      <c r="C1572" s="84" t="s">
        <v>2805</v>
      </c>
      <c r="D1572" s="84" t="s">
        <v>2812</v>
      </c>
      <c r="E1572" s="84">
        <v>0</v>
      </c>
      <c r="F1572" s="84" t="s">
        <v>2812</v>
      </c>
      <c r="G1572" s="84" t="s">
        <v>2812</v>
      </c>
      <c r="H1572" s="84" t="s">
        <v>2812</v>
      </c>
      <c r="I1572" s="84">
        <v>0</v>
      </c>
      <c r="J1572" s="84" t="s">
        <v>2805</v>
      </c>
    </row>
    <row r="1573" spans="1:10" ht="12.75" customHeight="1">
      <c r="A1573" s="83"/>
      <c r="B1573" s="83" t="s">
        <v>2820</v>
      </c>
      <c r="C1573" s="84" t="s">
        <v>2805</v>
      </c>
      <c r="D1573" s="84" t="s">
        <v>2812</v>
      </c>
      <c r="E1573" s="84" t="s">
        <v>2805</v>
      </c>
      <c r="F1573" s="84" t="s">
        <v>2812</v>
      </c>
      <c r="G1573" s="84" t="s">
        <v>2812</v>
      </c>
      <c r="H1573" s="84" t="s">
        <v>2812</v>
      </c>
      <c r="I1573" s="84" t="s">
        <v>2805</v>
      </c>
      <c r="J1573" s="84" t="s">
        <v>2805</v>
      </c>
    </row>
    <row r="1574" spans="1:10" ht="12.75" customHeight="1">
      <c r="A1574" s="83"/>
      <c r="B1574" s="83" t="s">
        <v>2821</v>
      </c>
      <c r="C1574" s="84" t="s">
        <v>2805</v>
      </c>
      <c r="D1574" s="84" t="s">
        <v>2805</v>
      </c>
      <c r="E1574" s="84">
        <v>0</v>
      </c>
      <c r="F1574" s="84">
        <v>0</v>
      </c>
      <c r="G1574" s="84" t="s">
        <v>2812</v>
      </c>
      <c r="H1574" s="84">
        <v>0</v>
      </c>
      <c r="I1574" s="84">
        <v>0</v>
      </c>
      <c r="J1574" s="84" t="s">
        <v>2805</v>
      </c>
    </row>
    <row r="1575" spans="1:10" ht="12.75" customHeight="1">
      <c r="A1575" s="83"/>
      <c r="B1575" s="83" t="s">
        <v>2822</v>
      </c>
      <c r="C1575" s="84" t="s">
        <v>2805</v>
      </c>
      <c r="D1575" s="84" t="s">
        <v>2812</v>
      </c>
      <c r="E1575" s="84">
        <v>0</v>
      </c>
      <c r="F1575" s="84" t="s">
        <v>2812</v>
      </c>
      <c r="G1575" s="84">
        <v>0</v>
      </c>
      <c r="H1575" s="84">
        <v>0</v>
      </c>
      <c r="I1575" s="84">
        <v>0</v>
      </c>
      <c r="J1575" s="84" t="s">
        <v>2805</v>
      </c>
    </row>
    <row r="1576" spans="1:10" ht="12.75" customHeight="1">
      <c r="A1576" s="83"/>
      <c r="B1576" s="81" t="s">
        <v>2823</v>
      </c>
      <c r="C1576" s="84" t="s">
        <v>2812</v>
      </c>
      <c r="D1576" s="84" t="s">
        <v>2812</v>
      </c>
      <c r="E1576" s="84">
        <v>0</v>
      </c>
      <c r="F1576" s="84">
        <v>0</v>
      </c>
      <c r="G1576" s="84" t="s">
        <v>2812</v>
      </c>
      <c r="H1576" s="84" t="s">
        <v>2812</v>
      </c>
      <c r="I1576" s="84">
        <v>0</v>
      </c>
      <c r="J1576" s="84" t="s">
        <v>2812</v>
      </c>
    </row>
    <row r="1577" spans="1:10" ht="12.75" customHeight="1">
      <c r="A1577" s="83"/>
      <c r="B1577" s="83"/>
      <c r="C1577" s="84"/>
      <c r="D1577" s="84"/>
      <c r="E1577" s="84"/>
      <c r="F1577" s="84"/>
      <c r="G1577" s="84"/>
      <c r="H1577" s="84"/>
      <c r="I1577" s="84"/>
      <c r="J1577" s="84"/>
    </row>
    <row r="1578" spans="1:10" s="71" customFormat="1" ht="12.75" customHeight="1">
      <c r="A1578" s="81" t="s">
        <v>2965</v>
      </c>
      <c r="B1578" s="81" t="s">
        <v>2966</v>
      </c>
      <c r="C1578" s="86"/>
      <c r="D1578" s="86"/>
      <c r="E1578" s="86"/>
      <c r="F1578" s="86"/>
      <c r="G1578" s="86"/>
      <c r="H1578" s="86"/>
      <c r="I1578" s="86"/>
      <c r="J1578" s="86"/>
    </row>
    <row r="1579" spans="1:10" ht="12.75" customHeight="1">
      <c r="A1579" s="83"/>
      <c r="B1579" s="83"/>
      <c r="C1579" s="84"/>
      <c r="D1579" s="84"/>
      <c r="E1579" s="84"/>
      <c r="F1579" s="84"/>
      <c r="G1579" s="84"/>
      <c r="H1579" s="84"/>
      <c r="I1579" s="84"/>
      <c r="J1579" s="84"/>
    </row>
    <row r="1580" spans="1:10" ht="12.75" customHeight="1">
      <c r="A1580" s="83"/>
      <c r="B1580" s="83"/>
      <c r="C1580" s="84"/>
      <c r="D1580" s="84"/>
      <c r="E1580" s="84"/>
      <c r="F1580" s="84"/>
      <c r="G1580" s="84"/>
      <c r="H1580" s="84"/>
      <c r="I1580" s="84"/>
      <c r="J1580" s="84"/>
    </row>
    <row r="1581" spans="1:10" ht="12.75" customHeight="1">
      <c r="A1581" s="83"/>
      <c r="B1581" s="81" t="s">
        <v>2803</v>
      </c>
      <c r="C1581" s="84">
        <v>254</v>
      </c>
      <c r="D1581" s="84">
        <v>124</v>
      </c>
      <c r="E1581" s="84">
        <v>0</v>
      </c>
      <c r="F1581" s="84" t="s">
        <v>2826</v>
      </c>
      <c r="G1581" s="84">
        <v>124</v>
      </c>
      <c r="H1581" s="84">
        <v>3</v>
      </c>
      <c r="I1581" s="84" t="s">
        <v>2812</v>
      </c>
      <c r="J1581" s="84">
        <v>2</v>
      </c>
    </row>
    <row r="1582" spans="1:10" ht="12.75" customHeight="1">
      <c r="A1582" s="83"/>
      <c r="B1582" s="81" t="s">
        <v>2804</v>
      </c>
      <c r="C1582" s="84" t="s">
        <v>2805</v>
      </c>
      <c r="D1582" s="84">
        <v>1</v>
      </c>
      <c r="E1582" s="84">
        <v>0</v>
      </c>
      <c r="F1582" s="84" t="s">
        <v>2812</v>
      </c>
      <c r="G1582" s="84">
        <v>13</v>
      </c>
      <c r="H1582" s="84" t="s">
        <v>2812</v>
      </c>
      <c r="I1582" s="84">
        <v>0</v>
      </c>
      <c r="J1582" s="84" t="s">
        <v>2805</v>
      </c>
    </row>
    <row r="1583" spans="1:10" ht="12.75" customHeight="1">
      <c r="A1583" s="83"/>
      <c r="B1583" s="83" t="s">
        <v>2806</v>
      </c>
      <c r="C1583" s="84" t="s">
        <v>2805</v>
      </c>
      <c r="D1583" s="84">
        <v>1</v>
      </c>
      <c r="E1583" s="84">
        <v>0</v>
      </c>
      <c r="F1583" s="84">
        <v>0</v>
      </c>
      <c r="G1583" s="84" t="s">
        <v>2826</v>
      </c>
      <c r="H1583" s="84" t="s">
        <v>2812</v>
      </c>
      <c r="I1583" s="84">
        <v>0</v>
      </c>
      <c r="J1583" s="84" t="s">
        <v>2805</v>
      </c>
    </row>
    <row r="1584" spans="1:10" ht="12.75" customHeight="1">
      <c r="A1584" s="83"/>
      <c r="B1584" s="83" t="s">
        <v>2807</v>
      </c>
      <c r="C1584" s="84" t="s">
        <v>2805</v>
      </c>
      <c r="D1584" s="84">
        <v>0</v>
      </c>
      <c r="E1584" s="84">
        <v>0</v>
      </c>
      <c r="F1584" s="84" t="s">
        <v>2812</v>
      </c>
      <c r="G1584" s="84">
        <v>11</v>
      </c>
      <c r="H1584" s="84" t="s">
        <v>2812</v>
      </c>
      <c r="I1584" s="84">
        <v>0</v>
      </c>
      <c r="J1584" s="84" t="s">
        <v>2805</v>
      </c>
    </row>
    <row r="1585" spans="1:10" ht="12.75" customHeight="1">
      <c r="A1585" s="83"/>
      <c r="B1585" s="81" t="s">
        <v>2808</v>
      </c>
      <c r="C1585" s="84" t="s">
        <v>2805</v>
      </c>
      <c r="D1585" s="84">
        <v>84</v>
      </c>
      <c r="E1585" s="84">
        <v>0</v>
      </c>
      <c r="F1585" s="84" t="s">
        <v>2812</v>
      </c>
      <c r="G1585" s="84">
        <v>74</v>
      </c>
      <c r="H1585" s="84" t="s">
        <v>2812</v>
      </c>
      <c r="I1585" s="84">
        <v>0</v>
      </c>
      <c r="J1585" s="84" t="s">
        <v>2805</v>
      </c>
    </row>
    <row r="1586" spans="1:10" ht="12.75" customHeight="1">
      <c r="A1586" s="83"/>
      <c r="B1586" s="83" t="s">
        <v>2810</v>
      </c>
      <c r="C1586" s="84" t="s">
        <v>2805</v>
      </c>
      <c r="D1586" s="84">
        <v>20</v>
      </c>
      <c r="E1586" s="84">
        <v>0</v>
      </c>
      <c r="F1586" s="84">
        <v>0</v>
      </c>
      <c r="G1586" s="84">
        <v>70</v>
      </c>
      <c r="H1586" s="84" t="s">
        <v>2812</v>
      </c>
      <c r="I1586" s="84">
        <v>0</v>
      </c>
      <c r="J1586" s="84" t="s">
        <v>2805</v>
      </c>
    </row>
    <row r="1587" spans="1:10" ht="12.75" customHeight="1">
      <c r="A1587" s="83"/>
      <c r="B1587" s="83" t="s">
        <v>2811</v>
      </c>
      <c r="C1587" s="84" t="s">
        <v>2805</v>
      </c>
      <c r="D1587" s="84">
        <v>5</v>
      </c>
      <c r="E1587" s="84">
        <v>0</v>
      </c>
      <c r="F1587" s="84">
        <v>0</v>
      </c>
      <c r="G1587" s="84" t="s">
        <v>2812</v>
      </c>
      <c r="H1587" s="84">
        <v>0</v>
      </c>
      <c r="I1587" s="84">
        <v>0</v>
      </c>
      <c r="J1587" s="84" t="s">
        <v>2805</v>
      </c>
    </row>
    <row r="1588" spans="1:10" ht="12.75" customHeight="1">
      <c r="A1588" s="83"/>
      <c r="B1588" s="83" t="s">
        <v>2813</v>
      </c>
      <c r="C1588" s="84" t="s">
        <v>2805</v>
      </c>
      <c r="D1588" s="84">
        <v>51</v>
      </c>
      <c r="E1588" s="84">
        <v>0</v>
      </c>
      <c r="F1588" s="84" t="s">
        <v>2812</v>
      </c>
      <c r="G1588" s="84" t="s">
        <v>2826</v>
      </c>
      <c r="H1588" s="84" t="s">
        <v>2812</v>
      </c>
      <c r="I1588" s="84">
        <v>0</v>
      </c>
      <c r="J1588" s="84" t="s">
        <v>2805</v>
      </c>
    </row>
    <row r="1589" spans="1:10" ht="12.75" customHeight="1">
      <c r="A1589" s="83"/>
      <c r="B1589" s="83" t="s">
        <v>2814</v>
      </c>
      <c r="C1589" s="84" t="s">
        <v>2805</v>
      </c>
      <c r="D1589" s="84" t="s">
        <v>2826</v>
      </c>
      <c r="E1589" s="84" t="s">
        <v>2805</v>
      </c>
      <c r="F1589" s="84" t="s">
        <v>2805</v>
      </c>
      <c r="G1589" s="84" t="s">
        <v>2805</v>
      </c>
      <c r="H1589" s="84" t="s">
        <v>2805</v>
      </c>
      <c r="I1589" s="84" t="s">
        <v>2805</v>
      </c>
      <c r="J1589" s="84" t="s">
        <v>2805</v>
      </c>
    </row>
    <row r="1590" spans="1:10" ht="12.75" customHeight="1">
      <c r="A1590" s="83"/>
      <c r="B1590" s="83" t="s">
        <v>2815</v>
      </c>
      <c r="C1590" s="84" t="s">
        <v>2805</v>
      </c>
      <c r="D1590" s="84">
        <v>2</v>
      </c>
      <c r="E1590" s="84">
        <v>0</v>
      </c>
      <c r="F1590" s="84" t="s">
        <v>2812</v>
      </c>
      <c r="G1590" s="84" t="s">
        <v>2826</v>
      </c>
      <c r="H1590" s="84" t="s">
        <v>2812</v>
      </c>
      <c r="I1590" s="84">
        <v>0</v>
      </c>
      <c r="J1590" s="84" t="s">
        <v>2805</v>
      </c>
    </row>
    <row r="1591" spans="1:10" ht="12.75" customHeight="1">
      <c r="A1591" s="83"/>
      <c r="B1591" s="81" t="s">
        <v>2816</v>
      </c>
      <c r="C1591" s="84" t="s">
        <v>2805</v>
      </c>
      <c r="D1591" s="84">
        <v>34</v>
      </c>
      <c r="E1591" s="84">
        <v>0</v>
      </c>
      <c r="F1591" s="84" t="s">
        <v>2826</v>
      </c>
      <c r="G1591" s="84">
        <v>33</v>
      </c>
      <c r="H1591" s="84">
        <v>3</v>
      </c>
      <c r="I1591" s="84" t="s">
        <v>2812</v>
      </c>
      <c r="J1591" s="84" t="s">
        <v>2805</v>
      </c>
    </row>
    <row r="1592" spans="1:10" ht="12.75" customHeight="1">
      <c r="A1592" s="83"/>
      <c r="B1592" s="83" t="s">
        <v>2817</v>
      </c>
      <c r="C1592" s="84" t="s">
        <v>2805</v>
      </c>
      <c r="D1592" s="84">
        <v>17</v>
      </c>
      <c r="E1592" s="84">
        <v>0</v>
      </c>
      <c r="F1592" s="84" t="s">
        <v>2812</v>
      </c>
      <c r="G1592" s="84">
        <v>31</v>
      </c>
      <c r="H1592" s="84">
        <v>1</v>
      </c>
      <c r="I1592" s="84" t="s">
        <v>2812</v>
      </c>
      <c r="J1592" s="84" t="s">
        <v>2805</v>
      </c>
    </row>
    <row r="1593" spans="1:10" ht="12.75" customHeight="1">
      <c r="A1593" s="83"/>
      <c r="B1593" s="83" t="s">
        <v>2818</v>
      </c>
      <c r="C1593" s="84" t="s">
        <v>2805</v>
      </c>
      <c r="D1593" s="84">
        <v>13</v>
      </c>
      <c r="E1593" s="84" t="s">
        <v>2805</v>
      </c>
      <c r="F1593" s="84" t="s">
        <v>2805</v>
      </c>
      <c r="G1593" s="84" t="s">
        <v>2805</v>
      </c>
      <c r="H1593" s="84" t="s">
        <v>2805</v>
      </c>
      <c r="I1593" s="84" t="s">
        <v>2805</v>
      </c>
      <c r="J1593" s="84" t="s">
        <v>2805</v>
      </c>
    </row>
    <row r="1594" spans="1:10" ht="12.75" customHeight="1">
      <c r="A1594" s="83"/>
      <c r="B1594" s="83" t="s">
        <v>2819</v>
      </c>
      <c r="C1594" s="84" t="s">
        <v>2805</v>
      </c>
      <c r="D1594" s="84">
        <v>3</v>
      </c>
      <c r="E1594" s="84">
        <v>0</v>
      </c>
      <c r="F1594" s="84" t="s">
        <v>2812</v>
      </c>
      <c r="G1594" s="84">
        <v>2</v>
      </c>
      <c r="H1594" s="84" t="s">
        <v>2812</v>
      </c>
      <c r="I1594" s="84">
        <v>0</v>
      </c>
      <c r="J1594" s="84" t="s">
        <v>2805</v>
      </c>
    </row>
    <row r="1595" spans="1:10" ht="12.75" customHeight="1">
      <c r="A1595" s="83"/>
      <c r="B1595" s="83" t="s">
        <v>2820</v>
      </c>
      <c r="C1595" s="84" t="s">
        <v>2805</v>
      </c>
      <c r="D1595" s="84">
        <v>1</v>
      </c>
      <c r="E1595" s="84" t="s">
        <v>2805</v>
      </c>
      <c r="F1595" s="84" t="s">
        <v>2826</v>
      </c>
      <c r="G1595" s="84" t="s">
        <v>2812</v>
      </c>
      <c r="H1595" s="84">
        <v>2</v>
      </c>
      <c r="I1595" s="84" t="s">
        <v>2805</v>
      </c>
      <c r="J1595" s="84" t="s">
        <v>2805</v>
      </c>
    </row>
    <row r="1596" spans="1:10" ht="12.75" customHeight="1">
      <c r="A1596" s="83"/>
      <c r="B1596" s="83" t="s">
        <v>2821</v>
      </c>
      <c r="C1596" s="84" t="s">
        <v>2805</v>
      </c>
      <c r="D1596" s="84" t="s">
        <v>2805</v>
      </c>
      <c r="E1596" s="84">
        <v>0</v>
      </c>
      <c r="F1596" s="84" t="s">
        <v>2812</v>
      </c>
      <c r="G1596" s="84" t="s">
        <v>2812</v>
      </c>
      <c r="H1596" s="84">
        <v>0</v>
      </c>
      <c r="I1596" s="84">
        <v>0</v>
      </c>
      <c r="J1596" s="84" t="s">
        <v>2805</v>
      </c>
    </row>
    <row r="1597" spans="1:10" ht="12.75" customHeight="1">
      <c r="A1597" s="83"/>
      <c r="B1597" s="83" t="s">
        <v>2822</v>
      </c>
      <c r="C1597" s="84" t="s">
        <v>2805</v>
      </c>
      <c r="D1597" s="84" t="s">
        <v>2812</v>
      </c>
      <c r="E1597" s="84">
        <v>0</v>
      </c>
      <c r="F1597" s="84" t="s">
        <v>2812</v>
      </c>
      <c r="G1597" s="84">
        <v>0</v>
      </c>
      <c r="H1597" s="84" t="s">
        <v>2812</v>
      </c>
      <c r="I1597" s="84">
        <v>0</v>
      </c>
      <c r="J1597" s="84" t="s">
        <v>2805</v>
      </c>
    </row>
    <row r="1598" spans="1:10" ht="12.75" customHeight="1">
      <c r="A1598" s="83"/>
      <c r="B1598" s="81" t="s">
        <v>2823</v>
      </c>
      <c r="C1598" s="84">
        <v>11</v>
      </c>
      <c r="D1598" s="84" t="s">
        <v>2826</v>
      </c>
      <c r="E1598" s="84">
        <v>0</v>
      </c>
      <c r="F1598" s="84">
        <v>0</v>
      </c>
      <c r="G1598" s="84" t="s">
        <v>2826</v>
      </c>
      <c r="H1598" s="84" t="s">
        <v>2812</v>
      </c>
      <c r="I1598" s="84">
        <v>0</v>
      </c>
      <c r="J1598" s="84">
        <v>2</v>
      </c>
    </row>
    <row r="1599" spans="1:10" ht="12.75" customHeight="1">
      <c r="A1599" s="83"/>
      <c r="B1599" s="83"/>
      <c r="C1599" s="84"/>
      <c r="D1599" s="84"/>
      <c r="E1599" s="84"/>
      <c r="F1599" s="84"/>
      <c r="G1599" s="84"/>
      <c r="H1599" s="84"/>
      <c r="I1599" s="84"/>
      <c r="J1599" s="84"/>
    </row>
    <row r="1600" spans="1:10" s="71" customFormat="1" ht="12.75" customHeight="1">
      <c r="A1600" s="81" t="s">
        <v>2967</v>
      </c>
      <c r="B1600" s="81" t="s">
        <v>2968</v>
      </c>
      <c r="C1600" s="86"/>
      <c r="D1600" s="86"/>
      <c r="E1600" s="86"/>
      <c r="F1600" s="86"/>
      <c r="G1600" s="86"/>
      <c r="H1600" s="86"/>
      <c r="I1600" s="86"/>
      <c r="J1600" s="86"/>
    </row>
    <row r="1601" spans="1:10" ht="12.75" customHeight="1">
      <c r="A1601" s="89"/>
      <c r="B1601" s="90"/>
      <c r="C1601" s="84"/>
      <c r="D1601" s="84"/>
      <c r="E1601" s="84"/>
      <c r="F1601" s="84"/>
      <c r="G1601" s="84"/>
      <c r="H1601" s="84"/>
      <c r="I1601" s="84"/>
      <c r="J1601" s="84"/>
    </row>
    <row r="1602" spans="1:10" ht="12.75" customHeight="1">
      <c r="A1602" s="83"/>
      <c r="B1602" s="83"/>
      <c r="C1602" s="84"/>
      <c r="D1602" s="84"/>
      <c r="E1602" s="84"/>
      <c r="F1602" s="84"/>
      <c r="G1602" s="84"/>
      <c r="H1602" s="84"/>
      <c r="I1602" s="84"/>
      <c r="J1602" s="84"/>
    </row>
    <row r="1603" spans="1:10" ht="12.75" customHeight="1">
      <c r="A1603" s="83"/>
      <c r="B1603" s="81" t="s">
        <v>2803</v>
      </c>
      <c r="C1603" s="84">
        <v>146</v>
      </c>
      <c r="D1603" s="84">
        <v>80</v>
      </c>
      <c r="E1603" s="84" t="s">
        <v>2812</v>
      </c>
      <c r="F1603" s="84">
        <v>2</v>
      </c>
      <c r="G1603" s="84">
        <v>59</v>
      </c>
      <c r="H1603" s="84">
        <v>3</v>
      </c>
      <c r="I1603" s="84" t="s">
        <v>2812</v>
      </c>
      <c r="J1603" s="84">
        <v>1</v>
      </c>
    </row>
    <row r="1604" spans="1:10" ht="12.75" customHeight="1">
      <c r="A1604" s="83"/>
      <c r="B1604" s="81" t="s">
        <v>2804</v>
      </c>
      <c r="C1604" s="84" t="s">
        <v>2805</v>
      </c>
      <c r="D1604" s="84">
        <v>1</v>
      </c>
      <c r="E1604" s="84" t="s">
        <v>2812</v>
      </c>
      <c r="F1604" s="84" t="s">
        <v>2812</v>
      </c>
      <c r="G1604" s="84">
        <v>7</v>
      </c>
      <c r="H1604" s="84" t="s">
        <v>2812</v>
      </c>
      <c r="I1604" s="84">
        <v>0</v>
      </c>
      <c r="J1604" s="84" t="s">
        <v>2805</v>
      </c>
    </row>
    <row r="1605" spans="1:10" ht="12.75" customHeight="1">
      <c r="A1605" s="83"/>
      <c r="B1605" s="83" t="s">
        <v>2806</v>
      </c>
      <c r="C1605" s="84" t="s">
        <v>2805</v>
      </c>
      <c r="D1605" s="84">
        <v>1</v>
      </c>
      <c r="E1605" s="84">
        <v>0</v>
      </c>
      <c r="F1605" s="84">
        <v>0</v>
      </c>
      <c r="G1605" s="84" t="s">
        <v>2826</v>
      </c>
      <c r="H1605" s="84">
        <v>0</v>
      </c>
      <c r="I1605" s="84">
        <v>0</v>
      </c>
      <c r="J1605" s="84" t="s">
        <v>2805</v>
      </c>
    </row>
    <row r="1606" spans="1:10" ht="12.75" customHeight="1">
      <c r="A1606" s="83"/>
      <c r="B1606" s="83" t="s">
        <v>2807</v>
      </c>
      <c r="C1606" s="84" t="s">
        <v>2805</v>
      </c>
      <c r="D1606" s="84">
        <v>0</v>
      </c>
      <c r="E1606" s="84" t="s">
        <v>2812</v>
      </c>
      <c r="F1606" s="84" t="s">
        <v>2812</v>
      </c>
      <c r="G1606" s="84">
        <v>5</v>
      </c>
      <c r="H1606" s="84" t="s">
        <v>2812</v>
      </c>
      <c r="I1606" s="84">
        <v>0</v>
      </c>
      <c r="J1606" s="84" t="s">
        <v>2805</v>
      </c>
    </row>
    <row r="1607" spans="1:10" ht="12.75" customHeight="1">
      <c r="A1607" s="83"/>
      <c r="B1607" s="81" t="s">
        <v>2808</v>
      </c>
      <c r="C1607" s="84" t="s">
        <v>2805</v>
      </c>
      <c r="D1607" s="84">
        <v>49</v>
      </c>
      <c r="E1607" s="84">
        <v>0</v>
      </c>
      <c r="F1607" s="84">
        <v>1</v>
      </c>
      <c r="G1607" s="84">
        <v>25</v>
      </c>
      <c r="H1607" s="84" t="s">
        <v>2826</v>
      </c>
      <c r="I1607" s="84">
        <v>0</v>
      </c>
      <c r="J1607" s="84" t="s">
        <v>2805</v>
      </c>
    </row>
    <row r="1608" spans="1:10" ht="12.75" customHeight="1">
      <c r="A1608" s="83"/>
      <c r="B1608" s="83" t="s">
        <v>2810</v>
      </c>
      <c r="C1608" s="84" t="s">
        <v>2805</v>
      </c>
      <c r="D1608" s="84">
        <v>4</v>
      </c>
      <c r="E1608" s="84">
        <v>0</v>
      </c>
      <c r="F1608" s="84" t="s">
        <v>2812</v>
      </c>
      <c r="G1608" s="84">
        <v>19</v>
      </c>
      <c r="H1608" s="84" t="s">
        <v>2826</v>
      </c>
      <c r="I1608" s="84">
        <v>0</v>
      </c>
      <c r="J1608" s="84" t="s">
        <v>2805</v>
      </c>
    </row>
    <row r="1609" spans="1:10" ht="12.75" customHeight="1">
      <c r="A1609" s="83"/>
      <c r="B1609" s="83" t="s">
        <v>2811</v>
      </c>
      <c r="C1609" s="84" t="s">
        <v>2805</v>
      </c>
      <c r="D1609" s="84">
        <v>3</v>
      </c>
      <c r="E1609" s="84">
        <v>0</v>
      </c>
      <c r="F1609" s="84">
        <v>0</v>
      </c>
      <c r="G1609" s="84" t="s">
        <v>2812</v>
      </c>
      <c r="H1609" s="84">
        <v>0</v>
      </c>
      <c r="I1609" s="84">
        <v>0</v>
      </c>
      <c r="J1609" s="84" t="s">
        <v>2805</v>
      </c>
    </row>
    <row r="1610" spans="1:10" ht="12.75" customHeight="1">
      <c r="A1610" s="83"/>
      <c r="B1610" s="83" t="s">
        <v>2813</v>
      </c>
      <c r="C1610" s="84" t="s">
        <v>2805</v>
      </c>
      <c r="D1610" s="84">
        <v>41</v>
      </c>
      <c r="E1610" s="84">
        <v>0</v>
      </c>
      <c r="F1610" s="84" t="s">
        <v>2812</v>
      </c>
      <c r="G1610" s="84">
        <v>3</v>
      </c>
      <c r="H1610" s="84" t="s">
        <v>2812</v>
      </c>
      <c r="I1610" s="84">
        <v>0</v>
      </c>
      <c r="J1610" s="84" t="s">
        <v>2805</v>
      </c>
    </row>
    <row r="1611" spans="1:10" ht="12.75" customHeight="1">
      <c r="A1611" s="83"/>
      <c r="B1611" s="83" t="s">
        <v>2814</v>
      </c>
      <c r="C1611" s="84" t="s">
        <v>2805</v>
      </c>
      <c r="D1611" s="84" t="s">
        <v>2826</v>
      </c>
      <c r="E1611" s="84" t="s">
        <v>2805</v>
      </c>
      <c r="F1611" s="84" t="s">
        <v>2805</v>
      </c>
      <c r="G1611" s="84" t="s">
        <v>2805</v>
      </c>
      <c r="H1611" s="84" t="s">
        <v>2805</v>
      </c>
      <c r="I1611" s="84" t="s">
        <v>2805</v>
      </c>
      <c r="J1611" s="84" t="s">
        <v>2805</v>
      </c>
    </row>
    <row r="1612" spans="1:10" ht="12.75" customHeight="1">
      <c r="A1612" s="83"/>
      <c r="B1612" s="83" t="s">
        <v>2815</v>
      </c>
      <c r="C1612" s="84" t="s">
        <v>2805</v>
      </c>
      <c r="D1612" s="84">
        <v>1</v>
      </c>
      <c r="E1612" s="84">
        <v>0</v>
      </c>
      <c r="F1612" s="84">
        <v>1</v>
      </c>
      <c r="G1612" s="84">
        <v>2</v>
      </c>
      <c r="H1612" s="84" t="s">
        <v>2812</v>
      </c>
      <c r="I1612" s="84">
        <v>0</v>
      </c>
      <c r="J1612" s="84" t="s">
        <v>2805</v>
      </c>
    </row>
    <row r="1613" spans="1:10" ht="12.75" customHeight="1">
      <c r="A1613" s="83"/>
      <c r="B1613" s="81" t="s">
        <v>2816</v>
      </c>
      <c r="C1613" s="84" t="s">
        <v>2805</v>
      </c>
      <c r="D1613" s="84">
        <v>27</v>
      </c>
      <c r="E1613" s="84" t="s">
        <v>2812</v>
      </c>
      <c r="F1613" s="84">
        <v>1</v>
      </c>
      <c r="G1613" s="84">
        <v>27</v>
      </c>
      <c r="H1613" s="84">
        <v>2</v>
      </c>
      <c r="I1613" s="84" t="s">
        <v>2812</v>
      </c>
      <c r="J1613" s="84" t="s">
        <v>2805</v>
      </c>
    </row>
    <row r="1614" spans="1:10" ht="12.75" customHeight="1">
      <c r="A1614" s="83"/>
      <c r="B1614" s="83" t="s">
        <v>2817</v>
      </c>
      <c r="C1614" s="84" t="s">
        <v>2805</v>
      </c>
      <c r="D1614" s="84">
        <v>13</v>
      </c>
      <c r="E1614" s="84" t="s">
        <v>2812</v>
      </c>
      <c r="F1614" s="84" t="s">
        <v>2812</v>
      </c>
      <c r="G1614" s="84">
        <v>25</v>
      </c>
      <c r="H1614" s="84">
        <v>1</v>
      </c>
      <c r="I1614" s="84" t="s">
        <v>2812</v>
      </c>
      <c r="J1614" s="84" t="s">
        <v>2805</v>
      </c>
    </row>
    <row r="1615" spans="1:10" ht="12.75" customHeight="1">
      <c r="A1615" s="83"/>
      <c r="B1615" s="83" t="s">
        <v>2818</v>
      </c>
      <c r="C1615" s="84" t="s">
        <v>2805</v>
      </c>
      <c r="D1615" s="84">
        <v>9</v>
      </c>
      <c r="E1615" s="84" t="s">
        <v>2805</v>
      </c>
      <c r="F1615" s="84" t="s">
        <v>2805</v>
      </c>
      <c r="G1615" s="84" t="s">
        <v>2805</v>
      </c>
      <c r="H1615" s="84" t="s">
        <v>2805</v>
      </c>
      <c r="I1615" s="84" t="s">
        <v>2805</v>
      </c>
      <c r="J1615" s="84" t="s">
        <v>2805</v>
      </c>
    </row>
    <row r="1616" spans="1:10" ht="12.75" customHeight="1">
      <c r="A1616" s="83"/>
      <c r="B1616" s="83" t="s">
        <v>2819</v>
      </c>
      <c r="C1616" s="84" t="s">
        <v>2805</v>
      </c>
      <c r="D1616" s="84">
        <v>3</v>
      </c>
      <c r="E1616" s="84">
        <v>0</v>
      </c>
      <c r="F1616" s="84">
        <v>0</v>
      </c>
      <c r="G1616" s="84">
        <v>1</v>
      </c>
      <c r="H1616" s="84" t="s">
        <v>2812</v>
      </c>
      <c r="I1616" s="84">
        <v>0</v>
      </c>
      <c r="J1616" s="84" t="s">
        <v>2805</v>
      </c>
    </row>
    <row r="1617" spans="1:10" ht="12.75" customHeight="1">
      <c r="A1617" s="83"/>
      <c r="B1617" s="83" t="s">
        <v>2820</v>
      </c>
      <c r="C1617" s="84" t="s">
        <v>2805</v>
      </c>
      <c r="D1617" s="84">
        <v>1</v>
      </c>
      <c r="E1617" s="84" t="s">
        <v>2805</v>
      </c>
      <c r="F1617" s="84" t="s">
        <v>2826</v>
      </c>
      <c r="G1617" s="84" t="s">
        <v>2812</v>
      </c>
      <c r="H1617" s="84">
        <v>1</v>
      </c>
      <c r="I1617" s="84" t="s">
        <v>2805</v>
      </c>
      <c r="J1617" s="84" t="s">
        <v>2805</v>
      </c>
    </row>
    <row r="1618" spans="1:10" ht="12.75" customHeight="1">
      <c r="A1618" s="83"/>
      <c r="B1618" s="83" t="s">
        <v>2821</v>
      </c>
      <c r="C1618" s="84" t="s">
        <v>2805</v>
      </c>
      <c r="D1618" s="84" t="s">
        <v>2805</v>
      </c>
      <c r="E1618" s="84">
        <v>0</v>
      </c>
      <c r="F1618" s="84" t="s">
        <v>2812</v>
      </c>
      <c r="G1618" s="84" t="s">
        <v>2812</v>
      </c>
      <c r="H1618" s="84" t="s">
        <v>2812</v>
      </c>
      <c r="I1618" s="84">
        <v>0</v>
      </c>
      <c r="J1618" s="84" t="s">
        <v>2805</v>
      </c>
    </row>
    <row r="1619" spans="1:10" ht="12.75" customHeight="1">
      <c r="A1619" s="83"/>
      <c r="B1619" s="83" t="s">
        <v>2822</v>
      </c>
      <c r="C1619" s="84" t="s">
        <v>2805</v>
      </c>
      <c r="D1619" s="84" t="s">
        <v>2812</v>
      </c>
      <c r="E1619" s="84">
        <v>0</v>
      </c>
      <c r="F1619" s="84" t="s">
        <v>2812</v>
      </c>
      <c r="G1619" s="84" t="s">
        <v>2812</v>
      </c>
      <c r="H1619" s="84" t="s">
        <v>2812</v>
      </c>
      <c r="I1619" s="84">
        <v>0</v>
      </c>
      <c r="J1619" s="84" t="s">
        <v>2805</v>
      </c>
    </row>
    <row r="1620" spans="1:10" ht="12.75" customHeight="1">
      <c r="A1620" s="83"/>
      <c r="B1620" s="81" t="s">
        <v>2823</v>
      </c>
      <c r="C1620" s="84">
        <v>6</v>
      </c>
      <c r="D1620" s="84" t="s">
        <v>2826</v>
      </c>
      <c r="E1620" s="84">
        <v>0</v>
      </c>
      <c r="F1620" s="84">
        <v>0</v>
      </c>
      <c r="G1620" s="84" t="s">
        <v>2812</v>
      </c>
      <c r="H1620" s="84" t="s">
        <v>2826</v>
      </c>
      <c r="I1620" s="84">
        <v>0</v>
      </c>
      <c r="J1620" s="84">
        <v>1</v>
      </c>
    </row>
    <row r="1621" spans="1:10" ht="12.75" customHeight="1">
      <c r="A1621" s="83"/>
      <c r="B1621" s="83"/>
      <c r="C1621" s="84"/>
      <c r="D1621" s="84"/>
      <c r="E1621" s="84"/>
      <c r="F1621" s="84"/>
      <c r="G1621" s="84"/>
      <c r="H1621" s="84"/>
      <c r="I1621" s="84"/>
      <c r="J1621" s="84"/>
    </row>
    <row r="1622" spans="1:10" s="71" customFormat="1" ht="12.75" customHeight="1">
      <c r="A1622" s="81" t="s">
        <v>2969</v>
      </c>
      <c r="B1622" s="81" t="s">
        <v>2970</v>
      </c>
      <c r="C1622" s="86"/>
      <c r="D1622" s="86"/>
      <c r="E1622" s="86"/>
      <c r="F1622" s="86"/>
      <c r="G1622" s="86"/>
      <c r="H1622" s="86"/>
      <c r="I1622" s="86"/>
      <c r="J1622" s="86"/>
    </row>
    <row r="1623" spans="1:10" ht="12.75" customHeight="1">
      <c r="A1623" s="83"/>
      <c r="B1623" s="83"/>
      <c r="C1623" s="84"/>
      <c r="D1623" s="84"/>
      <c r="E1623" s="84"/>
      <c r="F1623" s="84"/>
      <c r="G1623" s="84"/>
      <c r="H1623" s="84"/>
      <c r="I1623" s="84"/>
      <c r="J1623" s="84"/>
    </row>
    <row r="1624" spans="1:10" ht="12.75" customHeight="1">
      <c r="A1624" s="83"/>
      <c r="B1624" s="83"/>
      <c r="C1624" s="84"/>
      <c r="D1624" s="84"/>
      <c r="E1624" s="84"/>
      <c r="F1624" s="84"/>
      <c r="G1624" s="84"/>
      <c r="H1624" s="84"/>
      <c r="I1624" s="84"/>
      <c r="J1624" s="84"/>
    </row>
    <row r="1625" spans="1:10" ht="12.75" customHeight="1">
      <c r="A1625" s="83"/>
      <c r="B1625" s="81" t="s">
        <v>2803</v>
      </c>
      <c r="C1625" s="84">
        <v>107</v>
      </c>
      <c r="D1625" s="84">
        <v>76</v>
      </c>
      <c r="E1625" s="84" t="s">
        <v>2812</v>
      </c>
      <c r="F1625" s="84" t="s">
        <v>2812</v>
      </c>
      <c r="G1625" s="84">
        <v>30</v>
      </c>
      <c r="H1625" s="84" t="s">
        <v>2812</v>
      </c>
      <c r="I1625" s="84">
        <v>0</v>
      </c>
      <c r="J1625" s="84" t="s">
        <v>2812</v>
      </c>
    </row>
    <row r="1626" spans="1:10" ht="12.75" customHeight="1">
      <c r="A1626" s="83"/>
      <c r="B1626" s="81" t="s">
        <v>2804</v>
      </c>
      <c r="C1626" s="84" t="s">
        <v>2805</v>
      </c>
      <c r="D1626" s="84">
        <v>1</v>
      </c>
      <c r="E1626" s="84" t="s">
        <v>2812</v>
      </c>
      <c r="F1626" s="84" t="s">
        <v>2812</v>
      </c>
      <c r="G1626" s="84">
        <v>11</v>
      </c>
      <c r="H1626" s="84" t="s">
        <v>2812</v>
      </c>
      <c r="I1626" s="84">
        <v>0</v>
      </c>
      <c r="J1626" s="84" t="s">
        <v>2805</v>
      </c>
    </row>
    <row r="1627" spans="1:10" ht="12.75" customHeight="1">
      <c r="A1627" s="83"/>
      <c r="B1627" s="83" t="s">
        <v>2806</v>
      </c>
      <c r="C1627" s="84" t="s">
        <v>2805</v>
      </c>
      <c r="D1627" s="84">
        <v>1</v>
      </c>
      <c r="E1627" s="84">
        <v>0</v>
      </c>
      <c r="F1627" s="84" t="s">
        <v>2812</v>
      </c>
      <c r="G1627" s="84">
        <v>8</v>
      </c>
      <c r="H1627" s="84" t="s">
        <v>2812</v>
      </c>
      <c r="I1627" s="84">
        <v>0</v>
      </c>
      <c r="J1627" s="84" t="s">
        <v>2805</v>
      </c>
    </row>
    <row r="1628" spans="1:10" ht="12.75" customHeight="1">
      <c r="A1628" s="83"/>
      <c r="B1628" s="83" t="s">
        <v>2807</v>
      </c>
      <c r="C1628" s="84" t="s">
        <v>2805</v>
      </c>
      <c r="D1628" s="84">
        <v>0</v>
      </c>
      <c r="E1628" s="84" t="s">
        <v>2812</v>
      </c>
      <c r="F1628" s="84" t="s">
        <v>2812</v>
      </c>
      <c r="G1628" s="84">
        <v>3</v>
      </c>
      <c r="H1628" s="84">
        <v>0</v>
      </c>
      <c r="I1628" s="84">
        <v>0</v>
      </c>
      <c r="J1628" s="84" t="s">
        <v>2805</v>
      </c>
    </row>
    <row r="1629" spans="1:10" ht="12.75" customHeight="1">
      <c r="A1629" s="83"/>
      <c r="B1629" s="81" t="s">
        <v>2808</v>
      </c>
      <c r="C1629" s="84" t="s">
        <v>2805</v>
      </c>
      <c r="D1629" s="84">
        <v>42</v>
      </c>
      <c r="E1629" s="84">
        <v>0</v>
      </c>
      <c r="F1629" s="84" t="s">
        <v>2812</v>
      </c>
      <c r="G1629" s="84">
        <v>3</v>
      </c>
      <c r="H1629" s="84" t="s">
        <v>2812</v>
      </c>
      <c r="I1629" s="84">
        <v>0</v>
      </c>
      <c r="J1629" s="84" t="s">
        <v>2805</v>
      </c>
    </row>
    <row r="1630" spans="1:10" ht="12.75" customHeight="1">
      <c r="A1630" s="83"/>
      <c r="B1630" s="83" t="s">
        <v>2810</v>
      </c>
      <c r="C1630" s="84" t="s">
        <v>2805</v>
      </c>
      <c r="D1630" s="84">
        <v>7</v>
      </c>
      <c r="E1630" s="84">
        <v>0</v>
      </c>
      <c r="F1630" s="84" t="s">
        <v>2812</v>
      </c>
      <c r="G1630" s="84">
        <v>1</v>
      </c>
      <c r="H1630" s="84" t="s">
        <v>2812</v>
      </c>
      <c r="I1630" s="84">
        <v>0</v>
      </c>
      <c r="J1630" s="84" t="s">
        <v>2805</v>
      </c>
    </row>
    <row r="1631" spans="1:10" ht="12.75" customHeight="1">
      <c r="A1631" s="83"/>
      <c r="B1631" s="83" t="s">
        <v>2811</v>
      </c>
      <c r="C1631" s="84" t="s">
        <v>2805</v>
      </c>
      <c r="D1631" s="84">
        <v>12</v>
      </c>
      <c r="E1631" s="84">
        <v>0</v>
      </c>
      <c r="F1631" s="84">
        <v>0</v>
      </c>
      <c r="G1631" s="84" t="s">
        <v>2812</v>
      </c>
      <c r="H1631" s="84">
        <v>0</v>
      </c>
      <c r="I1631" s="84">
        <v>0</v>
      </c>
      <c r="J1631" s="84" t="s">
        <v>2805</v>
      </c>
    </row>
    <row r="1632" spans="1:10" ht="12.75" customHeight="1">
      <c r="A1632" s="83"/>
      <c r="B1632" s="83" t="s">
        <v>2813</v>
      </c>
      <c r="C1632" s="84" t="s">
        <v>2805</v>
      </c>
      <c r="D1632" s="84">
        <v>14</v>
      </c>
      <c r="E1632" s="84">
        <v>0</v>
      </c>
      <c r="F1632" s="84" t="s">
        <v>2812</v>
      </c>
      <c r="G1632" s="84" t="s">
        <v>2826</v>
      </c>
      <c r="H1632" s="84" t="s">
        <v>2812</v>
      </c>
      <c r="I1632" s="84">
        <v>0</v>
      </c>
      <c r="J1632" s="84" t="s">
        <v>2805</v>
      </c>
    </row>
    <row r="1633" spans="1:10" ht="12.75" customHeight="1">
      <c r="A1633" s="83"/>
      <c r="B1633" s="83" t="s">
        <v>2814</v>
      </c>
      <c r="C1633" s="84" t="s">
        <v>2805</v>
      </c>
      <c r="D1633" s="84">
        <v>2</v>
      </c>
      <c r="E1633" s="84" t="s">
        <v>2805</v>
      </c>
      <c r="F1633" s="84" t="s">
        <v>2805</v>
      </c>
      <c r="G1633" s="84" t="s">
        <v>2805</v>
      </c>
      <c r="H1633" s="84" t="s">
        <v>2805</v>
      </c>
      <c r="I1633" s="84" t="s">
        <v>2805</v>
      </c>
      <c r="J1633" s="84" t="s">
        <v>2805</v>
      </c>
    </row>
    <row r="1634" spans="1:10" ht="12.75" customHeight="1">
      <c r="A1634" s="83"/>
      <c r="B1634" s="83" t="s">
        <v>2815</v>
      </c>
      <c r="C1634" s="84" t="s">
        <v>2805</v>
      </c>
      <c r="D1634" s="84">
        <v>7</v>
      </c>
      <c r="E1634" s="84">
        <v>0</v>
      </c>
      <c r="F1634" s="84" t="s">
        <v>2812</v>
      </c>
      <c r="G1634" s="84">
        <v>1</v>
      </c>
      <c r="H1634" s="84">
        <v>0</v>
      </c>
      <c r="I1634" s="84">
        <v>0</v>
      </c>
      <c r="J1634" s="84" t="s">
        <v>2805</v>
      </c>
    </row>
    <row r="1635" spans="1:10" ht="12.75" customHeight="1">
      <c r="A1635" s="83"/>
      <c r="B1635" s="81" t="s">
        <v>2816</v>
      </c>
      <c r="C1635" s="84" t="s">
        <v>2805</v>
      </c>
      <c r="D1635" s="84">
        <v>29</v>
      </c>
      <c r="E1635" s="84" t="s">
        <v>2812</v>
      </c>
      <c r="F1635" s="84" t="s">
        <v>2812</v>
      </c>
      <c r="G1635" s="84">
        <v>17</v>
      </c>
      <c r="H1635" s="84" t="s">
        <v>2812</v>
      </c>
      <c r="I1635" s="84">
        <v>0</v>
      </c>
      <c r="J1635" s="84" t="s">
        <v>2805</v>
      </c>
    </row>
    <row r="1636" spans="1:10" ht="12.75" customHeight="1">
      <c r="A1636" s="83"/>
      <c r="B1636" s="83" t="s">
        <v>2817</v>
      </c>
      <c r="C1636" s="84" t="s">
        <v>2805</v>
      </c>
      <c r="D1636" s="84">
        <v>19</v>
      </c>
      <c r="E1636" s="84" t="s">
        <v>2812</v>
      </c>
      <c r="F1636" s="84" t="s">
        <v>2812</v>
      </c>
      <c r="G1636" s="84">
        <v>15</v>
      </c>
      <c r="H1636" s="84" t="s">
        <v>2812</v>
      </c>
      <c r="I1636" s="84">
        <v>0</v>
      </c>
      <c r="J1636" s="84" t="s">
        <v>2805</v>
      </c>
    </row>
    <row r="1637" spans="1:10" ht="12.75" customHeight="1">
      <c r="A1637" s="83"/>
      <c r="B1637" s="83" t="s">
        <v>2818</v>
      </c>
      <c r="C1637" s="84" t="s">
        <v>2805</v>
      </c>
      <c r="D1637" s="84">
        <v>6</v>
      </c>
      <c r="E1637" s="84" t="s">
        <v>2805</v>
      </c>
      <c r="F1637" s="84" t="s">
        <v>2805</v>
      </c>
      <c r="G1637" s="84" t="s">
        <v>2805</v>
      </c>
      <c r="H1637" s="84" t="s">
        <v>2805</v>
      </c>
      <c r="I1637" s="84" t="s">
        <v>2805</v>
      </c>
      <c r="J1637" s="84" t="s">
        <v>2805</v>
      </c>
    </row>
    <row r="1638" spans="1:10" ht="12.75" customHeight="1">
      <c r="A1638" s="83"/>
      <c r="B1638" s="83" t="s">
        <v>2819</v>
      </c>
      <c r="C1638" s="84" t="s">
        <v>2805</v>
      </c>
      <c r="D1638" s="84">
        <v>3</v>
      </c>
      <c r="E1638" s="84">
        <v>0</v>
      </c>
      <c r="F1638" s="84" t="s">
        <v>2812</v>
      </c>
      <c r="G1638" s="84">
        <v>1</v>
      </c>
      <c r="H1638" s="84" t="s">
        <v>2812</v>
      </c>
      <c r="I1638" s="84">
        <v>0</v>
      </c>
      <c r="J1638" s="84" t="s">
        <v>2805</v>
      </c>
    </row>
    <row r="1639" spans="1:10" ht="12.75" customHeight="1">
      <c r="A1639" s="83"/>
      <c r="B1639" s="83" t="s">
        <v>2820</v>
      </c>
      <c r="C1639" s="84" t="s">
        <v>2805</v>
      </c>
      <c r="D1639" s="84" t="s">
        <v>2812</v>
      </c>
      <c r="E1639" s="84" t="s">
        <v>2805</v>
      </c>
      <c r="F1639" s="84" t="s">
        <v>2812</v>
      </c>
      <c r="G1639" s="84" t="s">
        <v>2812</v>
      </c>
      <c r="H1639" s="84" t="s">
        <v>2812</v>
      </c>
      <c r="I1639" s="84" t="s">
        <v>2805</v>
      </c>
      <c r="J1639" s="84" t="s">
        <v>2805</v>
      </c>
    </row>
    <row r="1640" spans="1:10" ht="12.75" customHeight="1">
      <c r="A1640" s="83"/>
      <c r="B1640" s="83" t="s">
        <v>2821</v>
      </c>
      <c r="C1640" s="84" t="s">
        <v>2805</v>
      </c>
      <c r="D1640" s="84" t="s">
        <v>2805</v>
      </c>
      <c r="E1640" s="84">
        <v>0</v>
      </c>
      <c r="F1640" s="84" t="s">
        <v>2812</v>
      </c>
      <c r="G1640" s="84" t="s">
        <v>2812</v>
      </c>
      <c r="H1640" s="84">
        <v>0</v>
      </c>
      <c r="I1640" s="84">
        <v>0</v>
      </c>
      <c r="J1640" s="84" t="s">
        <v>2805</v>
      </c>
    </row>
    <row r="1641" spans="1:10" ht="12.75" customHeight="1">
      <c r="A1641" s="83"/>
      <c r="B1641" s="83" t="s">
        <v>2822</v>
      </c>
      <c r="C1641" s="84" t="s">
        <v>2805</v>
      </c>
      <c r="D1641" s="84">
        <v>1</v>
      </c>
      <c r="E1641" s="84">
        <v>0</v>
      </c>
      <c r="F1641" s="84" t="s">
        <v>2812</v>
      </c>
      <c r="G1641" s="84">
        <v>1</v>
      </c>
      <c r="H1641" s="84" t="s">
        <v>2812</v>
      </c>
      <c r="I1641" s="84">
        <v>0</v>
      </c>
      <c r="J1641" s="84" t="s">
        <v>2805</v>
      </c>
    </row>
    <row r="1642" spans="1:10" ht="12.75" customHeight="1">
      <c r="A1642" s="83"/>
      <c r="B1642" s="81" t="s">
        <v>2823</v>
      </c>
      <c r="C1642" s="84">
        <v>4</v>
      </c>
      <c r="D1642" s="84">
        <v>3</v>
      </c>
      <c r="E1642" s="84">
        <v>0</v>
      </c>
      <c r="F1642" s="84">
        <v>0</v>
      </c>
      <c r="G1642" s="84" t="s">
        <v>2812</v>
      </c>
      <c r="H1642" s="84" t="s">
        <v>2812</v>
      </c>
      <c r="I1642" s="84">
        <v>0</v>
      </c>
      <c r="J1642" s="84" t="s">
        <v>2812</v>
      </c>
    </row>
    <row r="1643" spans="1:10" ht="12.75" customHeight="1">
      <c r="A1643" s="83"/>
      <c r="B1643" s="83"/>
      <c r="C1643" s="84"/>
      <c r="D1643" s="84"/>
      <c r="E1643" s="84"/>
      <c r="F1643" s="84"/>
      <c r="G1643" s="84"/>
      <c r="H1643" s="84"/>
      <c r="I1643" s="84"/>
      <c r="J1643" s="84"/>
    </row>
    <row r="1644" spans="1:10" s="71" customFormat="1" ht="12.75" customHeight="1">
      <c r="A1644" s="81" t="s">
        <v>2971</v>
      </c>
      <c r="B1644" s="81" t="s">
        <v>2972</v>
      </c>
      <c r="C1644" s="86"/>
      <c r="D1644" s="86"/>
      <c r="E1644" s="86"/>
      <c r="F1644" s="86"/>
      <c r="G1644" s="86"/>
      <c r="H1644" s="86"/>
      <c r="I1644" s="86"/>
      <c r="J1644" s="86"/>
    </row>
    <row r="1645" spans="1:10" ht="12.75" customHeight="1">
      <c r="A1645" s="89"/>
      <c r="B1645" s="90"/>
      <c r="C1645" s="84"/>
      <c r="D1645" s="84"/>
      <c r="E1645" s="84"/>
      <c r="F1645" s="84"/>
      <c r="G1645" s="84"/>
      <c r="H1645" s="84"/>
      <c r="I1645" s="84"/>
      <c r="J1645" s="84"/>
    </row>
    <row r="1646" spans="1:10" ht="12.75" customHeight="1">
      <c r="A1646" s="83"/>
      <c r="B1646" s="83"/>
      <c r="C1646" s="84"/>
      <c r="D1646" s="84"/>
      <c r="E1646" s="84"/>
      <c r="F1646" s="84"/>
      <c r="G1646" s="84"/>
      <c r="H1646" s="84"/>
      <c r="I1646" s="84"/>
      <c r="J1646" s="84"/>
    </row>
    <row r="1647" spans="1:10" ht="12.75" customHeight="1">
      <c r="A1647" s="83"/>
      <c r="B1647" s="81" t="s">
        <v>2803</v>
      </c>
      <c r="C1647" s="84">
        <v>53</v>
      </c>
      <c r="D1647" s="84">
        <v>40</v>
      </c>
      <c r="E1647" s="84" t="s">
        <v>2812</v>
      </c>
      <c r="F1647" s="84" t="s">
        <v>2812</v>
      </c>
      <c r="G1647" s="84">
        <v>14</v>
      </c>
      <c r="H1647" s="84" t="s">
        <v>2812</v>
      </c>
      <c r="I1647" s="84">
        <v>0</v>
      </c>
      <c r="J1647" s="84" t="s">
        <v>2812</v>
      </c>
    </row>
    <row r="1648" spans="1:10" ht="12.75" customHeight="1">
      <c r="A1648" s="83"/>
      <c r="B1648" s="81" t="s">
        <v>2804</v>
      </c>
      <c r="C1648" s="84" t="s">
        <v>2805</v>
      </c>
      <c r="D1648" s="84" t="s">
        <v>2812</v>
      </c>
      <c r="E1648" s="84" t="s">
        <v>2812</v>
      </c>
      <c r="F1648" s="84" t="s">
        <v>2812</v>
      </c>
      <c r="G1648" s="84">
        <v>7</v>
      </c>
      <c r="H1648" s="84" t="s">
        <v>2812</v>
      </c>
      <c r="I1648" s="84">
        <v>0</v>
      </c>
      <c r="J1648" s="84" t="s">
        <v>2805</v>
      </c>
    </row>
    <row r="1649" spans="1:10" ht="12.75" customHeight="1">
      <c r="A1649" s="83"/>
      <c r="B1649" s="83" t="s">
        <v>2806</v>
      </c>
      <c r="C1649" s="84" t="s">
        <v>2805</v>
      </c>
      <c r="D1649" s="84" t="s">
        <v>2812</v>
      </c>
      <c r="E1649" s="84">
        <v>0</v>
      </c>
      <c r="F1649" s="84" t="s">
        <v>2812</v>
      </c>
      <c r="G1649" s="84">
        <v>5</v>
      </c>
      <c r="H1649" s="84" t="s">
        <v>2812</v>
      </c>
      <c r="I1649" s="84">
        <v>0</v>
      </c>
      <c r="J1649" s="84" t="s">
        <v>2805</v>
      </c>
    </row>
    <row r="1650" spans="1:10" ht="12.75" customHeight="1">
      <c r="A1650" s="83"/>
      <c r="B1650" s="83" t="s">
        <v>2807</v>
      </c>
      <c r="C1650" s="84" t="s">
        <v>2805</v>
      </c>
      <c r="D1650" s="84">
        <v>0</v>
      </c>
      <c r="E1650" s="84" t="s">
        <v>2812</v>
      </c>
      <c r="F1650" s="84" t="s">
        <v>2812</v>
      </c>
      <c r="G1650" s="84">
        <v>2</v>
      </c>
      <c r="H1650" s="84">
        <v>0</v>
      </c>
      <c r="I1650" s="84">
        <v>0</v>
      </c>
      <c r="J1650" s="84" t="s">
        <v>2805</v>
      </c>
    </row>
    <row r="1651" spans="1:10" ht="12.75" customHeight="1">
      <c r="A1651" s="83"/>
      <c r="B1651" s="81" t="s">
        <v>2808</v>
      </c>
      <c r="C1651" s="84" t="s">
        <v>2805</v>
      </c>
      <c r="D1651" s="84">
        <v>25</v>
      </c>
      <c r="E1651" s="84">
        <v>0</v>
      </c>
      <c r="F1651" s="84" t="s">
        <v>2812</v>
      </c>
      <c r="G1651" s="84">
        <v>2</v>
      </c>
      <c r="H1651" s="84" t="s">
        <v>2812</v>
      </c>
      <c r="I1651" s="84">
        <v>0</v>
      </c>
      <c r="J1651" s="84" t="s">
        <v>2805</v>
      </c>
    </row>
    <row r="1652" spans="1:10" ht="12.75" customHeight="1">
      <c r="A1652" s="83"/>
      <c r="B1652" s="83" t="s">
        <v>2810</v>
      </c>
      <c r="C1652" s="84" t="s">
        <v>2805</v>
      </c>
      <c r="D1652" s="84">
        <v>5</v>
      </c>
      <c r="E1652" s="84">
        <v>0</v>
      </c>
      <c r="F1652" s="84">
        <v>0</v>
      </c>
      <c r="G1652" s="84">
        <v>1</v>
      </c>
      <c r="H1652" s="84" t="s">
        <v>2812</v>
      </c>
      <c r="I1652" s="84">
        <v>0</v>
      </c>
      <c r="J1652" s="84" t="s">
        <v>2805</v>
      </c>
    </row>
    <row r="1653" spans="1:10" ht="12.75" customHeight="1">
      <c r="A1653" s="83"/>
      <c r="B1653" s="83" t="s">
        <v>2811</v>
      </c>
      <c r="C1653" s="84" t="s">
        <v>2805</v>
      </c>
      <c r="D1653" s="84">
        <v>6</v>
      </c>
      <c r="E1653" s="84">
        <v>0</v>
      </c>
      <c r="F1653" s="84">
        <v>0</v>
      </c>
      <c r="G1653" s="84">
        <v>0</v>
      </c>
      <c r="H1653" s="84">
        <v>0</v>
      </c>
      <c r="I1653" s="84">
        <v>0</v>
      </c>
      <c r="J1653" s="84" t="s">
        <v>2805</v>
      </c>
    </row>
    <row r="1654" spans="1:10" ht="12.75" customHeight="1">
      <c r="A1654" s="83"/>
      <c r="B1654" s="83" t="s">
        <v>2813</v>
      </c>
      <c r="C1654" s="84" t="s">
        <v>2805</v>
      </c>
      <c r="D1654" s="84">
        <v>8</v>
      </c>
      <c r="E1654" s="84">
        <v>0</v>
      </c>
      <c r="F1654" s="84" t="s">
        <v>2812</v>
      </c>
      <c r="G1654" s="84">
        <v>0</v>
      </c>
      <c r="H1654" s="84">
        <v>0</v>
      </c>
      <c r="I1654" s="84">
        <v>0</v>
      </c>
      <c r="J1654" s="84" t="s">
        <v>2805</v>
      </c>
    </row>
    <row r="1655" spans="1:10" ht="12.75" customHeight="1">
      <c r="A1655" s="83"/>
      <c r="B1655" s="83" t="s">
        <v>2814</v>
      </c>
      <c r="C1655" s="84" t="s">
        <v>2805</v>
      </c>
      <c r="D1655" s="84">
        <v>1</v>
      </c>
      <c r="E1655" s="84" t="s">
        <v>2805</v>
      </c>
      <c r="F1655" s="84" t="s">
        <v>2805</v>
      </c>
      <c r="G1655" s="84" t="s">
        <v>2805</v>
      </c>
      <c r="H1655" s="84" t="s">
        <v>2805</v>
      </c>
      <c r="I1655" s="84" t="s">
        <v>2805</v>
      </c>
      <c r="J1655" s="84" t="s">
        <v>2805</v>
      </c>
    </row>
    <row r="1656" spans="1:10" ht="12.75" customHeight="1">
      <c r="A1656" s="83"/>
      <c r="B1656" s="83" t="s">
        <v>2815</v>
      </c>
      <c r="C1656" s="84" t="s">
        <v>2805</v>
      </c>
      <c r="D1656" s="84">
        <v>6</v>
      </c>
      <c r="E1656" s="84">
        <v>0</v>
      </c>
      <c r="F1656" s="84" t="s">
        <v>2812</v>
      </c>
      <c r="G1656" s="84">
        <v>1</v>
      </c>
      <c r="H1656" s="84">
        <v>0</v>
      </c>
      <c r="I1656" s="84">
        <v>0</v>
      </c>
      <c r="J1656" s="84" t="s">
        <v>2805</v>
      </c>
    </row>
    <row r="1657" spans="1:10" ht="12.75" customHeight="1">
      <c r="A1657" s="83"/>
      <c r="B1657" s="81" t="s">
        <v>2816</v>
      </c>
      <c r="C1657" s="84" t="s">
        <v>2805</v>
      </c>
      <c r="D1657" s="84">
        <v>13</v>
      </c>
      <c r="E1657" s="84">
        <v>0</v>
      </c>
      <c r="F1657" s="84" t="s">
        <v>2812</v>
      </c>
      <c r="G1657" s="84">
        <v>5</v>
      </c>
      <c r="H1657" s="84" t="s">
        <v>2812</v>
      </c>
      <c r="I1657" s="84">
        <v>0</v>
      </c>
      <c r="J1657" s="84" t="s">
        <v>2805</v>
      </c>
    </row>
    <row r="1658" spans="1:10" ht="12.75" customHeight="1">
      <c r="A1658" s="83"/>
      <c r="B1658" s="83" t="s">
        <v>2817</v>
      </c>
      <c r="C1658" s="84" t="s">
        <v>2805</v>
      </c>
      <c r="D1658" s="84">
        <v>9</v>
      </c>
      <c r="E1658" s="84">
        <v>0</v>
      </c>
      <c r="F1658" s="84" t="s">
        <v>2812</v>
      </c>
      <c r="G1658" s="84">
        <v>4</v>
      </c>
      <c r="H1658" s="84" t="s">
        <v>2812</v>
      </c>
      <c r="I1658" s="84">
        <v>0</v>
      </c>
      <c r="J1658" s="84" t="s">
        <v>2805</v>
      </c>
    </row>
    <row r="1659" spans="1:10" ht="12.75" customHeight="1">
      <c r="A1659" s="83"/>
      <c r="B1659" s="83" t="s">
        <v>2818</v>
      </c>
      <c r="C1659" s="84" t="s">
        <v>2805</v>
      </c>
      <c r="D1659" s="84">
        <v>2</v>
      </c>
      <c r="E1659" s="84" t="s">
        <v>2805</v>
      </c>
      <c r="F1659" s="84" t="s">
        <v>2805</v>
      </c>
      <c r="G1659" s="84" t="s">
        <v>2805</v>
      </c>
      <c r="H1659" s="84" t="s">
        <v>2805</v>
      </c>
      <c r="I1659" s="84" t="s">
        <v>2805</v>
      </c>
      <c r="J1659" s="84" t="s">
        <v>2805</v>
      </c>
    </row>
    <row r="1660" spans="1:10" ht="12.75" customHeight="1">
      <c r="A1660" s="83"/>
      <c r="B1660" s="83" t="s">
        <v>2819</v>
      </c>
      <c r="C1660" s="84" t="s">
        <v>2805</v>
      </c>
      <c r="D1660" s="84">
        <v>1</v>
      </c>
      <c r="E1660" s="84">
        <v>0</v>
      </c>
      <c r="F1660" s="84" t="s">
        <v>2812</v>
      </c>
      <c r="G1660" s="84" t="s">
        <v>2812</v>
      </c>
      <c r="H1660" s="84" t="s">
        <v>2812</v>
      </c>
      <c r="I1660" s="84">
        <v>0</v>
      </c>
      <c r="J1660" s="84" t="s">
        <v>2805</v>
      </c>
    </row>
    <row r="1661" spans="1:10" ht="12.75" customHeight="1">
      <c r="A1661" s="83"/>
      <c r="B1661" s="83" t="s">
        <v>2820</v>
      </c>
      <c r="C1661" s="84" t="s">
        <v>2805</v>
      </c>
      <c r="D1661" s="84" t="s">
        <v>2812</v>
      </c>
      <c r="E1661" s="84" t="s">
        <v>2805</v>
      </c>
      <c r="F1661" s="84" t="s">
        <v>2812</v>
      </c>
      <c r="G1661" s="84">
        <v>0</v>
      </c>
      <c r="H1661" s="84" t="s">
        <v>2812</v>
      </c>
      <c r="I1661" s="84" t="s">
        <v>2805</v>
      </c>
      <c r="J1661" s="84" t="s">
        <v>2805</v>
      </c>
    </row>
    <row r="1662" spans="1:10" ht="12.75" customHeight="1">
      <c r="A1662" s="83"/>
      <c r="B1662" s="83" t="s">
        <v>2821</v>
      </c>
      <c r="C1662" s="84" t="s">
        <v>2805</v>
      </c>
      <c r="D1662" s="84" t="s">
        <v>2805</v>
      </c>
      <c r="E1662" s="84">
        <v>0</v>
      </c>
      <c r="F1662" s="84" t="s">
        <v>2812</v>
      </c>
      <c r="G1662" s="84">
        <v>0</v>
      </c>
      <c r="H1662" s="84">
        <v>0</v>
      </c>
      <c r="I1662" s="84">
        <v>0</v>
      </c>
      <c r="J1662" s="84" t="s">
        <v>2805</v>
      </c>
    </row>
    <row r="1663" spans="1:10" ht="12.75" customHeight="1">
      <c r="A1663" s="83"/>
      <c r="B1663" s="83" t="s">
        <v>2822</v>
      </c>
      <c r="C1663" s="84" t="s">
        <v>2805</v>
      </c>
      <c r="D1663" s="84">
        <v>1</v>
      </c>
      <c r="E1663" s="84">
        <v>0</v>
      </c>
      <c r="F1663" s="84" t="s">
        <v>2812</v>
      </c>
      <c r="G1663" s="84">
        <v>1</v>
      </c>
      <c r="H1663" s="84" t="s">
        <v>2812</v>
      </c>
      <c r="I1663" s="84">
        <v>0</v>
      </c>
      <c r="J1663" s="84" t="s">
        <v>2805</v>
      </c>
    </row>
    <row r="1664" spans="1:10" ht="12.75" customHeight="1">
      <c r="A1664" s="83"/>
      <c r="B1664" s="81" t="s">
        <v>2823</v>
      </c>
      <c r="C1664" s="84">
        <v>1</v>
      </c>
      <c r="D1664" s="84">
        <v>1</v>
      </c>
      <c r="E1664" s="84">
        <v>0</v>
      </c>
      <c r="F1664" s="84">
        <v>0</v>
      </c>
      <c r="G1664" s="84" t="s">
        <v>2812</v>
      </c>
      <c r="H1664" s="84" t="s">
        <v>2812</v>
      </c>
      <c r="I1664" s="84">
        <v>0</v>
      </c>
      <c r="J1664" s="84" t="s">
        <v>2812</v>
      </c>
    </row>
    <row r="1665" spans="1:10" ht="12.75" customHeight="1">
      <c r="A1665" s="83"/>
      <c r="B1665" s="83"/>
      <c r="C1665" s="84"/>
      <c r="D1665" s="84"/>
      <c r="E1665" s="84"/>
      <c r="F1665" s="84"/>
      <c r="G1665" s="84"/>
      <c r="H1665" s="84"/>
      <c r="I1665" s="84"/>
      <c r="J1665" s="84"/>
    </row>
    <row r="1666" spans="1:10" s="71" customFormat="1" ht="12.75" customHeight="1">
      <c r="A1666" s="81" t="s">
        <v>2973</v>
      </c>
      <c r="B1666" s="81" t="s">
        <v>2974</v>
      </c>
      <c r="C1666" s="86"/>
      <c r="D1666" s="86"/>
      <c r="E1666" s="86"/>
      <c r="F1666" s="86"/>
      <c r="G1666" s="86"/>
      <c r="H1666" s="86"/>
      <c r="I1666" s="86"/>
      <c r="J1666" s="86"/>
    </row>
    <row r="1667" spans="1:10" ht="12.75" customHeight="1">
      <c r="A1667" s="83"/>
      <c r="B1667" s="83"/>
      <c r="C1667" s="84"/>
      <c r="D1667" s="84"/>
      <c r="E1667" s="84"/>
      <c r="F1667" s="84"/>
      <c r="G1667" s="84"/>
      <c r="H1667" s="84"/>
      <c r="I1667" s="84"/>
      <c r="J1667" s="84"/>
    </row>
    <row r="1668" spans="1:10" ht="12.75" customHeight="1">
      <c r="A1668" s="83"/>
      <c r="B1668" s="83"/>
      <c r="C1668" s="84"/>
      <c r="D1668" s="84"/>
      <c r="E1668" s="84"/>
      <c r="F1668" s="84"/>
      <c r="G1668" s="84"/>
      <c r="H1668" s="84"/>
      <c r="I1668" s="84"/>
      <c r="J1668" s="84"/>
    </row>
    <row r="1669" spans="1:10" ht="12.75" customHeight="1">
      <c r="A1669" s="83"/>
      <c r="B1669" s="81" t="s">
        <v>2803</v>
      </c>
      <c r="C1669" s="84">
        <v>77</v>
      </c>
      <c r="D1669" s="84">
        <v>38</v>
      </c>
      <c r="E1669" s="84" t="s">
        <v>2812</v>
      </c>
      <c r="F1669" s="84" t="s">
        <v>2812</v>
      </c>
      <c r="G1669" s="84">
        <v>37</v>
      </c>
      <c r="H1669" s="84">
        <v>1</v>
      </c>
      <c r="I1669" s="84">
        <v>0</v>
      </c>
      <c r="J1669" s="84" t="s">
        <v>2826</v>
      </c>
    </row>
    <row r="1670" spans="1:10" ht="12.75" customHeight="1">
      <c r="A1670" s="83"/>
      <c r="B1670" s="81" t="s">
        <v>2804</v>
      </c>
      <c r="C1670" s="84" t="s">
        <v>2805</v>
      </c>
      <c r="D1670" s="84" t="s">
        <v>2826</v>
      </c>
      <c r="E1670" s="84">
        <v>0</v>
      </c>
      <c r="F1670" s="84" t="s">
        <v>2812</v>
      </c>
      <c r="G1670" s="84">
        <v>6</v>
      </c>
      <c r="H1670" s="84" t="s">
        <v>2812</v>
      </c>
      <c r="I1670" s="84">
        <v>0</v>
      </c>
      <c r="J1670" s="84" t="s">
        <v>2805</v>
      </c>
    </row>
    <row r="1671" spans="1:10" ht="12.75" customHeight="1">
      <c r="A1671" s="83"/>
      <c r="B1671" s="83" t="s">
        <v>2806</v>
      </c>
      <c r="C1671" s="84" t="s">
        <v>2805</v>
      </c>
      <c r="D1671" s="84" t="s">
        <v>2826</v>
      </c>
      <c r="E1671" s="84">
        <v>0</v>
      </c>
      <c r="F1671" s="84" t="s">
        <v>2812</v>
      </c>
      <c r="G1671" s="84">
        <v>2</v>
      </c>
      <c r="H1671" s="84">
        <v>0</v>
      </c>
      <c r="I1671" s="84">
        <v>0</v>
      </c>
      <c r="J1671" s="84" t="s">
        <v>2805</v>
      </c>
    </row>
    <row r="1672" spans="1:10" ht="12.75" customHeight="1">
      <c r="A1672" s="83"/>
      <c r="B1672" s="83" t="s">
        <v>2807</v>
      </c>
      <c r="C1672" s="84" t="s">
        <v>2805</v>
      </c>
      <c r="D1672" s="84">
        <v>0</v>
      </c>
      <c r="E1672" s="84">
        <v>0</v>
      </c>
      <c r="F1672" s="84">
        <v>0</v>
      </c>
      <c r="G1672" s="84" t="s">
        <v>2826</v>
      </c>
      <c r="H1672" s="84" t="s">
        <v>2812</v>
      </c>
      <c r="I1672" s="84">
        <v>0</v>
      </c>
      <c r="J1672" s="84" t="s">
        <v>2805</v>
      </c>
    </row>
    <row r="1673" spans="1:10" ht="12.75" customHeight="1">
      <c r="A1673" s="83"/>
      <c r="B1673" s="81" t="s">
        <v>2808</v>
      </c>
      <c r="C1673" s="84" t="s">
        <v>2805</v>
      </c>
      <c r="D1673" s="84">
        <v>24</v>
      </c>
      <c r="E1673" s="84">
        <v>0</v>
      </c>
      <c r="F1673" s="84" t="s">
        <v>2812</v>
      </c>
      <c r="G1673" s="84">
        <v>19</v>
      </c>
      <c r="H1673" s="84" t="s">
        <v>2812</v>
      </c>
      <c r="I1673" s="84">
        <v>0</v>
      </c>
      <c r="J1673" s="84" t="s">
        <v>2805</v>
      </c>
    </row>
    <row r="1674" spans="1:10" ht="12.75" customHeight="1">
      <c r="A1674" s="83"/>
      <c r="B1674" s="83" t="s">
        <v>2810</v>
      </c>
      <c r="C1674" s="84" t="s">
        <v>2805</v>
      </c>
      <c r="D1674" s="84">
        <v>8</v>
      </c>
      <c r="E1674" s="84">
        <v>0</v>
      </c>
      <c r="F1674" s="84">
        <v>0</v>
      </c>
      <c r="G1674" s="84">
        <v>18</v>
      </c>
      <c r="H1674" s="84" t="s">
        <v>2812</v>
      </c>
      <c r="I1674" s="84">
        <v>0</v>
      </c>
      <c r="J1674" s="84" t="s">
        <v>2805</v>
      </c>
    </row>
    <row r="1675" spans="1:10" ht="12.75" customHeight="1">
      <c r="A1675" s="83"/>
      <c r="B1675" s="83" t="s">
        <v>2811</v>
      </c>
      <c r="C1675" s="84" t="s">
        <v>2805</v>
      </c>
      <c r="D1675" s="84">
        <v>2</v>
      </c>
      <c r="E1675" s="84">
        <v>0</v>
      </c>
      <c r="F1675" s="84">
        <v>0</v>
      </c>
      <c r="G1675" s="84" t="s">
        <v>2812</v>
      </c>
      <c r="H1675" s="84">
        <v>0</v>
      </c>
      <c r="I1675" s="84">
        <v>0</v>
      </c>
      <c r="J1675" s="84" t="s">
        <v>2805</v>
      </c>
    </row>
    <row r="1676" spans="1:10" ht="12.75" customHeight="1">
      <c r="A1676" s="83"/>
      <c r="B1676" s="83" t="s">
        <v>2813</v>
      </c>
      <c r="C1676" s="84" t="s">
        <v>2805</v>
      </c>
      <c r="D1676" s="84">
        <v>13</v>
      </c>
      <c r="E1676" s="84">
        <v>0</v>
      </c>
      <c r="F1676" s="84" t="s">
        <v>2812</v>
      </c>
      <c r="G1676" s="84" t="s">
        <v>2812</v>
      </c>
      <c r="H1676" s="84">
        <v>0</v>
      </c>
      <c r="I1676" s="84">
        <v>0</v>
      </c>
      <c r="J1676" s="84" t="s">
        <v>2805</v>
      </c>
    </row>
    <row r="1677" spans="1:10" ht="12.75" customHeight="1">
      <c r="A1677" s="83"/>
      <c r="B1677" s="83" t="s">
        <v>2814</v>
      </c>
      <c r="C1677" s="84" t="s">
        <v>2805</v>
      </c>
      <c r="D1677" s="84" t="s">
        <v>2812</v>
      </c>
      <c r="E1677" s="84" t="s">
        <v>2805</v>
      </c>
      <c r="F1677" s="84" t="s">
        <v>2805</v>
      </c>
      <c r="G1677" s="84" t="s">
        <v>2805</v>
      </c>
      <c r="H1677" s="84" t="s">
        <v>2805</v>
      </c>
      <c r="I1677" s="84" t="s">
        <v>2805</v>
      </c>
      <c r="J1677" s="84" t="s">
        <v>2805</v>
      </c>
    </row>
    <row r="1678" spans="1:10" ht="12.75" customHeight="1">
      <c r="A1678" s="83"/>
      <c r="B1678" s="83" t="s">
        <v>2815</v>
      </c>
      <c r="C1678" s="84" t="s">
        <v>2805</v>
      </c>
      <c r="D1678" s="84">
        <v>2</v>
      </c>
      <c r="E1678" s="84">
        <v>0</v>
      </c>
      <c r="F1678" s="84" t="s">
        <v>2812</v>
      </c>
      <c r="G1678" s="84" t="s">
        <v>2826</v>
      </c>
      <c r="H1678" s="84" t="s">
        <v>2812</v>
      </c>
      <c r="I1678" s="84">
        <v>0</v>
      </c>
      <c r="J1678" s="84" t="s">
        <v>2805</v>
      </c>
    </row>
    <row r="1679" spans="1:10" ht="12.75" customHeight="1">
      <c r="A1679" s="83"/>
      <c r="B1679" s="81" t="s">
        <v>2816</v>
      </c>
      <c r="C1679" s="84" t="s">
        <v>2805</v>
      </c>
      <c r="D1679" s="84">
        <v>12</v>
      </c>
      <c r="E1679" s="84" t="s">
        <v>2812</v>
      </c>
      <c r="F1679" s="84" t="s">
        <v>2812</v>
      </c>
      <c r="G1679" s="84">
        <v>10</v>
      </c>
      <c r="H1679" s="84">
        <v>1</v>
      </c>
      <c r="I1679" s="84">
        <v>0</v>
      </c>
      <c r="J1679" s="84" t="s">
        <v>2805</v>
      </c>
    </row>
    <row r="1680" spans="1:10" ht="12.75" customHeight="1">
      <c r="A1680" s="83"/>
      <c r="B1680" s="83" t="s">
        <v>2817</v>
      </c>
      <c r="C1680" s="84" t="s">
        <v>2805</v>
      </c>
      <c r="D1680" s="84">
        <v>7</v>
      </c>
      <c r="E1680" s="84">
        <v>0</v>
      </c>
      <c r="F1680" s="84">
        <v>0</v>
      </c>
      <c r="G1680" s="84">
        <v>9</v>
      </c>
      <c r="H1680" s="84" t="s">
        <v>2812</v>
      </c>
      <c r="I1680" s="84">
        <v>0</v>
      </c>
      <c r="J1680" s="84" t="s">
        <v>2805</v>
      </c>
    </row>
    <row r="1681" spans="1:10" ht="12.75" customHeight="1">
      <c r="A1681" s="83"/>
      <c r="B1681" s="83" t="s">
        <v>2818</v>
      </c>
      <c r="C1681" s="84" t="s">
        <v>2805</v>
      </c>
      <c r="D1681" s="84">
        <v>3</v>
      </c>
      <c r="E1681" s="84" t="s">
        <v>2805</v>
      </c>
      <c r="F1681" s="84" t="s">
        <v>2805</v>
      </c>
      <c r="G1681" s="84" t="s">
        <v>2805</v>
      </c>
      <c r="H1681" s="84" t="s">
        <v>2805</v>
      </c>
      <c r="I1681" s="84" t="s">
        <v>2805</v>
      </c>
      <c r="J1681" s="84" t="s">
        <v>2805</v>
      </c>
    </row>
    <row r="1682" spans="1:10" ht="12.75" customHeight="1">
      <c r="A1682" s="83"/>
      <c r="B1682" s="83" t="s">
        <v>2819</v>
      </c>
      <c r="C1682" s="84" t="s">
        <v>2805</v>
      </c>
      <c r="D1682" s="84">
        <v>1</v>
      </c>
      <c r="E1682" s="84">
        <v>0</v>
      </c>
      <c r="F1682" s="84">
        <v>0</v>
      </c>
      <c r="G1682" s="84">
        <v>1</v>
      </c>
      <c r="H1682" s="84">
        <v>0</v>
      </c>
      <c r="I1682" s="84">
        <v>0</v>
      </c>
      <c r="J1682" s="84" t="s">
        <v>2805</v>
      </c>
    </row>
    <row r="1683" spans="1:10" ht="12.75" customHeight="1">
      <c r="A1683" s="83"/>
      <c r="B1683" s="83" t="s">
        <v>2820</v>
      </c>
      <c r="C1683" s="84" t="s">
        <v>2805</v>
      </c>
      <c r="D1683" s="84" t="s">
        <v>2812</v>
      </c>
      <c r="E1683" s="84" t="s">
        <v>2805</v>
      </c>
      <c r="F1683" s="84" t="s">
        <v>2812</v>
      </c>
      <c r="G1683" s="84" t="s">
        <v>2812</v>
      </c>
      <c r="H1683" s="84">
        <v>1</v>
      </c>
      <c r="I1683" s="84" t="s">
        <v>2805</v>
      </c>
      <c r="J1683" s="84" t="s">
        <v>2805</v>
      </c>
    </row>
    <row r="1684" spans="1:10" ht="12.75" customHeight="1">
      <c r="A1684" s="83"/>
      <c r="B1684" s="83" t="s">
        <v>2821</v>
      </c>
      <c r="C1684" s="84" t="s">
        <v>2805</v>
      </c>
      <c r="D1684" s="84" t="s">
        <v>2805</v>
      </c>
      <c r="E1684" s="84">
        <v>0</v>
      </c>
      <c r="F1684" s="84" t="s">
        <v>2812</v>
      </c>
      <c r="G1684" s="84" t="s">
        <v>2812</v>
      </c>
      <c r="H1684" s="84">
        <v>0</v>
      </c>
      <c r="I1684" s="84">
        <v>0</v>
      </c>
      <c r="J1684" s="84" t="s">
        <v>2805</v>
      </c>
    </row>
    <row r="1685" spans="1:10" ht="12.75" customHeight="1">
      <c r="A1685" s="83"/>
      <c r="B1685" s="83" t="s">
        <v>2822</v>
      </c>
      <c r="C1685" s="84" t="s">
        <v>2805</v>
      </c>
      <c r="D1685" s="84" t="s">
        <v>2812</v>
      </c>
      <c r="E1685" s="84" t="s">
        <v>2812</v>
      </c>
      <c r="F1685" s="84" t="s">
        <v>2812</v>
      </c>
      <c r="G1685" s="84" t="s">
        <v>2812</v>
      </c>
      <c r="H1685" s="84" t="s">
        <v>2812</v>
      </c>
      <c r="I1685" s="84">
        <v>0</v>
      </c>
      <c r="J1685" s="84" t="s">
        <v>2805</v>
      </c>
    </row>
    <row r="1686" spans="1:10" ht="12.75" customHeight="1">
      <c r="A1686" s="83"/>
      <c r="B1686" s="81" t="s">
        <v>2823</v>
      </c>
      <c r="C1686" s="84">
        <v>3</v>
      </c>
      <c r="D1686" s="84" t="s">
        <v>2826</v>
      </c>
      <c r="E1686" s="84">
        <v>0</v>
      </c>
      <c r="F1686" s="84">
        <v>0</v>
      </c>
      <c r="G1686" s="84" t="s">
        <v>2812</v>
      </c>
      <c r="H1686" s="84" t="s">
        <v>2812</v>
      </c>
      <c r="I1686" s="84">
        <v>0</v>
      </c>
      <c r="J1686" s="84" t="s">
        <v>2826</v>
      </c>
    </row>
    <row r="1687" spans="1:10" ht="12.75" customHeight="1">
      <c r="A1687" s="83"/>
      <c r="B1687" s="83"/>
      <c r="C1687" s="84"/>
      <c r="D1687" s="84"/>
      <c r="E1687" s="84"/>
      <c r="F1687" s="84"/>
      <c r="G1687" s="84"/>
      <c r="H1687" s="84"/>
      <c r="I1687" s="84"/>
      <c r="J1687" s="84"/>
    </row>
    <row r="1688" spans="1:10" s="71" customFormat="1" ht="12.75" customHeight="1">
      <c r="A1688" s="81" t="s">
        <v>2975</v>
      </c>
      <c r="B1688" s="81" t="s">
        <v>2976</v>
      </c>
      <c r="C1688" s="86"/>
      <c r="D1688" s="86"/>
      <c r="E1688" s="86"/>
      <c r="F1688" s="86"/>
      <c r="G1688" s="86"/>
      <c r="H1688" s="86"/>
      <c r="I1688" s="86"/>
      <c r="J1688" s="86"/>
    </row>
    <row r="1689" spans="1:10" ht="12.75" customHeight="1">
      <c r="A1689" s="89"/>
      <c r="B1689" s="90"/>
      <c r="C1689" s="84"/>
      <c r="D1689" s="84"/>
      <c r="E1689" s="84"/>
      <c r="F1689" s="84"/>
      <c r="G1689" s="84"/>
      <c r="H1689" s="84"/>
      <c r="I1689" s="84"/>
      <c r="J1689" s="84"/>
    </row>
    <row r="1690" spans="1:10" ht="12.75" customHeight="1">
      <c r="A1690" s="83"/>
      <c r="B1690" s="83"/>
      <c r="C1690" s="84"/>
      <c r="D1690" s="84"/>
      <c r="E1690" s="84"/>
      <c r="F1690" s="84"/>
      <c r="G1690" s="84"/>
      <c r="H1690" s="84"/>
      <c r="I1690" s="84"/>
      <c r="J1690" s="84"/>
    </row>
    <row r="1691" spans="1:10" ht="12.75" customHeight="1">
      <c r="A1691" s="83"/>
      <c r="B1691" s="81" t="s">
        <v>2803</v>
      </c>
      <c r="C1691" s="84">
        <v>345</v>
      </c>
      <c r="D1691" s="84">
        <v>172</v>
      </c>
      <c r="E1691" s="84">
        <v>2</v>
      </c>
      <c r="F1691" s="84">
        <v>4</v>
      </c>
      <c r="G1691" s="84">
        <v>157</v>
      </c>
      <c r="H1691" s="84">
        <v>3</v>
      </c>
      <c r="I1691" s="84">
        <v>0</v>
      </c>
      <c r="J1691" s="84">
        <v>7</v>
      </c>
    </row>
    <row r="1692" spans="1:10" ht="12.75" customHeight="1">
      <c r="A1692" s="83"/>
      <c r="B1692" s="81" t="s">
        <v>2804</v>
      </c>
      <c r="C1692" s="84" t="s">
        <v>2805</v>
      </c>
      <c r="D1692" s="84">
        <v>1</v>
      </c>
      <c r="E1692" s="84">
        <v>2</v>
      </c>
      <c r="F1692" s="84" t="s">
        <v>2812</v>
      </c>
      <c r="G1692" s="84">
        <v>25</v>
      </c>
      <c r="H1692" s="84" t="s">
        <v>2812</v>
      </c>
      <c r="I1692" s="84">
        <v>0</v>
      </c>
      <c r="J1692" s="84" t="s">
        <v>2805</v>
      </c>
    </row>
    <row r="1693" spans="1:10" ht="12.75" customHeight="1">
      <c r="A1693" s="83"/>
      <c r="B1693" s="83" t="s">
        <v>2806</v>
      </c>
      <c r="C1693" s="84" t="s">
        <v>2805</v>
      </c>
      <c r="D1693" s="84">
        <v>1</v>
      </c>
      <c r="E1693" s="84">
        <v>2</v>
      </c>
      <c r="F1693" s="84" t="s">
        <v>2812</v>
      </c>
      <c r="G1693" s="84">
        <v>14</v>
      </c>
      <c r="H1693" s="84" t="s">
        <v>2812</v>
      </c>
      <c r="I1693" s="84">
        <v>0</v>
      </c>
      <c r="J1693" s="84" t="s">
        <v>2805</v>
      </c>
    </row>
    <row r="1694" spans="1:10" ht="12.75" customHeight="1">
      <c r="A1694" s="83"/>
      <c r="B1694" s="83" t="s">
        <v>2807</v>
      </c>
      <c r="C1694" s="84" t="s">
        <v>2805</v>
      </c>
      <c r="D1694" s="84">
        <v>0</v>
      </c>
      <c r="E1694" s="84" t="s">
        <v>2812</v>
      </c>
      <c r="F1694" s="84" t="s">
        <v>2812</v>
      </c>
      <c r="G1694" s="84">
        <v>12</v>
      </c>
      <c r="H1694" s="84" t="s">
        <v>2812</v>
      </c>
      <c r="I1694" s="84">
        <v>0</v>
      </c>
      <c r="J1694" s="84" t="s">
        <v>2805</v>
      </c>
    </row>
    <row r="1695" spans="1:10" ht="12.75" customHeight="1">
      <c r="A1695" s="83"/>
      <c r="B1695" s="81" t="s">
        <v>2808</v>
      </c>
      <c r="C1695" s="84" t="s">
        <v>2805</v>
      </c>
      <c r="D1695" s="84">
        <v>111</v>
      </c>
      <c r="E1695" s="84" t="s">
        <v>2812</v>
      </c>
      <c r="F1695" s="84">
        <v>2</v>
      </c>
      <c r="G1695" s="84">
        <v>69</v>
      </c>
      <c r="H1695" s="84" t="s">
        <v>2812</v>
      </c>
      <c r="I1695" s="84">
        <v>0</v>
      </c>
      <c r="J1695" s="84" t="s">
        <v>2805</v>
      </c>
    </row>
    <row r="1696" spans="1:10" ht="12.75" customHeight="1">
      <c r="A1696" s="83"/>
      <c r="B1696" s="83" t="s">
        <v>2810</v>
      </c>
      <c r="C1696" s="84" t="s">
        <v>2805</v>
      </c>
      <c r="D1696" s="84">
        <v>16</v>
      </c>
      <c r="E1696" s="84">
        <v>0</v>
      </c>
      <c r="F1696" s="84">
        <v>0</v>
      </c>
      <c r="G1696" s="84">
        <v>63</v>
      </c>
      <c r="H1696" s="84" t="s">
        <v>2812</v>
      </c>
      <c r="I1696" s="84">
        <v>0</v>
      </c>
      <c r="J1696" s="84" t="s">
        <v>2805</v>
      </c>
    </row>
    <row r="1697" spans="1:10" ht="12.75" customHeight="1">
      <c r="A1697" s="83"/>
      <c r="B1697" s="83" t="s">
        <v>2811</v>
      </c>
      <c r="C1697" s="84" t="s">
        <v>2805</v>
      </c>
      <c r="D1697" s="84">
        <v>11</v>
      </c>
      <c r="E1697" s="84">
        <v>0</v>
      </c>
      <c r="F1697" s="84">
        <v>0</v>
      </c>
      <c r="G1697" s="84">
        <v>2</v>
      </c>
      <c r="H1697" s="84" t="s">
        <v>2812</v>
      </c>
      <c r="I1697" s="84">
        <v>0</v>
      </c>
      <c r="J1697" s="84" t="s">
        <v>2805</v>
      </c>
    </row>
    <row r="1698" spans="1:10" ht="12.75" customHeight="1">
      <c r="A1698" s="83"/>
      <c r="B1698" s="83" t="s">
        <v>2813</v>
      </c>
      <c r="C1698" s="84" t="s">
        <v>2805</v>
      </c>
      <c r="D1698" s="84">
        <v>75</v>
      </c>
      <c r="E1698" s="84">
        <v>0</v>
      </c>
      <c r="F1698" s="84">
        <v>2</v>
      </c>
      <c r="G1698" s="84">
        <v>1</v>
      </c>
      <c r="H1698" s="84" t="s">
        <v>2812</v>
      </c>
      <c r="I1698" s="84">
        <v>0</v>
      </c>
      <c r="J1698" s="84" t="s">
        <v>2805</v>
      </c>
    </row>
    <row r="1699" spans="1:10" ht="12.75" customHeight="1">
      <c r="A1699" s="83"/>
      <c r="B1699" s="83" t="s">
        <v>2814</v>
      </c>
      <c r="C1699" s="84" t="s">
        <v>2805</v>
      </c>
      <c r="D1699" s="84">
        <v>1</v>
      </c>
      <c r="E1699" s="84" t="s">
        <v>2805</v>
      </c>
      <c r="F1699" s="84" t="s">
        <v>2805</v>
      </c>
      <c r="G1699" s="84" t="s">
        <v>2805</v>
      </c>
      <c r="H1699" s="84" t="s">
        <v>2805</v>
      </c>
      <c r="I1699" s="84" t="s">
        <v>2805</v>
      </c>
      <c r="J1699" s="84" t="s">
        <v>2805</v>
      </c>
    </row>
    <row r="1700" spans="1:10" ht="12.75" customHeight="1">
      <c r="A1700" s="83"/>
      <c r="B1700" s="83" t="s">
        <v>2815</v>
      </c>
      <c r="C1700" s="84" t="s">
        <v>2805</v>
      </c>
      <c r="D1700" s="84">
        <v>7</v>
      </c>
      <c r="E1700" s="84" t="s">
        <v>2812</v>
      </c>
      <c r="F1700" s="84" t="s">
        <v>2812</v>
      </c>
      <c r="G1700" s="84">
        <v>3</v>
      </c>
      <c r="H1700" s="84" t="s">
        <v>2812</v>
      </c>
      <c r="I1700" s="84">
        <v>0</v>
      </c>
      <c r="J1700" s="84" t="s">
        <v>2805</v>
      </c>
    </row>
    <row r="1701" spans="1:10" ht="12.75" customHeight="1">
      <c r="A1701" s="83"/>
      <c r="B1701" s="81" t="s">
        <v>2816</v>
      </c>
      <c r="C1701" s="84" t="s">
        <v>2805</v>
      </c>
      <c r="D1701" s="84">
        <v>59</v>
      </c>
      <c r="E1701" s="84" t="s">
        <v>2812</v>
      </c>
      <c r="F1701" s="84">
        <v>2</v>
      </c>
      <c r="G1701" s="84">
        <v>62</v>
      </c>
      <c r="H1701" s="84">
        <v>2</v>
      </c>
      <c r="I1701" s="84">
        <v>0</v>
      </c>
      <c r="J1701" s="84" t="s">
        <v>2805</v>
      </c>
    </row>
    <row r="1702" spans="1:10" ht="12.75" customHeight="1">
      <c r="A1702" s="83"/>
      <c r="B1702" s="83" t="s">
        <v>2817</v>
      </c>
      <c r="C1702" s="84" t="s">
        <v>2805</v>
      </c>
      <c r="D1702" s="84">
        <v>31</v>
      </c>
      <c r="E1702" s="84">
        <v>0</v>
      </c>
      <c r="F1702" s="84" t="s">
        <v>2812</v>
      </c>
      <c r="G1702" s="84">
        <v>58</v>
      </c>
      <c r="H1702" s="84" t="s">
        <v>2812</v>
      </c>
      <c r="I1702" s="84">
        <v>0</v>
      </c>
      <c r="J1702" s="84" t="s">
        <v>2805</v>
      </c>
    </row>
    <row r="1703" spans="1:10" ht="12.75" customHeight="1">
      <c r="A1703" s="83"/>
      <c r="B1703" s="83" t="s">
        <v>2818</v>
      </c>
      <c r="C1703" s="84" t="s">
        <v>2805</v>
      </c>
      <c r="D1703" s="84">
        <v>20</v>
      </c>
      <c r="E1703" s="84" t="s">
        <v>2805</v>
      </c>
      <c r="F1703" s="84" t="s">
        <v>2805</v>
      </c>
      <c r="G1703" s="84" t="s">
        <v>2805</v>
      </c>
      <c r="H1703" s="84" t="s">
        <v>2805</v>
      </c>
      <c r="I1703" s="84" t="s">
        <v>2805</v>
      </c>
      <c r="J1703" s="84" t="s">
        <v>2805</v>
      </c>
    </row>
    <row r="1704" spans="1:10" ht="12.75" customHeight="1">
      <c r="A1704" s="83"/>
      <c r="B1704" s="83" t="s">
        <v>2819</v>
      </c>
      <c r="C1704" s="84" t="s">
        <v>2805</v>
      </c>
      <c r="D1704" s="84">
        <v>5</v>
      </c>
      <c r="E1704" s="84">
        <v>0</v>
      </c>
      <c r="F1704" s="84" t="s">
        <v>2812</v>
      </c>
      <c r="G1704" s="84">
        <v>2</v>
      </c>
      <c r="H1704" s="84" t="s">
        <v>2812</v>
      </c>
      <c r="I1704" s="84">
        <v>0</v>
      </c>
      <c r="J1704" s="84" t="s">
        <v>2805</v>
      </c>
    </row>
    <row r="1705" spans="1:10" ht="12.75" customHeight="1">
      <c r="A1705" s="83"/>
      <c r="B1705" s="83" t="s">
        <v>2820</v>
      </c>
      <c r="C1705" s="84" t="s">
        <v>2805</v>
      </c>
      <c r="D1705" s="84">
        <v>2</v>
      </c>
      <c r="E1705" s="84" t="s">
        <v>2805</v>
      </c>
      <c r="F1705" s="84">
        <v>1</v>
      </c>
      <c r="G1705" s="84" t="s">
        <v>2812</v>
      </c>
      <c r="H1705" s="84">
        <v>2</v>
      </c>
      <c r="I1705" s="84" t="s">
        <v>2805</v>
      </c>
      <c r="J1705" s="84" t="s">
        <v>2805</v>
      </c>
    </row>
    <row r="1706" spans="1:10" ht="12.75" customHeight="1">
      <c r="A1706" s="83"/>
      <c r="B1706" s="83" t="s">
        <v>2821</v>
      </c>
      <c r="C1706" s="84" t="s">
        <v>2805</v>
      </c>
      <c r="D1706" s="84" t="s">
        <v>2805</v>
      </c>
      <c r="E1706" s="84">
        <v>0</v>
      </c>
      <c r="F1706" s="84" t="s">
        <v>2812</v>
      </c>
      <c r="G1706" s="84" t="s">
        <v>2812</v>
      </c>
      <c r="H1706" s="84" t="s">
        <v>2812</v>
      </c>
      <c r="I1706" s="84">
        <v>0</v>
      </c>
      <c r="J1706" s="84" t="s">
        <v>2805</v>
      </c>
    </row>
    <row r="1707" spans="1:10" ht="12.75" customHeight="1">
      <c r="A1707" s="83"/>
      <c r="B1707" s="83" t="s">
        <v>2822</v>
      </c>
      <c r="C1707" s="84" t="s">
        <v>2805</v>
      </c>
      <c r="D1707" s="84">
        <v>1</v>
      </c>
      <c r="E1707" s="84" t="s">
        <v>2812</v>
      </c>
      <c r="F1707" s="84" t="s">
        <v>2812</v>
      </c>
      <c r="G1707" s="84">
        <v>1</v>
      </c>
      <c r="H1707" s="84" t="s">
        <v>2812</v>
      </c>
      <c r="I1707" s="84">
        <v>0</v>
      </c>
      <c r="J1707" s="84" t="s">
        <v>2805</v>
      </c>
    </row>
    <row r="1708" spans="1:10" ht="12.75" customHeight="1">
      <c r="A1708" s="83"/>
      <c r="B1708" s="81" t="s">
        <v>2823</v>
      </c>
      <c r="C1708" s="84">
        <v>10</v>
      </c>
      <c r="D1708" s="84" t="s">
        <v>2826</v>
      </c>
      <c r="E1708" s="84">
        <v>0</v>
      </c>
      <c r="F1708" s="84">
        <v>0</v>
      </c>
      <c r="G1708" s="84">
        <v>1</v>
      </c>
      <c r="H1708" s="84" t="s">
        <v>2812</v>
      </c>
      <c r="I1708" s="84">
        <v>0</v>
      </c>
      <c r="J1708" s="84">
        <v>7</v>
      </c>
    </row>
    <row r="1709" spans="1:10" ht="12.75" customHeight="1">
      <c r="A1709" s="89"/>
      <c r="B1709" s="90"/>
      <c r="C1709" s="84"/>
      <c r="D1709" s="84"/>
      <c r="E1709" s="84"/>
      <c r="F1709" s="84"/>
      <c r="G1709" s="84"/>
      <c r="H1709" s="84"/>
      <c r="I1709" s="84"/>
      <c r="J1709" s="84"/>
    </row>
    <row r="1710" spans="1:10" s="71" customFormat="1" ht="12.75" customHeight="1">
      <c r="A1710" s="88" t="s">
        <v>2977</v>
      </c>
      <c r="B1710" s="88" t="s">
        <v>2978</v>
      </c>
      <c r="C1710" s="86"/>
      <c r="D1710" s="86"/>
      <c r="E1710" s="86"/>
      <c r="F1710" s="86"/>
      <c r="G1710" s="86"/>
      <c r="H1710" s="86"/>
      <c r="I1710" s="86"/>
      <c r="J1710" s="86"/>
    </row>
    <row r="1711" spans="1:10" ht="12.75" customHeight="1">
      <c r="A1711" s="89"/>
      <c r="B1711" s="90"/>
      <c r="C1711" s="84"/>
      <c r="D1711" s="84"/>
      <c r="E1711" s="84"/>
      <c r="F1711" s="84"/>
      <c r="G1711" s="84"/>
      <c r="H1711" s="84"/>
      <c r="I1711" s="84"/>
      <c r="J1711" s="84"/>
    </row>
    <row r="1712" spans="1:10" ht="12.75" customHeight="1">
      <c r="A1712" s="83"/>
      <c r="B1712" s="83"/>
      <c r="C1712" s="84"/>
      <c r="D1712" s="84"/>
      <c r="E1712" s="84"/>
      <c r="F1712" s="84"/>
      <c r="G1712" s="84"/>
      <c r="H1712" s="84"/>
      <c r="I1712" s="84"/>
      <c r="J1712" s="84"/>
    </row>
    <row r="1713" spans="1:10" ht="12.75" customHeight="1">
      <c r="A1713" s="83"/>
      <c r="B1713" s="81" t="s">
        <v>2803</v>
      </c>
      <c r="C1713" s="84">
        <v>34</v>
      </c>
      <c r="D1713" s="84">
        <v>14</v>
      </c>
      <c r="E1713" s="84">
        <v>0</v>
      </c>
      <c r="F1713" s="84" t="s">
        <v>2812</v>
      </c>
      <c r="G1713" s="84">
        <v>18</v>
      </c>
      <c r="H1713" s="84" t="s">
        <v>2812</v>
      </c>
      <c r="I1713" s="84">
        <v>0</v>
      </c>
      <c r="J1713" s="84">
        <v>2</v>
      </c>
    </row>
    <row r="1714" spans="1:10" ht="12.75" customHeight="1">
      <c r="A1714" s="83"/>
      <c r="B1714" s="81" t="s">
        <v>2804</v>
      </c>
      <c r="C1714" s="84" t="s">
        <v>2805</v>
      </c>
      <c r="D1714" s="84" t="s">
        <v>2812</v>
      </c>
      <c r="E1714" s="84">
        <v>0</v>
      </c>
      <c r="F1714" s="84">
        <v>0</v>
      </c>
      <c r="G1714" s="84">
        <v>1</v>
      </c>
      <c r="H1714" s="84">
        <v>0</v>
      </c>
      <c r="I1714" s="84">
        <v>0</v>
      </c>
      <c r="J1714" s="84" t="s">
        <v>2805</v>
      </c>
    </row>
    <row r="1715" spans="1:10" ht="12.75" customHeight="1">
      <c r="A1715" s="83"/>
      <c r="B1715" s="83" t="s">
        <v>2806</v>
      </c>
      <c r="C1715" s="84" t="s">
        <v>2805</v>
      </c>
      <c r="D1715" s="84" t="s">
        <v>2812</v>
      </c>
      <c r="E1715" s="84">
        <v>0</v>
      </c>
      <c r="F1715" s="84">
        <v>0</v>
      </c>
      <c r="G1715" s="84">
        <v>1</v>
      </c>
      <c r="H1715" s="84">
        <v>0</v>
      </c>
      <c r="I1715" s="84">
        <v>0</v>
      </c>
      <c r="J1715" s="84" t="s">
        <v>2805</v>
      </c>
    </row>
    <row r="1716" spans="1:10" ht="12.75" customHeight="1">
      <c r="A1716" s="83"/>
      <c r="B1716" s="83" t="s">
        <v>2807</v>
      </c>
      <c r="C1716" s="84" t="s">
        <v>2805</v>
      </c>
      <c r="D1716" s="84">
        <v>0</v>
      </c>
      <c r="E1716" s="84">
        <v>0</v>
      </c>
      <c r="F1716" s="84">
        <v>0</v>
      </c>
      <c r="G1716" s="84" t="s">
        <v>2812</v>
      </c>
      <c r="H1716" s="84">
        <v>0</v>
      </c>
      <c r="I1716" s="84">
        <v>0</v>
      </c>
      <c r="J1716" s="84" t="s">
        <v>2805</v>
      </c>
    </row>
    <row r="1717" spans="1:10" ht="12.75" customHeight="1">
      <c r="A1717" s="83"/>
      <c r="B1717" s="81" t="s">
        <v>2808</v>
      </c>
      <c r="C1717" s="84" t="s">
        <v>2805</v>
      </c>
      <c r="D1717" s="84">
        <v>9</v>
      </c>
      <c r="E1717" s="84">
        <v>0</v>
      </c>
      <c r="F1717" s="84" t="s">
        <v>2812</v>
      </c>
      <c r="G1717" s="84">
        <v>13</v>
      </c>
      <c r="H1717" s="84" t="s">
        <v>2812</v>
      </c>
      <c r="I1717" s="84">
        <v>0</v>
      </c>
      <c r="J1717" s="84" t="s">
        <v>2805</v>
      </c>
    </row>
    <row r="1718" spans="1:10" ht="12.75" customHeight="1">
      <c r="A1718" s="83"/>
      <c r="B1718" s="83" t="s">
        <v>2810</v>
      </c>
      <c r="C1718" s="84" t="s">
        <v>2805</v>
      </c>
      <c r="D1718" s="84">
        <v>1</v>
      </c>
      <c r="E1718" s="84">
        <v>0</v>
      </c>
      <c r="F1718" s="84">
        <v>0</v>
      </c>
      <c r="G1718" s="84">
        <v>11</v>
      </c>
      <c r="H1718" s="84" t="s">
        <v>2812</v>
      </c>
      <c r="I1718" s="84">
        <v>0</v>
      </c>
      <c r="J1718" s="84" t="s">
        <v>2805</v>
      </c>
    </row>
    <row r="1719" spans="1:10" ht="12.75" customHeight="1">
      <c r="A1719" s="83"/>
      <c r="B1719" s="83" t="s">
        <v>2811</v>
      </c>
      <c r="C1719" s="84" t="s">
        <v>2805</v>
      </c>
      <c r="D1719" s="84">
        <v>1</v>
      </c>
      <c r="E1719" s="84">
        <v>0</v>
      </c>
      <c r="F1719" s="84">
        <v>0</v>
      </c>
      <c r="G1719" s="84">
        <v>1</v>
      </c>
      <c r="H1719" s="84" t="s">
        <v>2812</v>
      </c>
      <c r="I1719" s="84">
        <v>0</v>
      </c>
      <c r="J1719" s="84" t="s">
        <v>2805</v>
      </c>
    </row>
    <row r="1720" spans="1:10" ht="12.75" customHeight="1">
      <c r="A1720" s="83"/>
      <c r="B1720" s="83" t="s">
        <v>2813</v>
      </c>
      <c r="C1720" s="84" t="s">
        <v>2805</v>
      </c>
      <c r="D1720" s="84">
        <v>7</v>
      </c>
      <c r="E1720" s="84">
        <v>0</v>
      </c>
      <c r="F1720" s="84" t="s">
        <v>2812</v>
      </c>
      <c r="G1720" s="84" t="s">
        <v>2812</v>
      </c>
      <c r="H1720" s="84" t="s">
        <v>2812</v>
      </c>
      <c r="I1720" s="84">
        <v>0</v>
      </c>
      <c r="J1720" s="84" t="s">
        <v>2805</v>
      </c>
    </row>
    <row r="1721" spans="1:10" ht="12.75" customHeight="1">
      <c r="A1721" s="83"/>
      <c r="B1721" s="83" t="s">
        <v>2814</v>
      </c>
      <c r="C1721" s="84" t="s">
        <v>2805</v>
      </c>
      <c r="D1721" s="84" t="s">
        <v>2812</v>
      </c>
      <c r="E1721" s="84" t="s">
        <v>2805</v>
      </c>
      <c r="F1721" s="84" t="s">
        <v>2805</v>
      </c>
      <c r="G1721" s="84" t="s">
        <v>2805</v>
      </c>
      <c r="H1721" s="84" t="s">
        <v>2805</v>
      </c>
      <c r="I1721" s="84" t="s">
        <v>2805</v>
      </c>
      <c r="J1721" s="84" t="s">
        <v>2805</v>
      </c>
    </row>
    <row r="1722" spans="1:10" ht="12.75" customHeight="1">
      <c r="A1722" s="83"/>
      <c r="B1722" s="83" t="s">
        <v>2815</v>
      </c>
      <c r="C1722" s="84" t="s">
        <v>2805</v>
      </c>
      <c r="D1722" s="84" t="s">
        <v>2812</v>
      </c>
      <c r="E1722" s="84">
        <v>0</v>
      </c>
      <c r="F1722" s="84" t="s">
        <v>2812</v>
      </c>
      <c r="G1722" s="84">
        <v>1</v>
      </c>
      <c r="H1722" s="84" t="s">
        <v>2812</v>
      </c>
      <c r="I1722" s="84">
        <v>0</v>
      </c>
      <c r="J1722" s="84" t="s">
        <v>2805</v>
      </c>
    </row>
    <row r="1723" spans="1:10" ht="12.75" customHeight="1">
      <c r="A1723" s="83"/>
      <c r="B1723" s="81" t="s">
        <v>2816</v>
      </c>
      <c r="C1723" s="84" t="s">
        <v>2805</v>
      </c>
      <c r="D1723" s="84">
        <v>5</v>
      </c>
      <c r="E1723" s="84">
        <v>0</v>
      </c>
      <c r="F1723" s="84" t="s">
        <v>2812</v>
      </c>
      <c r="G1723" s="84">
        <v>5</v>
      </c>
      <c r="H1723" s="84" t="s">
        <v>2812</v>
      </c>
      <c r="I1723" s="84">
        <v>0</v>
      </c>
      <c r="J1723" s="84" t="s">
        <v>2805</v>
      </c>
    </row>
    <row r="1724" spans="1:10" ht="12.75" customHeight="1">
      <c r="A1724" s="83"/>
      <c r="B1724" s="83" t="s">
        <v>2817</v>
      </c>
      <c r="C1724" s="84" t="s">
        <v>2805</v>
      </c>
      <c r="D1724" s="84">
        <v>3</v>
      </c>
      <c r="E1724" s="84">
        <v>0</v>
      </c>
      <c r="F1724" s="84">
        <v>0</v>
      </c>
      <c r="G1724" s="84">
        <v>4</v>
      </c>
      <c r="H1724" s="84" t="s">
        <v>2812</v>
      </c>
      <c r="I1724" s="84">
        <v>0</v>
      </c>
      <c r="J1724" s="84" t="s">
        <v>2805</v>
      </c>
    </row>
    <row r="1725" spans="1:10" ht="12.75" customHeight="1">
      <c r="A1725" s="83"/>
      <c r="B1725" s="83" t="s">
        <v>2818</v>
      </c>
      <c r="C1725" s="84" t="s">
        <v>2805</v>
      </c>
      <c r="D1725" s="84">
        <v>1</v>
      </c>
      <c r="E1725" s="84" t="s">
        <v>2805</v>
      </c>
      <c r="F1725" s="84" t="s">
        <v>2805</v>
      </c>
      <c r="G1725" s="84" t="s">
        <v>2805</v>
      </c>
      <c r="H1725" s="84" t="s">
        <v>2805</v>
      </c>
      <c r="I1725" s="84" t="s">
        <v>2805</v>
      </c>
      <c r="J1725" s="84" t="s">
        <v>2805</v>
      </c>
    </row>
    <row r="1726" spans="1:10" ht="12.75" customHeight="1">
      <c r="A1726" s="83"/>
      <c r="B1726" s="83" t="s">
        <v>2819</v>
      </c>
      <c r="C1726" s="84" t="s">
        <v>2805</v>
      </c>
      <c r="D1726" s="84" t="s">
        <v>2812</v>
      </c>
      <c r="E1726" s="84">
        <v>0</v>
      </c>
      <c r="F1726" s="84">
        <v>0</v>
      </c>
      <c r="G1726" s="84" t="s">
        <v>2812</v>
      </c>
      <c r="H1726" s="84" t="s">
        <v>2812</v>
      </c>
      <c r="I1726" s="84">
        <v>0</v>
      </c>
      <c r="J1726" s="84" t="s">
        <v>2805</v>
      </c>
    </row>
    <row r="1727" spans="1:10" ht="12.75" customHeight="1">
      <c r="A1727" s="83"/>
      <c r="B1727" s="83" t="s">
        <v>2820</v>
      </c>
      <c r="C1727" s="84" t="s">
        <v>2805</v>
      </c>
      <c r="D1727" s="84" t="s">
        <v>2812</v>
      </c>
      <c r="E1727" s="84" t="s">
        <v>2805</v>
      </c>
      <c r="F1727" s="84" t="s">
        <v>2812</v>
      </c>
      <c r="G1727" s="84">
        <v>0</v>
      </c>
      <c r="H1727" s="84" t="s">
        <v>2812</v>
      </c>
      <c r="I1727" s="84" t="s">
        <v>2805</v>
      </c>
      <c r="J1727" s="84" t="s">
        <v>2805</v>
      </c>
    </row>
    <row r="1728" spans="1:10" ht="12.75" customHeight="1">
      <c r="A1728" s="83"/>
      <c r="B1728" s="83" t="s">
        <v>2821</v>
      </c>
      <c r="C1728" s="84" t="s">
        <v>2805</v>
      </c>
      <c r="D1728" s="84" t="s">
        <v>2805</v>
      </c>
      <c r="E1728" s="84">
        <v>0</v>
      </c>
      <c r="F1728" s="84" t="s">
        <v>2812</v>
      </c>
      <c r="G1728" s="84" t="s">
        <v>2812</v>
      </c>
      <c r="H1728" s="84" t="s">
        <v>2812</v>
      </c>
      <c r="I1728" s="84">
        <v>0</v>
      </c>
      <c r="J1728" s="84" t="s">
        <v>2805</v>
      </c>
    </row>
    <row r="1729" spans="1:10" ht="12.75" customHeight="1">
      <c r="A1729" s="83"/>
      <c r="B1729" s="83" t="s">
        <v>2822</v>
      </c>
      <c r="C1729" s="84" t="s">
        <v>2805</v>
      </c>
      <c r="D1729" s="84" t="s">
        <v>2812</v>
      </c>
      <c r="E1729" s="84">
        <v>0</v>
      </c>
      <c r="F1729" s="84" t="s">
        <v>2812</v>
      </c>
      <c r="G1729" s="84">
        <v>0</v>
      </c>
      <c r="H1729" s="84" t="s">
        <v>2812</v>
      </c>
      <c r="I1729" s="84">
        <v>0</v>
      </c>
      <c r="J1729" s="84" t="s">
        <v>2805</v>
      </c>
    </row>
    <row r="1730" spans="1:10" ht="12.75" customHeight="1">
      <c r="A1730" s="83"/>
      <c r="B1730" s="81" t="s">
        <v>2823</v>
      </c>
      <c r="C1730" s="84">
        <v>2</v>
      </c>
      <c r="D1730" s="84" t="s">
        <v>2812</v>
      </c>
      <c r="E1730" s="84">
        <v>0</v>
      </c>
      <c r="F1730" s="84">
        <v>0</v>
      </c>
      <c r="G1730" s="84" t="s">
        <v>2812</v>
      </c>
      <c r="H1730" s="84" t="s">
        <v>2812</v>
      </c>
      <c r="I1730" s="84">
        <v>0</v>
      </c>
      <c r="J1730" s="84">
        <v>2</v>
      </c>
    </row>
    <row r="1731" spans="1:10" ht="12.75" customHeight="1">
      <c r="A1731" s="89"/>
      <c r="B1731" s="88"/>
      <c r="C1731" s="84"/>
      <c r="D1731" s="84"/>
      <c r="E1731" s="84"/>
      <c r="F1731" s="84"/>
      <c r="G1731" s="84"/>
      <c r="H1731" s="84"/>
      <c r="I1731" s="84"/>
      <c r="J1731" s="84"/>
    </row>
    <row r="1732" spans="1:10" s="71" customFormat="1" ht="12.75" customHeight="1">
      <c r="A1732" s="81" t="s">
        <v>2979</v>
      </c>
      <c r="B1732" s="81" t="s">
        <v>2980</v>
      </c>
      <c r="C1732" s="86"/>
      <c r="D1732" s="86"/>
      <c r="E1732" s="86"/>
      <c r="F1732" s="86"/>
      <c r="G1732" s="86"/>
      <c r="H1732" s="86"/>
      <c r="I1732" s="86"/>
      <c r="J1732" s="86"/>
    </row>
    <row r="1733" spans="1:10" ht="12.75" customHeight="1">
      <c r="A1733" s="89"/>
      <c r="B1733" s="90"/>
      <c r="C1733" s="84"/>
      <c r="D1733" s="84"/>
      <c r="E1733" s="84"/>
      <c r="F1733" s="84"/>
      <c r="G1733" s="84"/>
      <c r="H1733" s="84"/>
      <c r="I1733" s="84"/>
      <c r="J1733" s="84"/>
    </row>
    <row r="1734" spans="1:10" ht="12.75" customHeight="1">
      <c r="A1734" s="83"/>
      <c r="B1734" s="83"/>
      <c r="C1734" s="84"/>
      <c r="D1734" s="84"/>
      <c r="E1734" s="84"/>
      <c r="F1734" s="84"/>
      <c r="G1734" s="84"/>
      <c r="H1734" s="84"/>
      <c r="I1734" s="84"/>
      <c r="J1734" s="84"/>
    </row>
    <row r="1735" spans="1:10" ht="12.75" customHeight="1">
      <c r="A1735" s="83"/>
      <c r="B1735" s="81" t="s">
        <v>2803</v>
      </c>
      <c r="C1735" s="84">
        <v>41</v>
      </c>
      <c r="D1735" s="84">
        <v>14</v>
      </c>
      <c r="E1735" s="84">
        <v>0</v>
      </c>
      <c r="F1735" s="84" t="s">
        <v>2812</v>
      </c>
      <c r="G1735" s="84">
        <v>25</v>
      </c>
      <c r="H1735" s="84" t="s">
        <v>2812</v>
      </c>
      <c r="I1735" s="84">
        <v>0</v>
      </c>
      <c r="J1735" s="84">
        <v>1</v>
      </c>
    </row>
    <row r="1736" spans="1:10" ht="12.75" customHeight="1">
      <c r="A1736" s="83"/>
      <c r="B1736" s="81" t="s">
        <v>2804</v>
      </c>
      <c r="C1736" s="84" t="s">
        <v>2805</v>
      </c>
      <c r="D1736" s="84">
        <v>1</v>
      </c>
      <c r="E1736" s="84">
        <v>0</v>
      </c>
      <c r="F1736" s="84">
        <v>0</v>
      </c>
      <c r="G1736" s="84">
        <v>5</v>
      </c>
      <c r="H1736" s="84" t="s">
        <v>2812</v>
      </c>
      <c r="I1736" s="84">
        <v>0</v>
      </c>
      <c r="J1736" s="84" t="s">
        <v>2805</v>
      </c>
    </row>
    <row r="1737" spans="1:10" ht="12.75" customHeight="1">
      <c r="A1737" s="83"/>
      <c r="B1737" s="83" t="s">
        <v>2806</v>
      </c>
      <c r="C1737" s="84" t="s">
        <v>2805</v>
      </c>
      <c r="D1737" s="84">
        <v>1</v>
      </c>
      <c r="E1737" s="84">
        <v>0</v>
      </c>
      <c r="F1737" s="84">
        <v>0</v>
      </c>
      <c r="G1737" s="84">
        <v>2</v>
      </c>
      <c r="H1737" s="84" t="s">
        <v>2812</v>
      </c>
      <c r="I1737" s="84">
        <v>0</v>
      </c>
      <c r="J1737" s="84" t="s">
        <v>2805</v>
      </c>
    </row>
    <row r="1738" spans="1:10" ht="12.75" customHeight="1">
      <c r="A1738" s="83"/>
      <c r="B1738" s="83" t="s">
        <v>2807</v>
      </c>
      <c r="C1738" s="84" t="s">
        <v>2805</v>
      </c>
      <c r="D1738" s="84">
        <v>0</v>
      </c>
      <c r="E1738" s="84">
        <v>0</v>
      </c>
      <c r="F1738" s="84">
        <v>0</v>
      </c>
      <c r="G1738" s="84">
        <v>3</v>
      </c>
      <c r="H1738" s="84">
        <v>0</v>
      </c>
      <c r="I1738" s="84">
        <v>0</v>
      </c>
      <c r="J1738" s="84" t="s">
        <v>2805</v>
      </c>
    </row>
    <row r="1739" spans="1:10" ht="12.75" customHeight="1">
      <c r="A1739" s="83"/>
      <c r="B1739" s="81" t="s">
        <v>2808</v>
      </c>
      <c r="C1739" s="84" t="s">
        <v>2805</v>
      </c>
      <c r="D1739" s="84">
        <v>10</v>
      </c>
      <c r="E1739" s="84">
        <v>0</v>
      </c>
      <c r="F1739" s="84" t="s">
        <v>2812</v>
      </c>
      <c r="G1739" s="84">
        <v>14</v>
      </c>
      <c r="H1739" s="84" t="s">
        <v>2812</v>
      </c>
      <c r="I1739" s="84">
        <v>0</v>
      </c>
      <c r="J1739" s="84" t="s">
        <v>2805</v>
      </c>
    </row>
    <row r="1740" spans="1:10" ht="12.75" customHeight="1">
      <c r="A1740" s="83"/>
      <c r="B1740" s="83" t="s">
        <v>2810</v>
      </c>
      <c r="C1740" s="84" t="s">
        <v>2805</v>
      </c>
      <c r="D1740" s="84">
        <v>1</v>
      </c>
      <c r="E1740" s="84">
        <v>0</v>
      </c>
      <c r="F1740" s="84">
        <v>0</v>
      </c>
      <c r="G1740" s="84">
        <v>13</v>
      </c>
      <c r="H1740" s="84" t="s">
        <v>2812</v>
      </c>
      <c r="I1740" s="84">
        <v>0</v>
      </c>
      <c r="J1740" s="84" t="s">
        <v>2805</v>
      </c>
    </row>
    <row r="1741" spans="1:10" ht="12.75" customHeight="1">
      <c r="A1741" s="83"/>
      <c r="B1741" s="83" t="s">
        <v>2811</v>
      </c>
      <c r="C1741" s="84" t="s">
        <v>2805</v>
      </c>
      <c r="D1741" s="84">
        <v>1</v>
      </c>
      <c r="E1741" s="84">
        <v>0</v>
      </c>
      <c r="F1741" s="84">
        <v>0</v>
      </c>
      <c r="G1741" s="84" t="s">
        <v>2812</v>
      </c>
      <c r="H1741" s="84">
        <v>0</v>
      </c>
      <c r="I1741" s="84">
        <v>0</v>
      </c>
      <c r="J1741" s="84" t="s">
        <v>2805</v>
      </c>
    </row>
    <row r="1742" spans="1:10" ht="12.75" customHeight="1">
      <c r="A1742" s="83"/>
      <c r="B1742" s="83" t="s">
        <v>2813</v>
      </c>
      <c r="C1742" s="84" t="s">
        <v>2805</v>
      </c>
      <c r="D1742" s="84">
        <v>7</v>
      </c>
      <c r="E1742" s="84">
        <v>0</v>
      </c>
      <c r="F1742" s="84" t="s">
        <v>2812</v>
      </c>
      <c r="G1742" s="84" t="s">
        <v>2812</v>
      </c>
      <c r="H1742" s="84" t="s">
        <v>2812</v>
      </c>
      <c r="I1742" s="84">
        <v>0</v>
      </c>
      <c r="J1742" s="84" t="s">
        <v>2805</v>
      </c>
    </row>
    <row r="1743" spans="1:10" ht="12.75" customHeight="1">
      <c r="A1743" s="83"/>
      <c r="B1743" s="83" t="s">
        <v>2814</v>
      </c>
      <c r="C1743" s="84" t="s">
        <v>2805</v>
      </c>
      <c r="D1743" s="84" t="s">
        <v>2812</v>
      </c>
      <c r="E1743" s="84" t="s">
        <v>2805</v>
      </c>
      <c r="F1743" s="84" t="s">
        <v>2805</v>
      </c>
      <c r="G1743" s="84" t="s">
        <v>2805</v>
      </c>
      <c r="H1743" s="84" t="s">
        <v>2805</v>
      </c>
      <c r="I1743" s="84" t="s">
        <v>2805</v>
      </c>
      <c r="J1743" s="84" t="s">
        <v>2805</v>
      </c>
    </row>
    <row r="1744" spans="1:10" ht="12.75" customHeight="1">
      <c r="A1744" s="83"/>
      <c r="B1744" s="83" t="s">
        <v>2815</v>
      </c>
      <c r="C1744" s="84" t="s">
        <v>2805</v>
      </c>
      <c r="D1744" s="84">
        <v>1</v>
      </c>
      <c r="E1744" s="84">
        <v>0</v>
      </c>
      <c r="F1744" s="84">
        <v>0</v>
      </c>
      <c r="G1744" s="84">
        <v>1</v>
      </c>
      <c r="H1744" s="84" t="s">
        <v>2812</v>
      </c>
      <c r="I1744" s="84">
        <v>0</v>
      </c>
      <c r="J1744" s="84" t="s">
        <v>2805</v>
      </c>
    </row>
    <row r="1745" spans="1:10" ht="12.75" customHeight="1">
      <c r="A1745" s="83"/>
      <c r="B1745" s="81" t="s">
        <v>2816</v>
      </c>
      <c r="C1745" s="84" t="s">
        <v>2805</v>
      </c>
      <c r="D1745" s="84">
        <v>4</v>
      </c>
      <c r="E1745" s="84">
        <v>0</v>
      </c>
      <c r="F1745" s="84" t="s">
        <v>2812</v>
      </c>
      <c r="G1745" s="84">
        <v>7</v>
      </c>
      <c r="H1745" s="84" t="s">
        <v>2812</v>
      </c>
      <c r="I1745" s="84">
        <v>0</v>
      </c>
      <c r="J1745" s="84" t="s">
        <v>2805</v>
      </c>
    </row>
    <row r="1746" spans="1:10" ht="12.75" customHeight="1">
      <c r="A1746" s="83"/>
      <c r="B1746" s="83" t="s">
        <v>2817</v>
      </c>
      <c r="C1746" s="84" t="s">
        <v>2805</v>
      </c>
      <c r="D1746" s="84">
        <v>2</v>
      </c>
      <c r="E1746" s="84">
        <v>0</v>
      </c>
      <c r="F1746" s="84">
        <v>0</v>
      </c>
      <c r="G1746" s="84">
        <v>6</v>
      </c>
      <c r="H1746" s="84" t="s">
        <v>2812</v>
      </c>
      <c r="I1746" s="84">
        <v>0</v>
      </c>
      <c r="J1746" s="84" t="s">
        <v>2805</v>
      </c>
    </row>
    <row r="1747" spans="1:10" ht="12.75" customHeight="1">
      <c r="A1747" s="83"/>
      <c r="B1747" s="83" t="s">
        <v>2818</v>
      </c>
      <c r="C1747" s="84" t="s">
        <v>2805</v>
      </c>
      <c r="D1747" s="84">
        <v>2</v>
      </c>
      <c r="E1747" s="84" t="s">
        <v>2805</v>
      </c>
      <c r="F1747" s="84" t="s">
        <v>2805</v>
      </c>
      <c r="G1747" s="84" t="s">
        <v>2805</v>
      </c>
      <c r="H1747" s="84" t="s">
        <v>2805</v>
      </c>
      <c r="I1747" s="84" t="s">
        <v>2805</v>
      </c>
      <c r="J1747" s="84" t="s">
        <v>2805</v>
      </c>
    </row>
    <row r="1748" spans="1:10" ht="12.75" customHeight="1">
      <c r="A1748" s="83"/>
      <c r="B1748" s="83" t="s">
        <v>2819</v>
      </c>
      <c r="C1748" s="84" t="s">
        <v>2805</v>
      </c>
      <c r="D1748" s="84" t="s">
        <v>2812</v>
      </c>
      <c r="E1748" s="84">
        <v>0</v>
      </c>
      <c r="F1748" s="84" t="s">
        <v>2812</v>
      </c>
      <c r="G1748" s="84" t="s">
        <v>2812</v>
      </c>
      <c r="H1748" s="84">
        <v>0</v>
      </c>
      <c r="I1748" s="84">
        <v>0</v>
      </c>
      <c r="J1748" s="84" t="s">
        <v>2805</v>
      </c>
    </row>
    <row r="1749" spans="1:10" ht="12.75" customHeight="1">
      <c r="A1749" s="83"/>
      <c r="B1749" s="83" t="s">
        <v>2820</v>
      </c>
      <c r="C1749" s="84" t="s">
        <v>2805</v>
      </c>
      <c r="D1749" s="84" t="s">
        <v>2812</v>
      </c>
      <c r="E1749" s="84" t="s">
        <v>2805</v>
      </c>
      <c r="F1749" s="84" t="s">
        <v>2812</v>
      </c>
      <c r="G1749" s="84" t="s">
        <v>2812</v>
      </c>
      <c r="H1749" s="84" t="s">
        <v>2812</v>
      </c>
      <c r="I1749" s="84" t="s">
        <v>2805</v>
      </c>
      <c r="J1749" s="84" t="s">
        <v>2805</v>
      </c>
    </row>
    <row r="1750" spans="1:10" ht="12.75" customHeight="1">
      <c r="A1750" s="83"/>
      <c r="B1750" s="83" t="s">
        <v>2821</v>
      </c>
      <c r="C1750" s="84" t="s">
        <v>2805</v>
      </c>
      <c r="D1750" s="84" t="s">
        <v>2805</v>
      </c>
      <c r="E1750" s="84">
        <v>0</v>
      </c>
      <c r="F1750" s="84" t="s">
        <v>2812</v>
      </c>
      <c r="G1750" s="84" t="s">
        <v>2812</v>
      </c>
      <c r="H1750" s="84">
        <v>0</v>
      </c>
      <c r="I1750" s="84">
        <v>0</v>
      </c>
      <c r="J1750" s="84" t="s">
        <v>2805</v>
      </c>
    </row>
    <row r="1751" spans="1:10" ht="12.75" customHeight="1">
      <c r="A1751" s="83"/>
      <c r="B1751" s="83" t="s">
        <v>2822</v>
      </c>
      <c r="C1751" s="84" t="s">
        <v>2805</v>
      </c>
      <c r="D1751" s="84" t="s">
        <v>2812</v>
      </c>
      <c r="E1751" s="84">
        <v>0</v>
      </c>
      <c r="F1751" s="84" t="s">
        <v>2812</v>
      </c>
      <c r="G1751" s="84">
        <v>0</v>
      </c>
      <c r="H1751" s="84">
        <v>0</v>
      </c>
      <c r="I1751" s="84">
        <v>0</v>
      </c>
      <c r="J1751" s="84" t="s">
        <v>2805</v>
      </c>
    </row>
    <row r="1752" spans="1:10" ht="12.75" customHeight="1">
      <c r="A1752" s="83"/>
      <c r="B1752" s="81" t="s">
        <v>2823</v>
      </c>
      <c r="C1752" s="84">
        <v>1</v>
      </c>
      <c r="D1752" s="84">
        <v>0</v>
      </c>
      <c r="E1752" s="84">
        <v>0</v>
      </c>
      <c r="F1752" s="84">
        <v>0</v>
      </c>
      <c r="G1752" s="84" t="s">
        <v>2812</v>
      </c>
      <c r="H1752" s="84" t="s">
        <v>2812</v>
      </c>
      <c r="I1752" s="84">
        <v>0</v>
      </c>
      <c r="J1752" s="84">
        <v>1</v>
      </c>
    </row>
    <row r="1753" spans="1:10" ht="12.75" customHeight="1">
      <c r="A1753" s="89"/>
      <c r="B1753" s="90"/>
      <c r="C1753" s="84"/>
      <c r="D1753" s="84"/>
      <c r="E1753" s="84"/>
      <c r="F1753" s="84"/>
      <c r="G1753" s="84"/>
      <c r="H1753" s="84"/>
      <c r="I1753" s="84"/>
      <c r="J1753" s="84"/>
    </row>
    <row r="1754" spans="1:10" s="71" customFormat="1" ht="12.75" customHeight="1">
      <c r="A1754" s="81" t="s">
        <v>2981</v>
      </c>
      <c r="B1754" s="81" t="s">
        <v>2982</v>
      </c>
      <c r="C1754" s="86"/>
      <c r="D1754" s="86"/>
      <c r="E1754" s="86"/>
      <c r="F1754" s="86"/>
      <c r="G1754" s="86"/>
      <c r="H1754" s="86"/>
      <c r="I1754" s="86"/>
      <c r="J1754" s="86"/>
    </row>
    <row r="1755" spans="1:10" ht="12.75" customHeight="1">
      <c r="A1755" s="89"/>
      <c r="B1755" s="90"/>
      <c r="C1755" s="84"/>
      <c r="D1755" s="84"/>
      <c r="E1755" s="84"/>
      <c r="F1755" s="84"/>
      <c r="G1755" s="84"/>
      <c r="H1755" s="84"/>
      <c r="I1755" s="84"/>
      <c r="J1755" s="84"/>
    </row>
    <row r="1756" spans="1:10" ht="12.75" customHeight="1">
      <c r="A1756" s="83"/>
      <c r="B1756" s="83"/>
      <c r="C1756" s="84"/>
      <c r="D1756" s="84"/>
      <c r="E1756" s="84"/>
      <c r="F1756" s="84"/>
      <c r="G1756" s="84"/>
      <c r="H1756" s="84"/>
      <c r="I1756" s="84"/>
      <c r="J1756" s="84"/>
    </row>
    <row r="1757" spans="1:10" ht="12.75" customHeight="1">
      <c r="A1757" s="83"/>
      <c r="B1757" s="81" t="s">
        <v>2803</v>
      </c>
      <c r="C1757" s="84">
        <v>64</v>
      </c>
      <c r="D1757" s="84">
        <v>33</v>
      </c>
      <c r="E1757" s="84" t="s">
        <v>2812</v>
      </c>
      <c r="F1757" s="84" t="s">
        <v>2812</v>
      </c>
      <c r="G1757" s="84">
        <v>27</v>
      </c>
      <c r="H1757" s="84" t="s">
        <v>2812</v>
      </c>
      <c r="I1757" s="84">
        <v>0</v>
      </c>
      <c r="J1757" s="84">
        <v>4</v>
      </c>
    </row>
    <row r="1758" spans="1:10" ht="12.75" customHeight="1">
      <c r="A1758" s="83"/>
      <c r="B1758" s="81" t="s">
        <v>2804</v>
      </c>
      <c r="C1758" s="84" t="s">
        <v>2805</v>
      </c>
      <c r="D1758" s="84" t="s">
        <v>2812</v>
      </c>
      <c r="E1758" s="84" t="s">
        <v>2812</v>
      </c>
      <c r="F1758" s="84" t="s">
        <v>2812</v>
      </c>
      <c r="G1758" s="84">
        <v>12</v>
      </c>
      <c r="H1758" s="84" t="s">
        <v>2812</v>
      </c>
      <c r="I1758" s="84">
        <v>0</v>
      </c>
      <c r="J1758" s="84" t="s">
        <v>2805</v>
      </c>
    </row>
    <row r="1759" spans="1:10" ht="12.75" customHeight="1">
      <c r="A1759" s="83"/>
      <c r="B1759" s="83" t="s">
        <v>2806</v>
      </c>
      <c r="C1759" s="84" t="s">
        <v>2805</v>
      </c>
      <c r="D1759" s="84" t="s">
        <v>2812</v>
      </c>
      <c r="E1759" s="84">
        <v>0</v>
      </c>
      <c r="F1759" s="84" t="s">
        <v>2812</v>
      </c>
      <c r="G1759" s="84">
        <v>8</v>
      </c>
      <c r="H1759" s="84" t="s">
        <v>2812</v>
      </c>
      <c r="I1759" s="84">
        <v>0</v>
      </c>
      <c r="J1759" s="84" t="s">
        <v>2805</v>
      </c>
    </row>
    <row r="1760" spans="1:10" ht="12.75" customHeight="1">
      <c r="A1760" s="83"/>
      <c r="B1760" s="83" t="s">
        <v>2807</v>
      </c>
      <c r="C1760" s="84" t="s">
        <v>2805</v>
      </c>
      <c r="D1760" s="84">
        <v>0</v>
      </c>
      <c r="E1760" s="84" t="s">
        <v>2812</v>
      </c>
      <c r="F1760" s="84" t="s">
        <v>2812</v>
      </c>
      <c r="G1760" s="84">
        <v>5</v>
      </c>
      <c r="H1760" s="84" t="s">
        <v>2812</v>
      </c>
      <c r="I1760" s="84">
        <v>0</v>
      </c>
      <c r="J1760" s="84" t="s">
        <v>2805</v>
      </c>
    </row>
    <row r="1761" spans="1:10" ht="12.75" customHeight="1">
      <c r="A1761" s="83"/>
      <c r="B1761" s="81" t="s">
        <v>2808</v>
      </c>
      <c r="C1761" s="84" t="s">
        <v>2805</v>
      </c>
      <c r="D1761" s="84">
        <v>16</v>
      </c>
      <c r="E1761" s="84">
        <v>0</v>
      </c>
      <c r="F1761" s="84" t="s">
        <v>2812</v>
      </c>
      <c r="G1761" s="84">
        <v>5</v>
      </c>
      <c r="H1761" s="84" t="s">
        <v>2812</v>
      </c>
      <c r="I1761" s="84">
        <v>0</v>
      </c>
      <c r="J1761" s="84" t="s">
        <v>2805</v>
      </c>
    </row>
    <row r="1762" spans="1:10" ht="12.75" customHeight="1">
      <c r="A1762" s="83"/>
      <c r="B1762" s="83" t="s">
        <v>2810</v>
      </c>
      <c r="C1762" s="84" t="s">
        <v>2805</v>
      </c>
      <c r="D1762" s="84">
        <v>4</v>
      </c>
      <c r="E1762" s="84">
        <v>0</v>
      </c>
      <c r="F1762" s="84">
        <v>0</v>
      </c>
      <c r="G1762" s="84">
        <v>4</v>
      </c>
      <c r="H1762" s="84" t="s">
        <v>2812</v>
      </c>
      <c r="I1762" s="84">
        <v>0</v>
      </c>
      <c r="J1762" s="84" t="s">
        <v>2805</v>
      </c>
    </row>
    <row r="1763" spans="1:10" ht="12.75" customHeight="1">
      <c r="A1763" s="83"/>
      <c r="B1763" s="83" t="s">
        <v>2811</v>
      </c>
      <c r="C1763" s="84" t="s">
        <v>2805</v>
      </c>
      <c r="D1763" s="84">
        <v>3</v>
      </c>
      <c r="E1763" s="84">
        <v>0</v>
      </c>
      <c r="F1763" s="84">
        <v>0</v>
      </c>
      <c r="G1763" s="84" t="s">
        <v>2812</v>
      </c>
      <c r="H1763" s="84" t="s">
        <v>2812</v>
      </c>
      <c r="I1763" s="84">
        <v>0</v>
      </c>
      <c r="J1763" s="84" t="s">
        <v>2805</v>
      </c>
    </row>
    <row r="1764" spans="1:10" ht="12.75" customHeight="1">
      <c r="A1764" s="83"/>
      <c r="B1764" s="83" t="s">
        <v>2813</v>
      </c>
      <c r="C1764" s="84" t="s">
        <v>2805</v>
      </c>
      <c r="D1764" s="84">
        <v>8</v>
      </c>
      <c r="E1764" s="84">
        <v>0</v>
      </c>
      <c r="F1764" s="84" t="s">
        <v>2812</v>
      </c>
      <c r="G1764" s="84">
        <v>1</v>
      </c>
      <c r="H1764" s="84" t="s">
        <v>2812</v>
      </c>
      <c r="I1764" s="84">
        <v>0</v>
      </c>
      <c r="J1764" s="84" t="s">
        <v>2805</v>
      </c>
    </row>
    <row r="1765" spans="1:10" ht="12.75" customHeight="1">
      <c r="A1765" s="83"/>
      <c r="B1765" s="83" t="s">
        <v>2814</v>
      </c>
      <c r="C1765" s="84" t="s">
        <v>2805</v>
      </c>
      <c r="D1765" s="84" t="s">
        <v>2812</v>
      </c>
      <c r="E1765" s="84" t="s">
        <v>2805</v>
      </c>
      <c r="F1765" s="84" t="s">
        <v>2805</v>
      </c>
      <c r="G1765" s="84" t="s">
        <v>2805</v>
      </c>
      <c r="H1765" s="84" t="s">
        <v>2805</v>
      </c>
      <c r="I1765" s="84" t="s">
        <v>2805</v>
      </c>
      <c r="J1765" s="84" t="s">
        <v>2805</v>
      </c>
    </row>
    <row r="1766" spans="1:10" ht="12.75" customHeight="1">
      <c r="A1766" s="83"/>
      <c r="B1766" s="83" t="s">
        <v>2815</v>
      </c>
      <c r="C1766" s="84" t="s">
        <v>2805</v>
      </c>
      <c r="D1766" s="84">
        <v>1</v>
      </c>
      <c r="E1766" s="84">
        <v>0</v>
      </c>
      <c r="F1766" s="84" t="s">
        <v>2812</v>
      </c>
      <c r="G1766" s="84" t="s">
        <v>2812</v>
      </c>
      <c r="H1766" s="84" t="s">
        <v>2812</v>
      </c>
      <c r="I1766" s="84">
        <v>0</v>
      </c>
      <c r="J1766" s="84" t="s">
        <v>2805</v>
      </c>
    </row>
    <row r="1767" spans="1:10" ht="12.75" customHeight="1">
      <c r="A1767" s="83"/>
      <c r="B1767" s="81" t="s">
        <v>2816</v>
      </c>
      <c r="C1767" s="84" t="s">
        <v>2805</v>
      </c>
      <c r="D1767" s="84">
        <v>17</v>
      </c>
      <c r="E1767" s="84">
        <v>0</v>
      </c>
      <c r="F1767" s="84" t="s">
        <v>2812</v>
      </c>
      <c r="G1767" s="84">
        <v>9</v>
      </c>
      <c r="H1767" s="84" t="s">
        <v>2812</v>
      </c>
      <c r="I1767" s="84">
        <v>0</v>
      </c>
      <c r="J1767" s="84" t="s">
        <v>2805</v>
      </c>
    </row>
    <row r="1768" spans="1:10" ht="12.75" customHeight="1">
      <c r="A1768" s="83"/>
      <c r="B1768" s="83" t="s">
        <v>2817</v>
      </c>
      <c r="C1768" s="84" t="s">
        <v>2805</v>
      </c>
      <c r="D1768" s="84">
        <v>10</v>
      </c>
      <c r="E1768" s="84">
        <v>0</v>
      </c>
      <c r="F1768" s="84" t="s">
        <v>2812</v>
      </c>
      <c r="G1768" s="84">
        <v>7</v>
      </c>
      <c r="H1768" s="84" t="s">
        <v>2812</v>
      </c>
      <c r="I1768" s="84">
        <v>0</v>
      </c>
      <c r="J1768" s="84" t="s">
        <v>2805</v>
      </c>
    </row>
    <row r="1769" spans="1:10" ht="12.75" customHeight="1">
      <c r="A1769" s="83"/>
      <c r="B1769" s="83" t="s">
        <v>2818</v>
      </c>
      <c r="C1769" s="84" t="s">
        <v>2805</v>
      </c>
      <c r="D1769" s="84">
        <v>5</v>
      </c>
      <c r="E1769" s="84" t="s">
        <v>2805</v>
      </c>
      <c r="F1769" s="84" t="s">
        <v>2805</v>
      </c>
      <c r="G1769" s="84" t="s">
        <v>2805</v>
      </c>
      <c r="H1769" s="84" t="s">
        <v>2805</v>
      </c>
      <c r="I1769" s="84" t="s">
        <v>2805</v>
      </c>
      <c r="J1769" s="84" t="s">
        <v>2805</v>
      </c>
    </row>
    <row r="1770" spans="1:10" ht="12.75" customHeight="1">
      <c r="A1770" s="83"/>
      <c r="B1770" s="83" t="s">
        <v>2819</v>
      </c>
      <c r="C1770" s="84" t="s">
        <v>2805</v>
      </c>
      <c r="D1770" s="84">
        <v>1</v>
      </c>
      <c r="E1770" s="84">
        <v>0</v>
      </c>
      <c r="F1770" s="84" t="s">
        <v>2812</v>
      </c>
      <c r="G1770" s="84">
        <v>1</v>
      </c>
      <c r="H1770" s="84" t="s">
        <v>2812</v>
      </c>
      <c r="I1770" s="84">
        <v>0</v>
      </c>
      <c r="J1770" s="84" t="s">
        <v>2805</v>
      </c>
    </row>
    <row r="1771" spans="1:10" ht="12.75" customHeight="1">
      <c r="A1771" s="83"/>
      <c r="B1771" s="83" t="s">
        <v>2820</v>
      </c>
      <c r="C1771" s="84" t="s">
        <v>2805</v>
      </c>
      <c r="D1771" s="84" t="s">
        <v>2812</v>
      </c>
      <c r="E1771" s="84" t="s">
        <v>2805</v>
      </c>
      <c r="F1771" s="84" t="s">
        <v>2812</v>
      </c>
      <c r="G1771" s="84" t="s">
        <v>2812</v>
      </c>
      <c r="H1771" s="84" t="s">
        <v>2812</v>
      </c>
      <c r="I1771" s="84" t="s">
        <v>2805</v>
      </c>
      <c r="J1771" s="84" t="s">
        <v>2805</v>
      </c>
    </row>
    <row r="1772" spans="1:10" ht="12.75" customHeight="1">
      <c r="A1772" s="83"/>
      <c r="B1772" s="83" t="s">
        <v>2821</v>
      </c>
      <c r="C1772" s="84" t="s">
        <v>2805</v>
      </c>
      <c r="D1772" s="84" t="s">
        <v>2805</v>
      </c>
      <c r="E1772" s="84">
        <v>0</v>
      </c>
      <c r="F1772" s="84" t="s">
        <v>2812</v>
      </c>
      <c r="G1772" s="84" t="s">
        <v>2812</v>
      </c>
      <c r="H1772" s="84" t="s">
        <v>2812</v>
      </c>
      <c r="I1772" s="84">
        <v>0</v>
      </c>
      <c r="J1772" s="84" t="s">
        <v>2805</v>
      </c>
    </row>
    <row r="1773" spans="1:10" ht="12.75" customHeight="1">
      <c r="A1773" s="83"/>
      <c r="B1773" s="83" t="s">
        <v>2822</v>
      </c>
      <c r="C1773" s="84" t="s">
        <v>2805</v>
      </c>
      <c r="D1773" s="84" t="s">
        <v>2812</v>
      </c>
      <c r="E1773" s="84">
        <v>0</v>
      </c>
      <c r="F1773" s="84" t="s">
        <v>2812</v>
      </c>
      <c r="G1773" s="84">
        <v>1</v>
      </c>
      <c r="H1773" s="84" t="s">
        <v>2812</v>
      </c>
      <c r="I1773" s="84">
        <v>0</v>
      </c>
      <c r="J1773" s="84" t="s">
        <v>2805</v>
      </c>
    </row>
    <row r="1774" spans="1:10" ht="12.75" customHeight="1">
      <c r="A1774" s="83"/>
      <c r="B1774" s="81" t="s">
        <v>2823</v>
      </c>
      <c r="C1774" s="84">
        <v>5</v>
      </c>
      <c r="D1774" s="84" t="s">
        <v>2812</v>
      </c>
      <c r="E1774" s="84">
        <v>0</v>
      </c>
      <c r="F1774" s="84">
        <v>0</v>
      </c>
      <c r="G1774" s="84" t="s">
        <v>2826</v>
      </c>
      <c r="H1774" s="84" t="s">
        <v>2812</v>
      </c>
      <c r="I1774" s="84">
        <v>0</v>
      </c>
      <c r="J1774" s="84">
        <v>4</v>
      </c>
    </row>
    <row r="1775" spans="1:10" ht="12.75" customHeight="1">
      <c r="A1775" s="89"/>
      <c r="B1775" s="90"/>
      <c r="C1775" s="84"/>
      <c r="D1775" s="84"/>
      <c r="E1775" s="84"/>
      <c r="F1775" s="84"/>
      <c r="G1775" s="84"/>
      <c r="H1775" s="84"/>
      <c r="I1775" s="84"/>
      <c r="J1775" s="84"/>
    </row>
    <row r="1776" spans="1:10" s="71" customFormat="1" ht="12.75" customHeight="1">
      <c r="A1776" s="81" t="s">
        <v>2983</v>
      </c>
      <c r="B1776" s="81" t="s">
        <v>2984</v>
      </c>
      <c r="C1776" s="86"/>
      <c r="D1776" s="86"/>
      <c r="E1776" s="86"/>
      <c r="F1776" s="86"/>
      <c r="G1776" s="86"/>
      <c r="H1776" s="86"/>
      <c r="I1776" s="86"/>
      <c r="J1776" s="86"/>
    </row>
    <row r="1777" spans="1:10" ht="12.75" customHeight="1">
      <c r="A1777" s="89"/>
      <c r="B1777" s="90"/>
      <c r="C1777" s="84"/>
      <c r="D1777" s="84"/>
      <c r="E1777" s="84"/>
      <c r="F1777" s="84"/>
      <c r="G1777" s="84"/>
      <c r="H1777" s="84"/>
      <c r="I1777" s="84"/>
      <c r="J1777" s="84"/>
    </row>
    <row r="1778" spans="1:10" ht="12.75" customHeight="1">
      <c r="A1778" s="83"/>
      <c r="B1778" s="83"/>
      <c r="C1778" s="84"/>
      <c r="D1778" s="84"/>
      <c r="E1778" s="84"/>
      <c r="F1778" s="84"/>
      <c r="G1778" s="84"/>
      <c r="H1778" s="84"/>
      <c r="I1778" s="84"/>
      <c r="J1778" s="84"/>
    </row>
    <row r="1779" spans="1:10" ht="12.75" customHeight="1">
      <c r="A1779" s="83"/>
      <c r="B1779" s="81" t="s">
        <v>2803</v>
      </c>
      <c r="C1779" s="84">
        <v>17</v>
      </c>
      <c r="D1779" s="84">
        <v>9</v>
      </c>
      <c r="E1779" s="84">
        <v>0</v>
      </c>
      <c r="F1779" s="84" t="s">
        <v>2812</v>
      </c>
      <c r="G1779" s="84">
        <v>6</v>
      </c>
      <c r="H1779" s="84" t="s">
        <v>2812</v>
      </c>
      <c r="I1779" s="84">
        <v>0</v>
      </c>
      <c r="J1779" s="84">
        <v>2</v>
      </c>
    </row>
    <row r="1780" spans="1:10" ht="12.75" customHeight="1">
      <c r="A1780" s="83"/>
      <c r="B1780" s="81" t="s">
        <v>2804</v>
      </c>
      <c r="C1780" s="84" t="s">
        <v>2805</v>
      </c>
      <c r="D1780" s="84" t="s">
        <v>2812</v>
      </c>
      <c r="E1780" s="84">
        <v>0</v>
      </c>
      <c r="F1780" s="84" t="s">
        <v>2812</v>
      </c>
      <c r="G1780" s="84">
        <v>3</v>
      </c>
      <c r="H1780" s="84" t="s">
        <v>2812</v>
      </c>
      <c r="I1780" s="84">
        <v>0</v>
      </c>
      <c r="J1780" s="84" t="s">
        <v>2805</v>
      </c>
    </row>
    <row r="1781" spans="1:10" ht="12.75" customHeight="1">
      <c r="A1781" s="83"/>
      <c r="B1781" s="83" t="s">
        <v>2806</v>
      </c>
      <c r="C1781" s="84" t="s">
        <v>2805</v>
      </c>
      <c r="D1781" s="84" t="s">
        <v>2812</v>
      </c>
      <c r="E1781" s="84">
        <v>0</v>
      </c>
      <c r="F1781" s="84" t="s">
        <v>2812</v>
      </c>
      <c r="G1781" s="84">
        <v>2</v>
      </c>
      <c r="H1781" s="84" t="s">
        <v>2812</v>
      </c>
      <c r="I1781" s="84">
        <v>0</v>
      </c>
      <c r="J1781" s="84" t="s">
        <v>2805</v>
      </c>
    </row>
    <row r="1782" spans="1:10" ht="12.75" customHeight="1">
      <c r="A1782" s="83"/>
      <c r="B1782" s="83" t="s">
        <v>2807</v>
      </c>
      <c r="C1782" s="84" t="s">
        <v>2805</v>
      </c>
      <c r="D1782" s="84">
        <v>0</v>
      </c>
      <c r="E1782" s="84">
        <v>0</v>
      </c>
      <c r="F1782" s="84">
        <v>0</v>
      </c>
      <c r="G1782" s="84" t="s">
        <v>2812</v>
      </c>
      <c r="H1782" s="84">
        <v>0</v>
      </c>
      <c r="I1782" s="84">
        <v>0</v>
      </c>
      <c r="J1782" s="84" t="s">
        <v>2805</v>
      </c>
    </row>
    <row r="1783" spans="1:10" ht="12.75" customHeight="1">
      <c r="A1783" s="83"/>
      <c r="B1783" s="81" t="s">
        <v>2808</v>
      </c>
      <c r="C1783" s="84" t="s">
        <v>2805</v>
      </c>
      <c r="D1783" s="84">
        <v>3</v>
      </c>
      <c r="E1783" s="84">
        <v>0</v>
      </c>
      <c r="F1783" s="84" t="s">
        <v>2812</v>
      </c>
      <c r="G1783" s="84">
        <v>1</v>
      </c>
      <c r="H1783" s="84">
        <v>0</v>
      </c>
      <c r="I1783" s="84">
        <v>0</v>
      </c>
      <c r="J1783" s="84" t="s">
        <v>2805</v>
      </c>
    </row>
    <row r="1784" spans="1:10" ht="12.75" customHeight="1">
      <c r="A1784" s="83"/>
      <c r="B1784" s="83" t="s">
        <v>2810</v>
      </c>
      <c r="C1784" s="84" t="s">
        <v>2805</v>
      </c>
      <c r="D1784" s="84">
        <v>1</v>
      </c>
      <c r="E1784" s="84">
        <v>0</v>
      </c>
      <c r="F1784" s="84">
        <v>0</v>
      </c>
      <c r="G1784" s="84">
        <v>1</v>
      </c>
      <c r="H1784" s="84">
        <v>0</v>
      </c>
      <c r="I1784" s="84">
        <v>0</v>
      </c>
      <c r="J1784" s="84" t="s">
        <v>2805</v>
      </c>
    </row>
    <row r="1785" spans="1:10" ht="12.75" customHeight="1">
      <c r="A1785" s="83"/>
      <c r="B1785" s="83" t="s">
        <v>2811</v>
      </c>
      <c r="C1785" s="84" t="s">
        <v>2805</v>
      </c>
      <c r="D1785" s="84" t="s">
        <v>2812</v>
      </c>
      <c r="E1785" s="84">
        <v>0</v>
      </c>
      <c r="F1785" s="84">
        <v>0</v>
      </c>
      <c r="G1785" s="84" t="s">
        <v>2812</v>
      </c>
      <c r="H1785" s="84">
        <v>0</v>
      </c>
      <c r="I1785" s="84">
        <v>0</v>
      </c>
      <c r="J1785" s="84" t="s">
        <v>2805</v>
      </c>
    </row>
    <row r="1786" spans="1:10" ht="12.75" customHeight="1">
      <c r="A1786" s="83"/>
      <c r="B1786" s="83" t="s">
        <v>2813</v>
      </c>
      <c r="C1786" s="84" t="s">
        <v>2805</v>
      </c>
      <c r="D1786" s="84">
        <v>2</v>
      </c>
      <c r="E1786" s="84">
        <v>0</v>
      </c>
      <c r="F1786" s="84" t="s">
        <v>2812</v>
      </c>
      <c r="G1786" s="84" t="s">
        <v>2812</v>
      </c>
      <c r="H1786" s="84">
        <v>0</v>
      </c>
      <c r="I1786" s="84">
        <v>0</v>
      </c>
      <c r="J1786" s="84" t="s">
        <v>2805</v>
      </c>
    </row>
    <row r="1787" spans="1:10" ht="12.75" customHeight="1">
      <c r="A1787" s="83"/>
      <c r="B1787" s="83" t="s">
        <v>2814</v>
      </c>
      <c r="C1787" s="84" t="s">
        <v>2805</v>
      </c>
      <c r="D1787" s="84" t="s">
        <v>2812</v>
      </c>
      <c r="E1787" s="84" t="s">
        <v>2805</v>
      </c>
      <c r="F1787" s="84" t="s">
        <v>2805</v>
      </c>
      <c r="G1787" s="84" t="s">
        <v>2805</v>
      </c>
      <c r="H1787" s="84" t="s">
        <v>2805</v>
      </c>
      <c r="I1787" s="84" t="s">
        <v>2805</v>
      </c>
      <c r="J1787" s="84" t="s">
        <v>2805</v>
      </c>
    </row>
    <row r="1788" spans="1:10" ht="12.75" customHeight="1">
      <c r="A1788" s="83"/>
      <c r="B1788" s="83" t="s">
        <v>2815</v>
      </c>
      <c r="C1788" s="84" t="s">
        <v>2805</v>
      </c>
      <c r="D1788" s="84" t="s">
        <v>2812</v>
      </c>
      <c r="E1788" s="84">
        <v>0</v>
      </c>
      <c r="F1788" s="84" t="s">
        <v>2812</v>
      </c>
      <c r="G1788" s="84" t="s">
        <v>2812</v>
      </c>
      <c r="H1788" s="84">
        <v>0</v>
      </c>
      <c r="I1788" s="84">
        <v>0</v>
      </c>
      <c r="J1788" s="84" t="s">
        <v>2805</v>
      </c>
    </row>
    <row r="1789" spans="1:10" ht="12.75" customHeight="1">
      <c r="A1789" s="83"/>
      <c r="B1789" s="81" t="s">
        <v>2816</v>
      </c>
      <c r="C1789" s="84" t="s">
        <v>2805</v>
      </c>
      <c r="D1789" s="84">
        <v>6</v>
      </c>
      <c r="E1789" s="84">
        <v>0</v>
      </c>
      <c r="F1789" s="84" t="s">
        <v>2812</v>
      </c>
      <c r="G1789" s="84">
        <v>2</v>
      </c>
      <c r="H1789" s="84" t="s">
        <v>2812</v>
      </c>
      <c r="I1789" s="84">
        <v>0</v>
      </c>
      <c r="J1789" s="84" t="s">
        <v>2805</v>
      </c>
    </row>
    <row r="1790" spans="1:10" ht="12.75" customHeight="1">
      <c r="A1790" s="83"/>
      <c r="B1790" s="83" t="s">
        <v>2817</v>
      </c>
      <c r="C1790" s="84" t="s">
        <v>2805</v>
      </c>
      <c r="D1790" s="84">
        <v>4</v>
      </c>
      <c r="E1790" s="84">
        <v>0</v>
      </c>
      <c r="F1790" s="84">
        <v>0</v>
      </c>
      <c r="G1790" s="84">
        <v>2</v>
      </c>
      <c r="H1790" s="84" t="s">
        <v>2812</v>
      </c>
      <c r="I1790" s="84">
        <v>0</v>
      </c>
      <c r="J1790" s="84" t="s">
        <v>2805</v>
      </c>
    </row>
    <row r="1791" spans="1:10" ht="12.75" customHeight="1">
      <c r="A1791" s="83"/>
      <c r="B1791" s="83" t="s">
        <v>2818</v>
      </c>
      <c r="C1791" s="84" t="s">
        <v>2805</v>
      </c>
      <c r="D1791" s="84">
        <v>2</v>
      </c>
      <c r="E1791" s="84" t="s">
        <v>2805</v>
      </c>
      <c r="F1791" s="84" t="s">
        <v>2805</v>
      </c>
      <c r="G1791" s="84" t="s">
        <v>2805</v>
      </c>
      <c r="H1791" s="84" t="s">
        <v>2805</v>
      </c>
      <c r="I1791" s="84" t="s">
        <v>2805</v>
      </c>
      <c r="J1791" s="84" t="s">
        <v>2805</v>
      </c>
    </row>
    <row r="1792" spans="1:10" ht="12.75" customHeight="1">
      <c r="A1792" s="83"/>
      <c r="B1792" s="83" t="s">
        <v>2819</v>
      </c>
      <c r="C1792" s="84" t="s">
        <v>2805</v>
      </c>
      <c r="D1792" s="84" t="s">
        <v>2812</v>
      </c>
      <c r="E1792" s="84">
        <v>0</v>
      </c>
      <c r="F1792" s="84" t="s">
        <v>2812</v>
      </c>
      <c r="G1792" s="84" t="s">
        <v>2812</v>
      </c>
      <c r="H1792" s="84">
        <v>0</v>
      </c>
      <c r="I1792" s="84">
        <v>0</v>
      </c>
      <c r="J1792" s="84" t="s">
        <v>2805</v>
      </c>
    </row>
    <row r="1793" spans="1:10" ht="12.75" customHeight="1">
      <c r="A1793" s="83"/>
      <c r="B1793" s="83" t="s">
        <v>2820</v>
      </c>
      <c r="C1793" s="84" t="s">
        <v>2805</v>
      </c>
      <c r="D1793" s="84" t="s">
        <v>2812</v>
      </c>
      <c r="E1793" s="84" t="s">
        <v>2805</v>
      </c>
      <c r="F1793" s="84" t="s">
        <v>2812</v>
      </c>
      <c r="G1793" s="84" t="s">
        <v>2812</v>
      </c>
      <c r="H1793" s="84" t="s">
        <v>2812</v>
      </c>
      <c r="I1793" s="84" t="s">
        <v>2805</v>
      </c>
      <c r="J1793" s="84" t="s">
        <v>2805</v>
      </c>
    </row>
    <row r="1794" spans="1:10" ht="12.75" customHeight="1">
      <c r="A1794" s="83"/>
      <c r="B1794" s="83" t="s">
        <v>2821</v>
      </c>
      <c r="C1794" s="84" t="s">
        <v>2805</v>
      </c>
      <c r="D1794" s="84" t="s">
        <v>2805</v>
      </c>
      <c r="E1794" s="84">
        <v>0</v>
      </c>
      <c r="F1794" s="84" t="s">
        <v>2812</v>
      </c>
      <c r="G1794" s="84">
        <v>0</v>
      </c>
      <c r="H1794" s="84">
        <v>0</v>
      </c>
      <c r="I1794" s="84">
        <v>0</v>
      </c>
      <c r="J1794" s="84" t="s">
        <v>2805</v>
      </c>
    </row>
    <row r="1795" spans="1:10" ht="12.75" customHeight="1">
      <c r="A1795" s="83"/>
      <c r="B1795" s="83" t="s">
        <v>2822</v>
      </c>
      <c r="C1795" s="84" t="s">
        <v>2805</v>
      </c>
      <c r="D1795" s="84" t="s">
        <v>2812</v>
      </c>
      <c r="E1795" s="84">
        <v>0</v>
      </c>
      <c r="F1795" s="84" t="s">
        <v>2812</v>
      </c>
      <c r="G1795" s="84">
        <v>0</v>
      </c>
      <c r="H1795" s="84">
        <v>0</v>
      </c>
      <c r="I1795" s="84">
        <v>0</v>
      </c>
      <c r="J1795" s="84" t="s">
        <v>2805</v>
      </c>
    </row>
    <row r="1796" spans="1:10" ht="12.75" customHeight="1">
      <c r="A1796" s="83"/>
      <c r="B1796" s="81" t="s">
        <v>2823</v>
      </c>
      <c r="C1796" s="84">
        <v>2</v>
      </c>
      <c r="D1796" s="84" t="s">
        <v>2812</v>
      </c>
      <c r="E1796" s="84">
        <v>0</v>
      </c>
      <c r="F1796" s="84">
        <v>0</v>
      </c>
      <c r="G1796" s="84">
        <v>0</v>
      </c>
      <c r="H1796" s="84" t="s">
        <v>2812</v>
      </c>
      <c r="I1796" s="84">
        <v>0</v>
      </c>
      <c r="J1796" s="84">
        <v>2</v>
      </c>
    </row>
    <row r="1797" spans="1:10" ht="12.75" customHeight="1">
      <c r="A1797" s="89"/>
      <c r="B1797" s="90"/>
      <c r="C1797" s="84"/>
      <c r="D1797" s="84"/>
      <c r="E1797" s="84"/>
      <c r="F1797" s="84"/>
      <c r="G1797" s="84"/>
      <c r="H1797" s="84"/>
      <c r="I1797" s="84"/>
      <c r="J1797" s="84"/>
    </row>
    <row r="1798" spans="1:10" s="71" customFormat="1" ht="12.75" customHeight="1">
      <c r="A1798" s="81" t="s">
        <v>2985</v>
      </c>
      <c r="B1798" s="81" t="s">
        <v>2986</v>
      </c>
      <c r="C1798" s="86"/>
      <c r="D1798" s="86"/>
      <c r="E1798" s="86"/>
      <c r="F1798" s="86"/>
      <c r="G1798" s="86"/>
      <c r="H1798" s="86"/>
      <c r="I1798" s="86"/>
      <c r="J1798" s="86"/>
    </row>
    <row r="1799" spans="1:10" ht="12.75" customHeight="1">
      <c r="A1799" s="89"/>
      <c r="B1799" s="90"/>
      <c r="C1799" s="84"/>
      <c r="D1799" s="84"/>
      <c r="E1799" s="84"/>
      <c r="F1799" s="84"/>
      <c r="G1799" s="84"/>
      <c r="H1799" s="84"/>
      <c r="I1799" s="84"/>
      <c r="J1799" s="84"/>
    </row>
    <row r="1800" spans="1:10" ht="12.75" customHeight="1">
      <c r="A1800" s="89"/>
      <c r="B1800" s="83"/>
      <c r="C1800" s="84"/>
      <c r="D1800" s="84"/>
      <c r="E1800" s="84"/>
      <c r="F1800" s="84"/>
      <c r="G1800" s="84"/>
      <c r="H1800" s="84"/>
      <c r="I1800" s="84"/>
      <c r="J1800" s="84"/>
    </row>
    <row r="1801" spans="1:10" ht="12.75" customHeight="1">
      <c r="A1801" s="89"/>
      <c r="B1801" s="81" t="s">
        <v>2803</v>
      </c>
      <c r="C1801" s="84">
        <v>37</v>
      </c>
      <c r="D1801" s="84">
        <v>16</v>
      </c>
      <c r="E1801" s="84">
        <v>0</v>
      </c>
      <c r="F1801" s="84" t="s">
        <v>2812</v>
      </c>
      <c r="G1801" s="84">
        <v>15</v>
      </c>
      <c r="H1801" s="84">
        <v>1</v>
      </c>
      <c r="I1801" s="84" t="s">
        <v>2812</v>
      </c>
      <c r="J1801" s="84">
        <v>5</v>
      </c>
    </row>
    <row r="1802" spans="1:10" ht="12.75" customHeight="1">
      <c r="A1802" s="89"/>
      <c r="B1802" s="81" t="s">
        <v>2804</v>
      </c>
      <c r="C1802" s="84" t="s">
        <v>2805</v>
      </c>
      <c r="D1802" s="84" t="s">
        <v>2812</v>
      </c>
      <c r="E1802" s="84">
        <v>0</v>
      </c>
      <c r="F1802" s="84" t="s">
        <v>2812</v>
      </c>
      <c r="G1802" s="84">
        <v>1</v>
      </c>
      <c r="H1802" s="84" t="s">
        <v>2812</v>
      </c>
      <c r="I1802" s="84">
        <v>0</v>
      </c>
      <c r="J1802" s="84" t="s">
        <v>2805</v>
      </c>
    </row>
    <row r="1803" spans="1:10" ht="12.75" customHeight="1">
      <c r="A1803" s="89"/>
      <c r="B1803" s="83" t="s">
        <v>2806</v>
      </c>
      <c r="C1803" s="84" t="s">
        <v>2805</v>
      </c>
      <c r="D1803" s="84" t="s">
        <v>2812</v>
      </c>
      <c r="E1803" s="84">
        <v>0</v>
      </c>
      <c r="F1803" s="84">
        <v>0</v>
      </c>
      <c r="G1803" s="84" t="s">
        <v>2812</v>
      </c>
      <c r="H1803" s="84" t="s">
        <v>2812</v>
      </c>
      <c r="I1803" s="84">
        <v>0</v>
      </c>
      <c r="J1803" s="84" t="s">
        <v>2805</v>
      </c>
    </row>
    <row r="1804" spans="1:10" ht="12.75" customHeight="1">
      <c r="A1804" s="89"/>
      <c r="B1804" s="83" t="s">
        <v>2807</v>
      </c>
      <c r="C1804" s="84" t="s">
        <v>2805</v>
      </c>
      <c r="D1804" s="84">
        <v>0</v>
      </c>
      <c r="E1804" s="84">
        <v>0</v>
      </c>
      <c r="F1804" s="84" t="s">
        <v>2812</v>
      </c>
      <c r="G1804" s="84" t="s">
        <v>2826</v>
      </c>
      <c r="H1804" s="84" t="s">
        <v>2812</v>
      </c>
      <c r="I1804" s="84">
        <v>0</v>
      </c>
      <c r="J1804" s="84" t="s">
        <v>2805</v>
      </c>
    </row>
    <row r="1805" spans="1:10" ht="12.75" customHeight="1">
      <c r="A1805" s="89"/>
      <c r="B1805" s="81" t="s">
        <v>2808</v>
      </c>
      <c r="C1805" s="84" t="s">
        <v>2805</v>
      </c>
      <c r="D1805" s="84">
        <v>10</v>
      </c>
      <c r="E1805" s="84">
        <v>0</v>
      </c>
      <c r="F1805" s="84" t="s">
        <v>2812</v>
      </c>
      <c r="G1805" s="84">
        <v>7</v>
      </c>
      <c r="H1805" s="84" t="s">
        <v>2812</v>
      </c>
      <c r="I1805" s="84" t="s">
        <v>2812</v>
      </c>
      <c r="J1805" s="84" t="s">
        <v>2805</v>
      </c>
    </row>
    <row r="1806" spans="1:10" ht="12.75" customHeight="1">
      <c r="A1806" s="89"/>
      <c r="B1806" s="83" t="s">
        <v>2810</v>
      </c>
      <c r="C1806" s="84" t="s">
        <v>2805</v>
      </c>
      <c r="D1806" s="84">
        <v>1</v>
      </c>
      <c r="E1806" s="84">
        <v>0</v>
      </c>
      <c r="F1806" s="84">
        <v>0</v>
      </c>
      <c r="G1806" s="84">
        <v>6</v>
      </c>
      <c r="H1806" s="84" t="s">
        <v>2812</v>
      </c>
      <c r="I1806" s="84" t="s">
        <v>2812</v>
      </c>
      <c r="J1806" s="84" t="s">
        <v>2805</v>
      </c>
    </row>
    <row r="1807" spans="1:10" ht="12.75" customHeight="1">
      <c r="A1807" s="89"/>
      <c r="B1807" s="83" t="s">
        <v>2811</v>
      </c>
      <c r="C1807" s="84" t="s">
        <v>2805</v>
      </c>
      <c r="D1807" s="84" t="s">
        <v>2812</v>
      </c>
      <c r="E1807" s="84">
        <v>0</v>
      </c>
      <c r="F1807" s="84">
        <v>0</v>
      </c>
      <c r="G1807" s="84" t="s">
        <v>2812</v>
      </c>
      <c r="H1807" s="84" t="s">
        <v>2812</v>
      </c>
      <c r="I1807" s="84">
        <v>0</v>
      </c>
      <c r="J1807" s="84" t="s">
        <v>2805</v>
      </c>
    </row>
    <row r="1808" spans="1:10" ht="12.75" customHeight="1">
      <c r="A1808" s="89"/>
      <c r="B1808" s="83" t="s">
        <v>2813</v>
      </c>
      <c r="C1808" s="84" t="s">
        <v>2805</v>
      </c>
      <c r="D1808" s="84">
        <v>8</v>
      </c>
      <c r="E1808" s="84">
        <v>0</v>
      </c>
      <c r="F1808" s="84" t="s">
        <v>2812</v>
      </c>
      <c r="G1808" s="84" t="s">
        <v>2826</v>
      </c>
      <c r="H1808" s="84" t="s">
        <v>2812</v>
      </c>
      <c r="I1808" s="84">
        <v>0</v>
      </c>
      <c r="J1808" s="84" t="s">
        <v>2805</v>
      </c>
    </row>
    <row r="1809" spans="1:10" ht="12.75" customHeight="1">
      <c r="A1809" s="89"/>
      <c r="B1809" s="83" t="s">
        <v>2814</v>
      </c>
      <c r="C1809" s="84" t="s">
        <v>2805</v>
      </c>
      <c r="D1809" s="84" t="s">
        <v>2812</v>
      </c>
      <c r="E1809" s="84" t="s">
        <v>2805</v>
      </c>
      <c r="F1809" s="84" t="s">
        <v>2805</v>
      </c>
      <c r="G1809" s="84" t="s">
        <v>2805</v>
      </c>
      <c r="H1809" s="84" t="s">
        <v>2805</v>
      </c>
      <c r="I1809" s="84" t="s">
        <v>2805</v>
      </c>
      <c r="J1809" s="84" t="s">
        <v>2805</v>
      </c>
    </row>
    <row r="1810" spans="1:10" ht="12.75" customHeight="1">
      <c r="A1810" s="89"/>
      <c r="B1810" s="83" t="s">
        <v>2815</v>
      </c>
      <c r="C1810" s="84" t="s">
        <v>2805</v>
      </c>
      <c r="D1810" s="84" t="s">
        <v>2812</v>
      </c>
      <c r="E1810" s="84">
        <v>0</v>
      </c>
      <c r="F1810" s="84">
        <v>0</v>
      </c>
      <c r="G1810" s="84" t="s">
        <v>2812</v>
      </c>
      <c r="H1810" s="84" t="s">
        <v>2812</v>
      </c>
      <c r="I1810" s="84">
        <v>0</v>
      </c>
      <c r="J1810" s="84" t="s">
        <v>2805</v>
      </c>
    </row>
    <row r="1811" spans="1:10" ht="12.75" customHeight="1">
      <c r="A1811" s="89"/>
      <c r="B1811" s="81" t="s">
        <v>2816</v>
      </c>
      <c r="C1811" s="84" t="s">
        <v>2805</v>
      </c>
      <c r="D1811" s="84">
        <v>6</v>
      </c>
      <c r="E1811" s="84">
        <v>0</v>
      </c>
      <c r="F1811" s="84" t="s">
        <v>2812</v>
      </c>
      <c r="G1811" s="84">
        <v>8</v>
      </c>
      <c r="H1811" s="84">
        <v>1</v>
      </c>
      <c r="I1811" s="84" t="s">
        <v>2812</v>
      </c>
      <c r="J1811" s="84" t="s">
        <v>2805</v>
      </c>
    </row>
    <row r="1812" spans="1:10" ht="12.75" customHeight="1">
      <c r="A1812" s="89"/>
      <c r="B1812" s="83" t="s">
        <v>2817</v>
      </c>
      <c r="C1812" s="84" t="s">
        <v>2805</v>
      </c>
      <c r="D1812" s="84">
        <v>3</v>
      </c>
      <c r="E1812" s="84">
        <v>0</v>
      </c>
      <c r="F1812" s="84" t="s">
        <v>2812</v>
      </c>
      <c r="G1812" s="84">
        <v>7</v>
      </c>
      <c r="H1812" s="84" t="s">
        <v>2812</v>
      </c>
      <c r="I1812" s="84" t="s">
        <v>2812</v>
      </c>
      <c r="J1812" s="84" t="s">
        <v>2805</v>
      </c>
    </row>
    <row r="1813" spans="1:10" ht="12.75" customHeight="1">
      <c r="A1813" s="89"/>
      <c r="B1813" s="83" t="s">
        <v>2818</v>
      </c>
      <c r="C1813" s="84" t="s">
        <v>2805</v>
      </c>
      <c r="D1813" s="84">
        <v>2</v>
      </c>
      <c r="E1813" s="84" t="s">
        <v>2805</v>
      </c>
      <c r="F1813" s="84" t="s">
        <v>2805</v>
      </c>
      <c r="G1813" s="84" t="s">
        <v>2805</v>
      </c>
      <c r="H1813" s="84" t="s">
        <v>2805</v>
      </c>
      <c r="I1813" s="84" t="s">
        <v>2805</v>
      </c>
      <c r="J1813" s="84" t="s">
        <v>2805</v>
      </c>
    </row>
    <row r="1814" spans="1:10" ht="12.75" customHeight="1">
      <c r="A1814" s="89"/>
      <c r="B1814" s="83" t="s">
        <v>2819</v>
      </c>
      <c r="C1814" s="84" t="s">
        <v>2805</v>
      </c>
      <c r="D1814" s="84">
        <v>1</v>
      </c>
      <c r="E1814" s="84">
        <v>0</v>
      </c>
      <c r="F1814" s="84">
        <v>0</v>
      </c>
      <c r="G1814" s="84" t="s">
        <v>2826</v>
      </c>
      <c r="H1814" s="84" t="s">
        <v>2812</v>
      </c>
      <c r="I1814" s="84">
        <v>0</v>
      </c>
      <c r="J1814" s="84" t="s">
        <v>2805</v>
      </c>
    </row>
    <row r="1815" spans="1:10" ht="12.75" customHeight="1">
      <c r="A1815" s="89"/>
      <c r="B1815" s="83" t="s">
        <v>2820</v>
      </c>
      <c r="C1815" s="84" t="s">
        <v>2805</v>
      </c>
      <c r="D1815" s="84" t="s">
        <v>2812</v>
      </c>
      <c r="E1815" s="84" t="s">
        <v>2805</v>
      </c>
      <c r="F1815" s="84" t="s">
        <v>2812</v>
      </c>
      <c r="G1815" s="84" t="s">
        <v>2812</v>
      </c>
      <c r="H1815" s="84" t="s">
        <v>2812</v>
      </c>
      <c r="I1815" s="84" t="s">
        <v>2805</v>
      </c>
      <c r="J1815" s="84" t="s">
        <v>2805</v>
      </c>
    </row>
    <row r="1816" spans="1:10" ht="12.75" customHeight="1">
      <c r="A1816" s="89"/>
      <c r="B1816" s="83" t="s">
        <v>2821</v>
      </c>
      <c r="C1816" s="84" t="s">
        <v>2805</v>
      </c>
      <c r="D1816" s="84" t="s">
        <v>2805</v>
      </c>
      <c r="E1816" s="84">
        <v>0</v>
      </c>
      <c r="F1816" s="84" t="s">
        <v>2812</v>
      </c>
      <c r="G1816" s="84" t="s">
        <v>2812</v>
      </c>
      <c r="H1816" s="84" t="s">
        <v>2812</v>
      </c>
      <c r="I1816" s="84">
        <v>0</v>
      </c>
      <c r="J1816" s="84" t="s">
        <v>2805</v>
      </c>
    </row>
    <row r="1817" spans="1:10" ht="12.75" customHeight="1">
      <c r="A1817" s="89"/>
      <c r="B1817" s="83" t="s">
        <v>2822</v>
      </c>
      <c r="C1817" s="84" t="s">
        <v>2805</v>
      </c>
      <c r="D1817" s="84" t="s">
        <v>2812</v>
      </c>
      <c r="E1817" s="84">
        <v>0</v>
      </c>
      <c r="F1817" s="84" t="s">
        <v>2812</v>
      </c>
      <c r="G1817" s="84">
        <v>0</v>
      </c>
      <c r="H1817" s="84" t="s">
        <v>2812</v>
      </c>
      <c r="I1817" s="84">
        <v>0</v>
      </c>
      <c r="J1817" s="84" t="s">
        <v>2805</v>
      </c>
    </row>
    <row r="1818" spans="1:10" ht="12.75" customHeight="1">
      <c r="A1818" s="89"/>
      <c r="B1818" s="81" t="s">
        <v>2823</v>
      </c>
      <c r="C1818" s="84">
        <v>6</v>
      </c>
      <c r="D1818" s="84" t="s">
        <v>2826</v>
      </c>
      <c r="E1818" s="84">
        <v>0</v>
      </c>
      <c r="F1818" s="84">
        <v>0</v>
      </c>
      <c r="G1818" s="84" t="s">
        <v>2812</v>
      </c>
      <c r="H1818" s="84" t="s">
        <v>2812</v>
      </c>
      <c r="I1818" s="84">
        <v>0</v>
      </c>
      <c r="J1818" s="84">
        <v>5</v>
      </c>
    </row>
    <row r="1819" spans="1:10" ht="12.75" customHeight="1">
      <c r="A1819" s="89"/>
      <c r="B1819" s="90"/>
      <c r="C1819" s="84"/>
      <c r="D1819" s="84"/>
      <c r="E1819" s="84"/>
      <c r="F1819" s="84"/>
      <c r="G1819" s="84"/>
      <c r="H1819" s="84"/>
      <c r="I1819" s="84"/>
      <c r="J1819" s="84"/>
    </row>
    <row r="1820" spans="1:10" s="71" customFormat="1" ht="12.75" customHeight="1">
      <c r="A1820" s="81" t="s">
        <v>2987</v>
      </c>
      <c r="B1820" s="81" t="s">
        <v>2988</v>
      </c>
      <c r="C1820" s="86"/>
      <c r="D1820" s="86"/>
      <c r="E1820" s="86"/>
      <c r="F1820" s="86"/>
      <c r="G1820" s="86"/>
      <c r="H1820" s="86"/>
      <c r="I1820" s="86"/>
      <c r="J1820" s="86"/>
    </row>
    <row r="1821" spans="1:10" ht="12.75" customHeight="1">
      <c r="A1821" s="89"/>
      <c r="B1821" s="90"/>
      <c r="C1821" s="84"/>
      <c r="D1821" s="84"/>
      <c r="E1821" s="84"/>
      <c r="F1821" s="84"/>
      <c r="G1821" s="84"/>
      <c r="H1821" s="84"/>
      <c r="I1821" s="84"/>
      <c r="J1821" s="84"/>
    </row>
    <row r="1822" spans="1:10" ht="12.75" customHeight="1">
      <c r="A1822" s="89"/>
      <c r="B1822" s="83"/>
      <c r="C1822" s="84"/>
      <c r="D1822" s="84"/>
      <c r="E1822" s="84"/>
      <c r="F1822" s="84"/>
      <c r="G1822" s="84"/>
      <c r="H1822" s="84"/>
      <c r="I1822" s="84"/>
      <c r="J1822" s="84"/>
    </row>
    <row r="1823" spans="1:10" ht="12.75" customHeight="1">
      <c r="A1823" s="89"/>
      <c r="B1823" s="81" t="s">
        <v>2803</v>
      </c>
      <c r="C1823" s="84">
        <v>61</v>
      </c>
      <c r="D1823" s="84">
        <v>33</v>
      </c>
      <c r="E1823" s="84">
        <v>0</v>
      </c>
      <c r="F1823" s="84" t="s">
        <v>2812</v>
      </c>
      <c r="G1823" s="84">
        <v>25</v>
      </c>
      <c r="H1823" s="84">
        <v>1</v>
      </c>
      <c r="I1823" s="84" t="s">
        <v>2812</v>
      </c>
      <c r="J1823" s="84">
        <v>1</v>
      </c>
    </row>
    <row r="1824" spans="1:10" ht="12.75" customHeight="1">
      <c r="A1824" s="89"/>
      <c r="B1824" s="81" t="s">
        <v>2804</v>
      </c>
      <c r="C1824" s="84" t="s">
        <v>2805</v>
      </c>
      <c r="D1824" s="84" t="s">
        <v>2812</v>
      </c>
      <c r="E1824" s="84">
        <v>0</v>
      </c>
      <c r="F1824" s="84" t="s">
        <v>2812</v>
      </c>
      <c r="G1824" s="84">
        <v>3</v>
      </c>
      <c r="H1824" s="84" t="s">
        <v>2826</v>
      </c>
      <c r="I1824" s="84">
        <v>0</v>
      </c>
      <c r="J1824" s="84" t="s">
        <v>2805</v>
      </c>
    </row>
    <row r="1825" spans="1:10" ht="12.75" customHeight="1">
      <c r="A1825" s="89"/>
      <c r="B1825" s="83" t="s">
        <v>2806</v>
      </c>
      <c r="C1825" s="84" t="s">
        <v>2805</v>
      </c>
      <c r="D1825" s="84" t="s">
        <v>2812</v>
      </c>
      <c r="E1825" s="84">
        <v>0</v>
      </c>
      <c r="F1825" s="84">
        <v>0</v>
      </c>
      <c r="G1825" s="84">
        <v>1</v>
      </c>
      <c r="H1825" s="84" t="s">
        <v>2826</v>
      </c>
      <c r="I1825" s="84">
        <v>0</v>
      </c>
      <c r="J1825" s="84" t="s">
        <v>2805</v>
      </c>
    </row>
    <row r="1826" spans="1:10" ht="12.75" customHeight="1">
      <c r="A1826" s="89"/>
      <c r="B1826" s="83" t="s">
        <v>2807</v>
      </c>
      <c r="C1826" s="84" t="s">
        <v>2805</v>
      </c>
      <c r="D1826" s="84">
        <v>0</v>
      </c>
      <c r="E1826" s="84">
        <v>0</v>
      </c>
      <c r="F1826" s="84" t="s">
        <v>2812</v>
      </c>
      <c r="G1826" s="84">
        <v>2</v>
      </c>
      <c r="H1826" s="84" t="s">
        <v>2812</v>
      </c>
      <c r="I1826" s="84">
        <v>0</v>
      </c>
      <c r="J1826" s="84" t="s">
        <v>2805</v>
      </c>
    </row>
    <row r="1827" spans="1:10" ht="12.75" customHeight="1">
      <c r="A1827" s="89"/>
      <c r="B1827" s="81" t="s">
        <v>2808</v>
      </c>
      <c r="C1827" s="84" t="s">
        <v>2805</v>
      </c>
      <c r="D1827" s="84">
        <v>17</v>
      </c>
      <c r="E1827" s="84">
        <v>0</v>
      </c>
      <c r="F1827" s="84" t="s">
        <v>2812</v>
      </c>
      <c r="G1827" s="84">
        <v>13</v>
      </c>
      <c r="H1827" s="84" t="s">
        <v>2812</v>
      </c>
      <c r="I1827" s="84" t="s">
        <v>2812</v>
      </c>
      <c r="J1827" s="84" t="s">
        <v>2805</v>
      </c>
    </row>
    <row r="1828" spans="1:10" ht="12.75" customHeight="1">
      <c r="A1828" s="89"/>
      <c r="B1828" s="83" t="s">
        <v>2810</v>
      </c>
      <c r="C1828" s="84" t="s">
        <v>2805</v>
      </c>
      <c r="D1828" s="84">
        <v>2</v>
      </c>
      <c r="E1828" s="84">
        <v>0</v>
      </c>
      <c r="F1828" s="84" t="s">
        <v>2812</v>
      </c>
      <c r="G1828" s="84">
        <v>10</v>
      </c>
      <c r="H1828" s="84" t="s">
        <v>2812</v>
      </c>
      <c r="I1828" s="84" t="s">
        <v>2812</v>
      </c>
      <c r="J1828" s="84" t="s">
        <v>2805</v>
      </c>
    </row>
    <row r="1829" spans="1:10" ht="12.75" customHeight="1">
      <c r="A1829" s="89"/>
      <c r="B1829" s="83" t="s">
        <v>2811</v>
      </c>
      <c r="C1829" s="84" t="s">
        <v>2805</v>
      </c>
      <c r="D1829" s="84">
        <v>2</v>
      </c>
      <c r="E1829" s="84">
        <v>0</v>
      </c>
      <c r="F1829" s="84">
        <v>0</v>
      </c>
      <c r="G1829" s="84" t="s">
        <v>2812</v>
      </c>
      <c r="H1829" s="84">
        <v>0</v>
      </c>
      <c r="I1829" s="84">
        <v>0</v>
      </c>
      <c r="J1829" s="84" t="s">
        <v>2805</v>
      </c>
    </row>
    <row r="1830" spans="1:10" ht="12.75" customHeight="1">
      <c r="A1830" s="89"/>
      <c r="B1830" s="83" t="s">
        <v>2813</v>
      </c>
      <c r="C1830" s="84" t="s">
        <v>2805</v>
      </c>
      <c r="D1830" s="84">
        <v>11</v>
      </c>
      <c r="E1830" s="84">
        <v>0</v>
      </c>
      <c r="F1830" s="84" t="s">
        <v>2812</v>
      </c>
      <c r="G1830" s="84">
        <v>1</v>
      </c>
      <c r="H1830" s="84" t="s">
        <v>2812</v>
      </c>
      <c r="I1830" s="84">
        <v>0</v>
      </c>
      <c r="J1830" s="84" t="s">
        <v>2805</v>
      </c>
    </row>
    <row r="1831" spans="1:10" ht="12.75" customHeight="1">
      <c r="A1831" s="89"/>
      <c r="B1831" s="83" t="s">
        <v>2814</v>
      </c>
      <c r="C1831" s="84" t="s">
        <v>2805</v>
      </c>
      <c r="D1831" s="84" t="s">
        <v>2812</v>
      </c>
      <c r="E1831" s="84" t="s">
        <v>2805</v>
      </c>
      <c r="F1831" s="84" t="s">
        <v>2805</v>
      </c>
      <c r="G1831" s="84" t="s">
        <v>2805</v>
      </c>
      <c r="H1831" s="84" t="s">
        <v>2805</v>
      </c>
      <c r="I1831" s="84" t="s">
        <v>2805</v>
      </c>
      <c r="J1831" s="84" t="s">
        <v>2805</v>
      </c>
    </row>
    <row r="1832" spans="1:10" ht="12.75" customHeight="1">
      <c r="A1832" s="89"/>
      <c r="B1832" s="83" t="s">
        <v>2815</v>
      </c>
      <c r="C1832" s="84" t="s">
        <v>2805</v>
      </c>
      <c r="D1832" s="84" t="s">
        <v>2826</v>
      </c>
      <c r="E1832" s="84">
        <v>0</v>
      </c>
      <c r="F1832" s="84">
        <v>0</v>
      </c>
      <c r="G1832" s="84" t="s">
        <v>2826</v>
      </c>
      <c r="H1832" s="84">
        <v>0</v>
      </c>
      <c r="I1832" s="84">
        <v>0</v>
      </c>
      <c r="J1832" s="84" t="s">
        <v>2805</v>
      </c>
    </row>
    <row r="1833" spans="1:10" ht="12.75" customHeight="1">
      <c r="A1833" s="89"/>
      <c r="B1833" s="81" t="s">
        <v>2816</v>
      </c>
      <c r="C1833" s="84" t="s">
        <v>2805</v>
      </c>
      <c r="D1833" s="84">
        <v>16</v>
      </c>
      <c r="E1833" s="84">
        <v>0</v>
      </c>
      <c r="F1833" s="84" t="s">
        <v>2812</v>
      </c>
      <c r="G1833" s="84">
        <v>10</v>
      </c>
      <c r="H1833" s="84">
        <v>1</v>
      </c>
      <c r="I1833" s="84">
        <v>0</v>
      </c>
      <c r="J1833" s="84" t="s">
        <v>2805</v>
      </c>
    </row>
    <row r="1834" spans="1:10" ht="12.75" customHeight="1">
      <c r="A1834" s="89"/>
      <c r="B1834" s="83" t="s">
        <v>2817</v>
      </c>
      <c r="C1834" s="84" t="s">
        <v>2805</v>
      </c>
      <c r="D1834" s="84">
        <v>8</v>
      </c>
      <c r="E1834" s="84">
        <v>0</v>
      </c>
      <c r="F1834" s="84" t="s">
        <v>2812</v>
      </c>
      <c r="G1834" s="84">
        <v>8</v>
      </c>
      <c r="H1834" s="84" t="s">
        <v>2812</v>
      </c>
      <c r="I1834" s="84">
        <v>0</v>
      </c>
      <c r="J1834" s="84" t="s">
        <v>2805</v>
      </c>
    </row>
    <row r="1835" spans="1:10" ht="12.75" customHeight="1">
      <c r="A1835" s="89"/>
      <c r="B1835" s="83" t="s">
        <v>2818</v>
      </c>
      <c r="C1835" s="84" t="s">
        <v>2805</v>
      </c>
      <c r="D1835" s="84">
        <v>4</v>
      </c>
      <c r="E1835" s="84" t="s">
        <v>2805</v>
      </c>
      <c r="F1835" s="84" t="s">
        <v>2805</v>
      </c>
      <c r="G1835" s="84" t="s">
        <v>2805</v>
      </c>
      <c r="H1835" s="84" t="s">
        <v>2805</v>
      </c>
      <c r="I1835" s="84" t="s">
        <v>2805</v>
      </c>
      <c r="J1835" s="84" t="s">
        <v>2805</v>
      </c>
    </row>
    <row r="1836" spans="1:10" ht="12.75" customHeight="1">
      <c r="A1836" s="89"/>
      <c r="B1836" s="83" t="s">
        <v>2819</v>
      </c>
      <c r="C1836" s="84" t="s">
        <v>2805</v>
      </c>
      <c r="D1836" s="84">
        <v>1</v>
      </c>
      <c r="E1836" s="84">
        <v>0</v>
      </c>
      <c r="F1836" s="84" t="s">
        <v>2812</v>
      </c>
      <c r="G1836" s="84" t="s">
        <v>2812</v>
      </c>
      <c r="H1836" s="84" t="s">
        <v>2812</v>
      </c>
      <c r="I1836" s="84">
        <v>0</v>
      </c>
      <c r="J1836" s="84" t="s">
        <v>2805</v>
      </c>
    </row>
    <row r="1837" spans="1:10" ht="12.75" customHeight="1">
      <c r="A1837" s="89"/>
      <c r="B1837" s="83" t="s">
        <v>2820</v>
      </c>
      <c r="C1837" s="84" t="s">
        <v>2805</v>
      </c>
      <c r="D1837" s="84" t="s">
        <v>2812</v>
      </c>
      <c r="E1837" s="84" t="s">
        <v>2805</v>
      </c>
      <c r="F1837" s="84" t="s">
        <v>2812</v>
      </c>
      <c r="G1837" s="84" t="s">
        <v>2812</v>
      </c>
      <c r="H1837" s="84" t="s">
        <v>2812</v>
      </c>
      <c r="I1837" s="84" t="s">
        <v>2805</v>
      </c>
      <c r="J1837" s="84" t="s">
        <v>2805</v>
      </c>
    </row>
    <row r="1838" spans="1:10" ht="12.75" customHeight="1">
      <c r="A1838" s="89"/>
      <c r="B1838" s="83" t="s">
        <v>2821</v>
      </c>
      <c r="C1838" s="84" t="s">
        <v>2805</v>
      </c>
      <c r="D1838" s="84" t="s">
        <v>2805</v>
      </c>
      <c r="E1838" s="84">
        <v>0</v>
      </c>
      <c r="F1838" s="84" t="s">
        <v>2812</v>
      </c>
      <c r="G1838" s="84" t="s">
        <v>2812</v>
      </c>
      <c r="H1838" s="84">
        <v>0</v>
      </c>
      <c r="I1838" s="84">
        <v>0</v>
      </c>
      <c r="J1838" s="84" t="s">
        <v>2805</v>
      </c>
    </row>
    <row r="1839" spans="1:10" ht="12.75" customHeight="1">
      <c r="A1839" s="89"/>
      <c r="B1839" s="83" t="s">
        <v>2822</v>
      </c>
      <c r="C1839" s="84" t="s">
        <v>2805</v>
      </c>
      <c r="D1839" s="84" t="s">
        <v>2826</v>
      </c>
      <c r="E1839" s="84">
        <v>0</v>
      </c>
      <c r="F1839" s="84" t="s">
        <v>2812</v>
      </c>
      <c r="G1839" s="84" t="s">
        <v>2826</v>
      </c>
      <c r="H1839" s="84" t="s">
        <v>2812</v>
      </c>
      <c r="I1839" s="84">
        <v>0</v>
      </c>
      <c r="J1839" s="84" t="s">
        <v>2805</v>
      </c>
    </row>
    <row r="1840" spans="1:10" ht="12.75" customHeight="1" thickBot="1">
      <c r="A1840" s="89"/>
      <c r="B1840" s="81" t="s">
        <v>2823</v>
      </c>
      <c r="C1840" s="84">
        <v>1</v>
      </c>
      <c r="D1840" s="84" t="s">
        <v>2812</v>
      </c>
      <c r="E1840" s="84">
        <v>0</v>
      </c>
      <c r="F1840" s="84">
        <v>0</v>
      </c>
      <c r="G1840" s="84" t="s">
        <v>2812</v>
      </c>
      <c r="H1840" s="84" t="s">
        <v>2812</v>
      </c>
      <c r="I1840" s="84">
        <v>0</v>
      </c>
      <c r="J1840" s="84">
        <v>1</v>
      </c>
    </row>
    <row r="1841" spans="1:12" s="93" customFormat="1" ht="12" customHeight="1">
      <c r="A1841" s="1255"/>
      <c r="B1841" s="1255"/>
      <c r="C1841" s="1255"/>
      <c r="D1841" s="1255"/>
      <c r="E1841" s="1255"/>
      <c r="F1841" s="1255"/>
      <c r="G1841" s="1255"/>
      <c r="H1841" s="1255"/>
      <c r="I1841" s="1255"/>
      <c r="J1841" s="1255"/>
      <c r="K1841" s="91"/>
      <c r="L1841" s="92"/>
    </row>
    <row r="1842" spans="1:12" ht="12" customHeight="1">
      <c r="A1842" s="1159"/>
      <c r="B1842" s="1159"/>
      <c r="C1842" s="1159"/>
      <c r="D1842" s="1159"/>
      <c r="E1842" s="1159"/>
      <c r="F1842" s="1159"/>
      <c r="G1842" s="1159"/>
      <c r="H1842" s="1159"/>
      <c r="I1842" s="1159"/>
      <c r="J1842" s="1159"/>
      <c r="K1842" s="94"/>
      <c r="L1842" s="95"/>
    </row>
    <row r="1843" spans="1:12" ht="12" customHeight="1">
      <c r="A1843" s="1159"/>
      <c r="B1843" s="1159"/>
      <c r="C1843" s="1159"/>
      <c r="D1843" s="1159"/>
      <c r="E1843" s="1159"/>
      <c r="F1843" s="1159"/>
      <c r="G1843" s="1159"/>
      <c r="H1843" s="1159"/>
      <c r="I1843" s="1159"/>
      <c r="J1843" s="1159"/>
      <c r="K1843" s="94"/>
      <c r="L1843" s="95"/>
    </row>
    <row r="1844" spans="1:12" ht="12" customHeight="1">
      <c r="A1844" s="1158"/>
      <c r="B1844" s="1158"/>
      <c r="C1844" s="1158"/>
      <c r="D1844" s="1158"/>
      <c r="E1844" s="1158"/>
      <c r="F1844" s="1158"/>
      <c r="G1844" s="1158"/>
      <c r="H1844" s="1158"/>
      <c r="I1844" s="1158"/>
      <c r="J1844" s="1158"/>
      <c r="K1844" s="96"/>
      <c r="L1844" s="95"/>
    </row>
    <row r="1845" spans="1:12" ht="12" customHeight="1">
      <c r="A1845" s="1158"/>
      <c r="B1845" s="1158"/>
      <c r="C1845" s="1158"/>
      <c r="D1845" s="1158"/>
      <c r="E1845" s="1158"/>
      <c r="F1845" s="1158"/>
      <c r="G1845" s="1158"/>
      <c r="H1845" s="1158"/>
      <c r="I1845" s="1158"/>
      <c r="J1845" s="1158"/>
      <c r="K1845" s="96"/>
      <c r="L1845" s="95"/>
    </row>
    <row r="1846" spans="1:12" ht="12" customHeight="1">
      <c r="A1846" s="1158"/>
      <c r="B1846" s="1158"/>
      <c r="C1846" s="1158"/>
      <c r="D1846" s="1158"/>
      <c r="E1846" s="1158"/>
      <c r="F1846" s="1158"/>
      <c r="G1846" s="1158"/>
      <c r="H1846" s="1158"/>
      <c r="I1846" s="1158"/>
      <c r="J1846" s="1158"/>
      <c r="K1846" s="96"/>
      <c r="L1846" s="95"/>
    </row>
    <row r="1847" spans="1:12" ht="12" customHeight="1">
      <c r="A1847" s="1158"/>
      <c r="B1847" s="1158"/>
      <c r="C1847" s="1158"/>
      <c r="D1847" s="1158"/>
      <c r="E1847" s="1158"/>
      <c r="F1847" s="1158"/>
      <c r="G1847" s="1158"/>
      <c r="H1847" s="1158"/>
      <c r="I1847" s="1158"/>
      <c r="J1847" s="1158"/>
      <c r="K1847" s="96"/>
      <c r="L1847" s="95"/>
    </row>
    <row r="1848" spans="1:12" ht="12" customHeight="1">
      <c r="A1848" s="1157"/>
      <c r="B1848" s="1157"/>
      <c r="C1848" s="1157"/>
      <c r="D1848" s="1157"/>
      <c r="E1848" s="1157"/>
      <c r="F1848" s="1157"/>
      <c r="G1848" s="1157"/>
      <c r="H1848" s="1157"/>
      <c r="I1848" s="1157"/>
      <c r="J1848" s="1157"/>
      <c r="K1848" s="95"/>
      <c r="L1848" s="95"/>
    </row>
    <row r="1849" spans="1:12" ht="12" customHeight="1">
      <c r="A1849" s="1157"/>
      <c r="B1849" s="1157"/>
      <c r="C1849" s="1157"/>
      <c r="D1849" s="1157"/>
      <c r="E1849" s="1157"/>
      <c r="F1849" s="1157"/>
      <c r="G1849" s="1157"/>
      <c r="H1849" s="1157"/>
      <c r="I1849" s="1157"/>
      <c r="J1849" s="1157"/>
      <c r="K1849" s="95"/>
      <c r="L1849" s="95"/>
    </row>
    <row r="1850" spans="1:12" ht="12" customHeight="1">
      <c r="A1850" s="1158"/>
      <c r="B1850" s="1158"/>
      <c r="C1850" s="1158"/>
      <c r="D1850" s="1158"/>
      <c r="E1850" s="1158"/>
      <c r="F1850" s="1158"/>
      <c r="G1850" s="1158"/>
      <c r="H1850" s="1158"/>
      <c r="I1850" s="1158"/>
      <c r="J1850" s="1158"/>
      <c r="K1850" s="96"/>
      <c r="L1850" s="95"/>
    </row>
    <row r="1851" spans="1:12" ht="12" customHeight="1">
      <c r="A1851" s="1158"/>
      <c r="B1851" s="1158"/>
      <c r="C1851" s="1158"/>
      <c r="D1851" s="1158"/>
      <c r="E1851" s="1158"/>
      <c r="F1851" s="1158"/>
      <c r="G1851" s="1158"/>
      <c r="H1851" s="1158"/>
      <c r="I1851" s="1158"/>
      <c r="J1851" s="1158"/>
      <c r="K1851" s="96"/>
      <c r="L1851" s="95"/>
    </row>
    <row r="1852" spans="1:12" ht="12" customHeight="1">
      <c r="A1852" s="1158"/>
      <c r="B1852" s="1158"/>
      <c r="C1852" s="1158"/>
      <c r="D1852" s="1158"/>
      <c r="E1852" s="1158"/>
      <c r="F1852" s="1158"/>
      <c r="G1852" s="1158"/>
      <c r="H1852" s="1158"/>
      <c r="I1852" s="1158"/>
      <c r="J1852" s="1158"/>
      <c r="K1852" s="96"/>
      <c r="L1852" s="95"/>
    </row>
    <row r="1853" spans="1:12" ht="12" customHeight="1">
      <c r="A1853" s="1158"/>
      <c r="B1853" s="1158"/>
      <c r="C1853" s="1158"/>
      <c r="D1853" s="1158"/>
      <c r="E1853" s="1158"/>
      <c r="F1853" s="1158"/>
      <c r="G1853" s="1158"/>
      <c r="H1853" s="1158"/>
      <c r="I1853" s="1158"/>
      <c r="J1853" s="1158"/>
      <c r="K1853" s="96"/>
      <c r="L1853" s="95"/>
    </row>
    <row r="1854" spans="1:12" ht="12" customHeight="1">
      <c r="A1854" s="1158"/>
      <c r="B1854" s="1158"/>
      <c r="C1854" s="1158"/>
      <c r="D1854" s="1158"/>
      <c r="E1854" s="1158"/>
      <c r="F1854" s="1158"/>
      <c r="G1854" s="1158"/>
      <c r="H1854" s="1158"/>
      <c r="I1854" s="1158"/>
      <c r="J1854" s="1158"/>
      <c r="K1854" s="96"/>
      <c r="L1854" s="95"/>
    </row>
    <row r="1855" spans="1:12" ht="12" customHeight="1">
      <c r="A1855" s="1158"/>
      <c r="B1855" s="1158"/>
      <c r="C1855" s="1158"/>
      <c r="D1855" s="1158"/>
      <c r="E1855" s="1158"/>
      <c r="F1855" s="1158"/>
      <c r="G1855" s="1158"/>
      <c r="H1855" s="1158"/>
      <c r="I1855" s="1158"/>
      <c r="J1855" s="1158"/>
      <c r="K1855" s="96"/>
      <c r="L1855" s="95"/>
    </row>
    <row r="1856" spans="1:12" ht="12" customHeight="1">
      <c r="A1856" s="1157"/>
      <c r="B1856" s="1157"/>
      <c r="C1856" s="1157"/>
      <c r="D1856" s="1157"/>
      <c r="E1856" s="1157"/>
      <c r="F1856" s="1157"/>
      <c r="G1856" s="1157"/>
      <c r="H1856" s="1157"/>
      <c r="I1856" s="1157"/>
      <c r="J1856" s="1157"/>
      <c r="K1856" s="95"/>
      <c r="L1856" s="95"/>
    </row>
    <row r="1857" spans="1:12" ht="12" customHeight="1">
      <c r="A1857" s="1157"/>
      <c r="B1857" s="1157"/>
      <c r="C1857" s="1157"/>
      <c r="D1857" s="1157"/>
      <c r="E1857" s="1157"/>
      <c r="F1857" s="1157"/>
      <c r="G1857" s="1157"/>
      <c r="H1857" s="1157"/>
      <c r="I1857" s="1157"/>
      <c r="J1857" s="1157"/>
      <c r="K1857" s="95"/>
      <c r="L1857" s="95"/>
    </row>
    <row r="1858" spans="1:12" ht="12" customHeight="1">
      <c r="A1858" s="1157"/>
      <c r="B1858" s="1157"/>
      <c r="C1858" s="1157"/>
      <c r="D1858" s="1157"/>
      <c r="E1858" s="1157"/>
      <c r="F1858" s="1157"/>
      <c r="G1858" s="1157"/>
      <c r="H1858" s="1157"/>
      <c r="I1858" s="1157"/>
      <c r="J1858" s="1157"/>
      <c r="K1858" s="95"/>
      <c r="L1858" s="95"/>
    </row>
    <row r="1859" spans="1:12" ht="12" customHeight="1">
      <c r="A1859" s="1157"/>
      <c r="B1859" s="1157"/>
      <c r="C1859" s="1157"/>
      <c r="D1859" s="1157"/>
      <c r="E1859" s="1157"/>
      <c r="F1859" s="1157"/>
      <c r="G1859" s="1157"/>
      <c r="H1859" s="1157"/>
      <c r="I1859" s="1157"/>
      <c r="J1859" s="1157"/>
      <c r="K1859" s="95"/>
      <c r="L1859" s="95"/>
    </row>
    <row r="1860" spans="1:12" ht="12" customHeight="1">
      <c r="A1860" s="1158"/>
      <c r="B1860" s="1158"/>
      <c r="C1860" s="1158"/>
      <c r="D1860" s="1158"/>
      <c r="E1860" s="1158"/>
      <c r="F1860" s="1158"/>
      <c r="G1860" s="1158"/>
      <c r="H1860" s="1158"/>
      <c r="I1860" s="1158"/>
      <c r="J1860" s="1158"/>
      <c r="K1860" s="96"/>
      <c r="L1860" s="95"/>
    </row>
    <row r="1861" spans="1:12" ht="12" customHeight="1">
      <c r="A1861" s="1157"/>
      <c r="B1861" s="1157"/>
      <c r="C1861" s="1157"/>
      <c r="D1861" s="1157"/>
      <c r="E1861" s="1157"/>
      <c r="F1861" s="1157"/>
      <c r="G1861" s="1157"/>
      <c r="H1861" s="1157"/>
      <c r="I1861" s="1157"/>
      <c r="J1861" s="1157"/>
      <c r="K1861" s="95"/>
    </row>
    <row r="1862" spans="1:12" ht="12" customHeight="1">
      <c r="A1862" s="97"/>
      <c r="B1862" s="95"/>
      <c r="C1862" s="95"/>
      <c r="D1862" s="95"/>
      <c r="E1862" s="95"/>
      <c r="F1862" s="95"/>
      <c r="G1862" s="95"/>
      <c r="H1862" s="95"/>
      <c r="I1862" s="95"/>
      <c r="J1862" s="95"/>
      <c r="K1862" s="95"/>
    </row>
    <row r="1863" spans="1:12" ht="12" customHeight="1">
      <c r="A1863" s="97"/>
      <c r="B1863" s="95"/>
      <c r="C1863" s="95"/>
      <c r="D1863" s="95"/>
      <c r="E1863" s="95"/>
      <c r="F1863" s="95"/>
      <c r="G1863" s="95"/>
      <c r="H1863" s="95"/>
      <c r="I1863" s="95"/>
      <c r="J1863" s="95"/>
      <c r="K1863" s="95"/>
    </row>
    <row r="1864" spans="1:12" ht="12" customHeight="1">
      <c r="A1864" s="97"/>
      <c r="B1864" s="95"/>
      <c r="C1864" s="95"/>
      <c r="D1864" s="95"/>
      <c r="E1864" s="95"/>
      <c r="F1864" s="95"/>
      <c r="G1864" s="95"/>
      <c r="H1864" s="95"/>
      <c r="I1864" s="95"/>
      <c r="J1864" s="95"/>
      <c r="K1864" s="95"/>
    </row>
    <row r="1865" spans="1:12" ht="12" customHeight="1">
      <c r="A1865" s="97"/>
      <c r="B1865" s="95"/>
      <c r="C1865" s="95"/>
      <c r="D1865" s="95"/>
      <c r="E1865" s="95"/>
      <c r="F1865" s="95"/>
      <c r="G1865" s="95"/>
      <c r="H1865" s="95"/>
      <c r="I1865" s="95"/>
      <c r="J1865" s="95"/>
      <c r="K1865" s="95"/>
    </row>
    <row r="1866" spans="1:12" ht="12" customHeight="1">
      <c r="A1866" s="97"/>
    </row>
    <row r="1867" spans="1:12" ht="12" customHeight="1">
      <c r="A1867" s="97"/>
    </row>
    <row r="1868" spans="1:12" ht="12" customHeight="1"/>
    <row r="1869" spans="1:12" ht="12" customHeight="1"/>
    <row r="1870" spans="1:12" ht="12" customHeight="1"/>
    <row r="1871" spans="1:12" ht="12" customHeight="1"/>
    <row r="1872" spans="1:12" ht="12" customHeight="1"/>
    <row r="1873" ht="12" customHeight="1"/>
    <row r="1874" ht="12" customHeight="1"/>
    <row r="1875" ht="12" customHeight="1"/>
    <row r="1876" ht="12" customHeight="1"/>
    <row r="1877" ht="12" customHeight="1"/>
    <row r="1878" ht="12" customHeight="1"/>
    <row r="1879" ht="12" customHeight="1"/>
    <row r="1880" ht="12" customHeight="1"/>
  </sheetData>
  <mergeCells count="21">
    <mergeCell ref="A1852:J1852"/>
    <mergeCell ref="A1841:J1841"/>
    <mergeCell ref="A1842:J1842"/>
    <mergeCell ref="A1843:J1843"/>
    <mergeCell ref="A1844:J1844"/>
    <mergeCell ref="A1845:J1845"/>
    <mergeCell ref="A1846:J1846"/>
    <mergeCell ref="A1847:J1847"/>
    <mergeCell ref="A1848:J1848"/>
    <mergeCell ref="A1849:J1849"/>
    <mergeCell ref="A1850:J1850"/>
    <mergeCell ref="A1851:J1851"/>
    <mergeCell ref="A1859:J1859"/>
    <mergeCell ref="A1860:J1860"/>
    <mergeCell ref="A1861:J1861"/>
    <mergeCell ref="A1853:J1853"/>
    <mergeCell ref="A1854:J1854"/>
    <mergeCell ref="A1855:J1855"/>
    <mergeCell ref="A1856:J1856"/>
    <mergeCell ref="A1857:J1857"/>
    <mergeCell ref="A1858:J1858"/>
  </mergeCells>
  <pageMargins left="0" right="0" top="0.75" bottom="0.75" header="0.3" footer="0.3"/>
  <pageSetup scale="95" fitToHeight="0" orientation="landscape" r:id="rId1"/>
  <headerFooter>
    <oddFooter>&amp;R_x000D_&amp;1#&amp;"Aptos"&amp;10&amp;K000000 Official Use Only</oddFooter>
  </headerFooter>
  <drawing r:id="rId2"/>
  <legacyDrawing r:id="rId3"/>
  <oleObjects>
    <mc:AlternateContent xmlns:mc="http://schemas.openxmlformats.org/markup-compatibility/2006">
      <mc:Choice Requires="x14">
        <oleObject progId="Word.Document.12" shapeId="7169" r:id="rId4">
          <objectPr defaultSize="0" autoPict="0" r:id="rId5">
            <anchor moveWithCells="1">
              <from>
                <xdr:col>0</xdr:col>
                <xdr:colOff>0</xdr:colOff>
                <xdr:row>1841</xdr:row>
                <xdr:rowOff>0</xdr:rowOff>
              </from>
              <to>
                <xdr:col>9</xdr:col>
                <xdr:colOff>276225</xdr:colOff>
                <xdr:row>1868</xdr:row>
                <xdr:rowOff>57150</xdr:rowOff>
              </to>
            </anchor>
          </objectPr>
        </oleObject>
      </mc:Choice>
      <mc:Fallback>
        <oleObject progId="Word.Document.12" shapeId="716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66F5-4306-437C-BD2E-934168BDA5ED}">
  <sheetPr>
    <tabColor theme="3" tint="0.749992370372631"/>
  </sheetPr>
  <dimension ref="A1:T143"/>
  <sheetViews>
    <sheetView zoomScale="145" zoomScaleNormal="145" workbookViewId="0"/>
  </sheetViews>
  <sheetFormatPr defaultRowHeight="15"/>
  <cols>
    <col min="1" max="1" width="28" customWidth="1"/>
  </cols>
  <sheetData>
    <row r="1" spans="1:20">
      <c r="A1" s="106" t="s">
        <v>180</v>
      </c>
      <c r="B1" s="107"/>
      <c r="C1" s="107"/>
      <c r="D1" s="107"/>
      <c r="E1" s="107"/>
      <c r="F1" s="107"/>
      <c r="G1" s="107"/>
      <c r="H1" s="107"/>
      <c r="I1" s="107"/>
      <c r="J1" s="107"/>
      <c r="K1" s="107"/>
      <c r="L1" s="107"/>
      <c r="M1" s="107"/>
      <c r="N1" s="107"/>
      <c r="O1" s="107"/>
      <c r="P1" s="107"/>
      <c r="Q1" s="107"/>
      <c r="R1" s="107"/>
      <c r="S1" s="107"/>
      <c r="T1" s="107"/>
    </row>
    <row r="2" spans="1:20">
      <c r="B2" s="30" t="s">
        <v>181</v>
      </c>
      <c r="C2" s="23" t="s">
        <v>182</v>
      </c>
      <c r="D2" s="98" t="s">
        <v>116</v>
      </c>
    </row>
    <row r="3" spans="1:20">
      <c r="A3" t="s">
        <v>51</v>
      </c>
      <c r="B3" s="27">
        <f>Calculations!M14</f>
        <v>21322.634818288392</v>
      </c>
      <c r="C3" s="27">
        <f>B3</f>
        <v>21322.634818288392</v>
      </c>
      <c r="D3" s="49" t="s">
        <v>183</v>
      </c>
      <c r="F3" s="23" t="s">
        <v>184</v>
      </c>
    </row>
    <row r="4" spans="1:20">
      <c r="A4" t="s">
        <v>52</v>
      </c>
      <c r="B4" s="27">
        <f>Calculations!M52</f>
        <v>16760.016811521979</v>
      </c>
      <c r="C4" s="27">
        <f>B4-B3</f>
        <v>-4562.6180067664136</v>
      </c>
      <c r="D4" s="49" t="s">
        <v>183</v>
      </c>
      <c r="F4" s="1025">
        <f>(B5/B3)-1</f>
        <v>-0.48712196861626234</v>
      </c>
    </row>
    <row r="5" spans="1:20">
      <c r="A5" t="s">
        <v>185</v>
      </c>
      <c r="B5" s="27">
        <f>Calculations!M52*(1-Calculations!H73)</f>
        <v>10935.91096951809</v>
      </c>
      <c r="C5" s="27">
        <f t="shared" ref="C5:C10" si="0">B5-B4</f>
        <v>-5824.105842003888</v>
      </c>
      <c r="D5" s="49" t="s">
        <v>183</v>
      </c>
    </row>
    <row r="6" spans="1:20">
      <c r="A6" t="s">
        <v>131</v>
      </c>
      <c r="B6" s="27">
        <f>Calculations!M92</f>
        <v>8825.4720104882817</v>
      </c>
      <c r="C6" s="27">
        <f t="shared" si="0"/>
        <v>-2110.4389590298088</v>
      </c>
      <c r="D6" s="49" t="s">
        <v>183</v>
      </c>
    </row>
    <row r="7" spans="1:20">
      <c r="A7" t="s">
        <v>54</v>
      </c>
      <c r="B7" s="27">
        <f>Calculations!M199</f>
        <v>5268.0891643499899</v>
      </c>
      <c r="C7" s="27">
        <f t="shared" si="0"/>
        <v>-3557.3828461382918</v>
      </c>
      <c r="D7" s="49" t="s">
        <v>183</v>
      </c>
    </row>
    <row r="8" spans="1:20">
      <c r="A8" t="s">
        <v>55</v>
      </c>
      <c r="B8" s="27">
        <f>Calculations!M219</f>
        <v>4906.293364636942</v>
      </c>
      <c r="C8" s="27">
        <f t="shared" si="0"/>
        <v>-361.79579971304793</v>
      </c>
      <c r="D8" s="49" t="s">
        <v>183</v>
      </c>
    </row>
    <row r="9" spans="1:20">
      <c r="A9" t="s">
        <v>56</v>
      </c>
      <c r="B9" s="27">
        <f>Calculations!M258</f>
        <v>5216.82469277367</v>
      </c>
      <c r="C9" s="27">
        <f t="shared" si="0"/>
        <v>310.53132813672801</v>
      </c>
      <c r="D9" s="49" t="s">
        <v>183</v>
      </c>
    </row>
    <row r="10" spans="1:20">
      <c r="A10" t="s">
        <v>57</v>
      </c>
      <c r="B10" s="27">
        <f>Calculations!M297</f>
        <v>5475.4935570732223</v>
      </c>
      <c r="C10" s="27">
        <f t="shared" si="0"/>
        <v>258.6688642995523</v>
      </c>
      <c r="D10" s="49" t="s">
        <v>183</v>
      </c>
    </row>
    <row r="44" spans="1:6">
      <c r="A44" s="502" t="s">
        <v>186</v>
      </c>
    </row>
    <row r="45" spans="1:6">
      <c r="A45" s="52" t="s">
        <v>187</v>
      </c>
    </row>
    <row r="46" spans="1:6">
      <c r="B46" t="s">
        <v>181</v>
      </c>
      <c r="C46" t="s">
        <v>182</v>
      </c>
      <c r="D46" t="s">
        <v>116</v>
      </c>
    </row>
    <row r="47" spans="1:6">
      <c r="A47" t="s">
        <v>51</v>
      </c>
      <c r="B47" s="27">
        <v>21322.634818288392</v>
      </c>
      <c r="C47" s="27">
        <v>21322.634818288392</v>
      </c>
      <c r="D47" t="s">
        <v>183</v>
      </c>
      <c r="F47" s="23" t="s">
        <v>184</v>
      </c>
    </row>
    <row r="48" spans="1:6">
      <c r="A48" t="s">
        <v>52</v>
      </c>
      <c r="B48" s="27">
        <v>16760.016811521979</v>
      </c>
      <c r="C48" s="27">
        <v>-4562.6180067664136</v>
      </c>
      <c r="D48" t="s">
        <v>183</v>
      </c>
      <c r="E48" s="1026"/>
      <c r="F48" s="1025">
        <f>(B49/B47)-1</f>
        <v>-0.48712196861626234</v>
      </c>
    </row>
    <row r="49" spans="1:4">
      <c r="A49" t="s">
        <v>185</v>
      </c>
      <c r="B49" s="27">
        <v>10935.91096951809</v>
      </c>
      <c r="C49" s="27">
        <v>-5824.105842003888</v>
      </c>
      <c r="D49" t="s">
        <v>183</v>
      </c>
    </row>
    <row r="50" spans="1:4">
      <c r="A50" t="s">
        <v>131</v>
      </c>
      <c r="B50" s="27">
        <v>8825.4720104882817</v>
      </c>
      <c r="C50" s="27">
        <v>-2110.4389590298088</v>
      </c>
      <c r="D50" t="s">
        <v>183</v>
      </c>
    </row>
    <row r="51" spans="1:4">
      <c r="A51" t="s">
        <v>54</v>
      </c>
      <c r="B51" s="27">
        <v>5268.0891643499899</v>
      </c>
      <c r="C51" s="27">
        <v>-3557.3828461382918</v>
      </c>
      <c r="D51" t="s">
        <v>183</v>
      </c>
    </row>
    <row r="52" spans="1:4">
      <c r="A52" t="s">
        <v>55</v>
      </c>
      <c r="B52" s="27">
        <v>4906.293364636942</v>
      </c>
      <c r="C52" s="27">
        <v>-361.79579971304793</v>
      </c>
      <c r="D52" t="s">
        <v>183</v>
      </c>
    </row>
    <row r="53" spans="1:4">
      <c r="A53" t="s">
        <v>56</v>
      </c>
      <c r="B53" s="27">
        <v>5216.82469277367</v>
      </c>
      <c r="C53" s="27">
        <v>310.53132813672801</v>
      </c>
      <c r="D53" t="s">
        <v>183</v>
      </c>
    </row>
    <row r="54" spans="1:4">
      <c r="A54" t="s">
        <v>57</v>
      </c>
      <c r="B54" s="27">
        <v>5567.8752943230629</v>
      </c>
      <c r="C54" s="27">
        <v>351.05060154939292</v>
      </c>
      <c r="D54" t="s">
        <v>183</v>
      </c>
    </row>
    <row r="89" spans="1:20">
      <c r="A89" s="106" t="s">
        <v>188</v>
      </c>
      <c r="B89" s="107"/>
      <c r="C89" s="107"/>
      <c r="D89" s="107"/>
      <c r="E89" s="107"/>
      <c r="F89" s="107"/>
      <c r="G89" s="107"/>
      <c r="H89" s="107"/>
      <c r="I89" s="107"/>
      <c r="J89" s="107"/>
      <c r="K89" s="107"/>
      <c r="L89" s="107"/>
      <c r="M89" s="107"/>
      <c r="N89" s="107"/>
      <c r="O89" s="107"/>
      <c r="P89" s="107"/>
      <c r="Q89" s="107"/>
      <c r="R89" s="107"/>
      <c r="S89" s="107"/>
      <c r="T89" s="107"/>
    </row>
    <row r="90" spans="1:20">
      <c r="B90" s="30" t="s">
        <v>181</v>
      </c>
      <c r="C90" s="23" t="s">
        <v>182</v>
      </c>
      <c r="D90" s="98" t="s">
        <v>116</v>
      </c>
    </row>
    <row r="91" spans="1:20">
      <c r="A91" t="s">
        <v>51</v>
      </c>
      <c r="B91" s="27">
        <f>Calculations!M13</f>
        <v>9054.9736225087927</v>
      </c>
      <c r="C91" s="27">
        <f>B91</f>
        <v>9054.9736225087927</v>
      </c>
      <c r="D91" s="49" t="s">
        <v>183</v>
      </c>
      <c r="F91" s="23" t="s">
        <v>184</v>
      </c>
    </row>
    <row r="92" spans="1:20">
      <c r="A92" t="s">
        <v>52</v>
      </c>
      <c r="B92" s="27">
        <f>Calculations!M51</f>
        <v>6395.7342807903206</v>
      </c>
      <c r="C92" s="27">
        <f>B92-B91</f>
        <v>-2659.2393417184721</v>
      </c>
      <c r="D92" s="49" t="s">
        <v>183</v>
      </c>
      <c r="F92" s="1025">
        <f>(B93/B91)-1</f>
        <v>-0.58680116472545762</v>
      </c>
    </row>
    <row r="93" spans="1:20">
      <c r="A93" t="s">
        <v>185</v>
      </c>
      <c r="B93" s="27">
        <f>Calculations!M51*(1-Calculations!H72)</f>
        <v>3741.5045542623375</v>
      </c>
      <c r="C93" s="27">
        <f t="shared" ref="C93:C98" si="1">B93-B92</f>
        <v>-2654.2297265279831</v>
      </c>
      <c r="D93" s="49" t="s">
        <v>183</v>
      </c>
    </row>
    <row r="94" spans="1:20">
      <c r="A94" t="s">
        <v>131</v>
      </c>
      <c r="B94" s="27">
        <f>Calculations!M91</f>
        <v>3198.9863938942981</v>
      </c>
      <c r="C94" s="27">
        <f t="shared" si="1"/>
        <v>-542.51816036803939</v>
      </c>
      <c r="D94" s="49" t="s">
        <v>183</v>
      </c>
    </row>
    <row r="95" spans="1:20">
      <c r="A95" t="s">
        <v>54</v>
      </c>
      <c r="B95" s="27">
        <f>Calculations!M198</f>
        <v>3048.9194095810831</v>
      </c>
      <c r="C95" s="27">
        <f t="shared" si="1"/>
        <v>-150.06698431321502</v>
      </c>
      <c r="D95" s="49" t="s">
        <v>183</v>
      </c>
    </row>
    <row r="96" spans="1:20">
      <c r="A96" t="s">
        <v>55</v>
      </c>
      <c r="B96" s="27">
        <f>Calculations!M218</f>
        <v>2759.122717272176</v>
      </c>
      <c r="C96" s="27">
        <f t="shared" si="1"/>
        <v>-289.79669230890704</v>
      </c>
      <c r="D96" s="49" t="s">
        <v>183</v>
      </c>
    </row>
    <row r="97" spans="1:4">
      <c r="A97" t="s">
        <v>56</v>
      </c>
      <c r="B97" s="27">
        <f>Calculations!M257</f>
        <v>3966.1955845730154</v>
      </c>
      <c r="C97" s="27">
        <f t="shared" si="1"/>
        <v>1207.0728673008393</v>
      </c>
      <c r="D97" s="49" t="s">
        <v>183</v>
      </c>
    </row>
    <row r="98" spans="1:4">
      <c r="A98" t="s">
        <v>57</v>
      </c>
      <c r="B98" s="27">
        <f>Calculations!M296</f>
        <v>4140.1407221526533</v>
      </c>
      <c r="C98" s="27">
        <f t="shared" si="1"/>
        <v>173.94513757963796</v>
      </c>
      <c r="D98" s="49" t="s">
        <v>183</v>
      </c>
    </row>
    <row r="133" spans="1:6">
      <c r="A133" s="502" t="s">
        <v>186</v>
      </c>
    </row>
    <row r="134" spans="1:6">
      <c r="A134" s="52" t="s">
        <v>187</v>
      </c>
    </row>
    <row r="135" spans="1:6">
      <c r="B135" t="s">
        <v>181</v>
      </c>
      <c r="C135" t="s">
        <v>182</v>
      </c>
      <c r="D135" t="s">
        <v>116</v>
      </c>
    </row>
    <row r="136" spans="1:6">
      <c r="A136" t="s">
        <v>51</v>
      </c>
      <c r="B136" s="27">
        <v>9054.9736225087927</v>
      </c>
      <c r="C136" s="27">
        <v>9054.9736225087927</v>
      </c>
      <c r="D136" t="s">
        <v>183</v>
      </c>
      <c r="F136" s="23" t="s">
        <v>184</v>
      </c>
    </row>
    <row r="137" spans="1:6">
      <c r="A137" t="s">
        <v>52</v>
      </c>
      <c r="B137" s="27">
        <v>6395.7342807903206</v>
      </c>
      <c r="C137" s="27">
        <v>-2659.2393417184721</v>
      </c>
      <c r="D137" t="s">
        <v>183</v>
      </c>
      <c r="E137" s="1026"/>
      <c r="F137" s="1025">
        <f>(B138/B136)-1</f>
        <v>-0.58680116472545762</v>
      </c>
    </row>
    <row r="138" spans="1:6">
      <c r="A138" t="s">
        <v>185</v>
      </c>
      <c r="B138" s="27">
        <v>3741.5045542623375</v>
      </c>
      <c r="C138" s="27">
        <v>-2654.2297265279831</v>
      </c>
      <c r="D138" t="s">
        <v>183</v>
      </c>
    </row>
    <row r="139" spans="1:6">
      <c r="A139" t="s">
        <v>131</v>
      </c>
      <c r="B139" s="27">
        <v>3198.9863938942981</v>
      </c>
      <c r="C139" s="27">
        <v>-542.51816036803939</v>
      </c>
      <c r="D139" t="s">
        <v>183</v>
      </c>
    </row>
    <row r="140" spans="1:6">
      <c r="A140" t="s">
        <v>54</v>
      </c>
      <c r="B140" s="27">
        <v>3048.9194095810831</v>
      </c>
      <c r="C140" s="27">
        <v>-150.06698431321502</v>
      </c>
      <c r="D140" t="s">
        <v>183</v>
      </c>
    </row>
    <row r="141" spans="1:6">
      <c r="A141" t="s">
        <v>55</v>
      </c>
      <c r="B141" s="27">
        <v>2759.122717272176</v>
      </c>
      <c r="C141" s="27">
        <v>-289.79669230890704</v>
      </c>
      <c r="D141" t="s">
        <v>183</v>
      </c>
    </row>
    <row r="142" spans="1:6">
      <c r="A142" t="s">
        <v>56</v>
      </c>
      <c r="B142" s="27">
        <v>3966.1955845730154</v>
      </c>
      <c r="C142" s="27">
        <v>1207.0728673008393</v>
      </c>
      <c r="D142" t="s">
        <v>183</v>
      </c>
    </row>
    <row r="143" spans="1:6">
      <c r="A143" t="s">
        <v>57</v>
      </c>
      <c r="B143" s="27">
        <v>4202.2639855739535</v>
      </c>
      <c r="C143" s="27">
        <v>236.06840100093814</v>
      </c>
      <c r="D143" t="s">
        <v>183</v>
      </c>
    </row>
  </sheetData>
  <pageMargins left="0.7" right="0.7" top="0.75" bottom="0.75" header="0.3" footer="0.3"/>
  <headerFooter>
    <oddFooter>&amp;R_x000D_&amp;1#&amp;"Aptos"&amp;10&amp;K000000 Official Use Only</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81303-94FE-4851-AB3A-FDA9B7D40B00}">
  <dimension ref="A1:AB582"/>
  <sheetViews>
    <sheetView showGridLines="0" topLeftCell="A10" zoomScale="145" zoomScaleNormal="145" zoomScalePageLayoutView="69" workbookViewId="0">
      <selection activeCell="D25" sqref="D25"/>
    </sheetView>
  </sheetViews>
  <sheetFormatPr defaultColWidth="10" defaultRowHeight="12.75"/>
  <cols>
    <col min="1" max="1" width="3.140625" style="111" customWidth="1"/>
    <col min="2" max="2" width="15.140625" style="112" customWidth="1"/>
    <col min="3" max="3" width="30" style="111" customWidth="1"/>
    <col min="4" max="4" width="32.5703125" style="111" customWidth="1"/>
    <col min="5" max="5" width="22" style="111" customWidth="1"/>
    <col min="6" max="7" width="22.42578125" style="111" customWidth="1"/>
    <col min="8" max="9" width="22.85546875" style="111" customWidth="1"/>
    <col min="10" max="10" width="15.7109375" style="111" customWidth="1"/>
    <col min="11" max="11" width="23.28515625" style="111" customWidth="1"/>
    <col min="12" max="12" width="14.5703125" style="111" customWidth="1"/>
    <col min="13" max="13" width="12.28515625" style="111" customWidth="1"/>
    <col min="14" max="17" width="15.7109375" style="111" customWidth="1"/>
    <col min="18" max="18" width="16.140625" style="111" customWidth="1"/>
    <col min="19" max="16384" width="10" style="111"/>
  </cols>
  <sheetData>
    <row r="1" spans="1:27" ht="80.25" customHeight="1">
      <c r="A1" s="118"/>
      <c r="B1" s="170"/>
      <c r="C1" s="118"/>
      <c r="D1" s="118"/>
      <c r="E1" s="118"/>
      <c r="F1" s="118"/>
      <c r="G1" s="118"/>
      <c r="H1" s="118"/>
      <c r="I1" s="118"/>
      <c r="J1" s="118"/>
      <c r="K1" s="118"/>
      <c r="L1" s="118"/>
      <c r="M1" s="118"/>
      <c r="N1" s="118"/>
      <c r="O1" s="118"/>
      <c r="P1" s="118"/>
      <c r="Q1" s="118"/>
      <c r="R1" s="118"/>
      <c r="S1" s="118"/>
      <c r="T1" s="118"/>
      <c r="U1" s="118"/>
      <c r="V1" s="118"/>
      <c r="W1" s="118"/>
      <c r="X1" s="118"/>
      <c r="Y1" s="118"/>
      <c r="Z1" s="118"/>
      <c r="AA1" s="118"/>
    </row>
    <row r="2" spans="1:27" ht="20.25">
      <c r="A2" s="118"/>
      <c r="B2" s="1179" t="s">
        <v>2989</v>
      </c>
      <c r="C2" s="1180"/>
      <c r="D2" s="1180"/>
      <c r="E2" s="1180"/>
      <c r="F2" s="1180"/>
      <c r="G2" s="1180"/>
      <c r="H2" s="1180"/>
      <c r="I2" s="1180"/>
      <c r="J2" s="1180"/>
      <c r="K2" s="1180"/>
      <c r="L2" s="1181"/>
      <c r="M2" s="118"/>
      <c r="N2" s="118"/>
      <c r="O2" s="118"/>
      <c r="P2" s="118"/>
      <c r="Q2" s="118"/>
      <c r="R2" s="118"/>
      <c r="S2" s="118"/>
      <c r="T2" s="118"/>
      <c r="U2" s="118"/>
      <c r="V2" s="118"/>
      <c r="W2" s="118"/>
      <c r="X2" s="118"/>
      <c r="Y2" s="118"/>
      <c r="Z2" s="118"/>
      <c r="AA2" s="118"/>
    </row>
    <row r="3" spans="1:27">
      <c r="A3" s="118"/>
      <c r="B3" s="170"/>
      <c r="C3" s="118"/>
      <c r="D3" s="118"/>
      <c r="E3" s="354"/>
      <c r="F3" s="497" t="s">
        <v>2990</v>
      </c>
      <c r="G3" s="497"/>
      <c r="H3" s="118"/>
      <c r="I3" s="118"/>
      <c r="J3" s="118"/>
      <c r="K3" s="118"/>
      <c r="L3" s="118"/>
      <c r="M3" s="118"/>
      <c r="N3" s="118"/>
      <c r="O3" s="118"/>
      <c r="P3" s="118"/>
      <c r="Q3" s="118"/>
      <c r="R3" s="118"/>
      <c r="S3" s="118"/>
      <c r="T3" s="118"/>
      <c r="U3" s="118"/>
      <c r="V3" s="118"/>
      <c r="W3" s="118"/>
      <c r="X3" s="118"/>
      <c r="Y3" s="118"/>
      <c r="Z3" s="118"/>
      <c r="AA3" s="118"/>
    </row>
    <row r="4" spans="1:27" ht="18">
      <c r="A4" s="118"/>
      <c r="B4" s="170"/>
      <c r="C4" s="496" t="s">
        <v>2991</v>
      </c>
      <c r="D4" s="118"/>
      <c r="E4" s="118"/>
      <c r="F4" s="118"/>
      <c r="G4" s="494"/>
      <c r="H4" s="118"/>
      <c r="I4" s="118"/>
      <c r="J4" s="118"/>
      <c r="K4" s="118"/>
      <c r="L4" s="118"/>
      <c r="M4" s="118"/>
      <c r="N4" s="118"/>
      <c r="O4" s="118"/>
      <c r="P4" s="118"/>
      <c r="Q4" s="118"/>
      <c r="R4" s="118"/>
      <c r="S4" s="118"/>
      <c r="T4" s="118"/>
      <c r="U4" s="118"/>
      <c r="V4" s="118"/>
      <c r="W4" s="118"/>
      <c r="X4" s="118"/>
      <c r="Y4" s="118"/>
      <c r="Z4" s="118"/>
      <c r="AA4" s="118"/>
    </row>
    <row r="5" spans="1:27" ht="18">
      <c r="A5" s="118"/>
      <c r="B5" s="170"/>
      <c r="C5" s="495" t="s">
        <v>2992</v>
      </c>
      <c r="D5" s="118"/>
      <c r="E5" s="118"/>
      <c r="F5" s="118"/>
      <c r="G5" s="494"/>
      <c r="H5" s="118"/>
      <c r="I5" s="118"/>
      <c r="J5" s="118"/>
      <c r="K5" s="118"/>
      <c r="L5" s="118"/>
      <c r="M5" s="118"/>
      <c r="N5" s="118"/>
      <c r="O5" s="118"/>
      <c r="P5" s="118"/>
      <c r="Q5" s="118"/>
      <c r="R5" s="118"/>
      <c r="S5" s="118"/>
      <c r="T5" s="118"/>
      <c r="U5" s="118"/>
      <c r="V5" s="118"/>
      <c r="W5" s="118"/>
      <c r="X5" s="118"/>
      <c r="Y5" s="118"/>
      <c r="Z5" s="118"/>
      <c r="AA5" s="118"/>
    </row>
    <row r="6" spans="1:27" ht="32.25" customHeight="1">
      <c r="A6" s="118"/>
      <c r="B6" s="170"/>
      <c r="C6" s="1189" t="s">
        <v>2993</v>
      </c>
      <c r="D6" s="1189"/>
      <c r="E6" s="1189"/>
      <c r="F6" s="1189"/>
      <c r="G6" s="1189"/>
      <c r="H6" s="1189"/>
      <c r="I6" s="1189"/>
      <c r="J6" s="1189"/>
      <c r="K6" s="1189"/>
      <c r="L6" s="1189"/>
      <c r="M6" s="118"/>
      <c r="N6" s="118"/>
      <c r="O6" s="118"/>
      <c r="P6" s="118"/>
      <c r="Q6" s="118"/>
      <c r="R6" s="118"/>
      <c r="S6" s="118"/>
      <c r="T6" s="118"/>
      <c r="U6" s="118"/>
      <c r="V6" s="118"/>
      <c r="W6" s="118"/>
      <c r="X6" s="118"/>
      <c r="Y6" s="118"/>
      <c r="Z6" s="118"/>
      <c r="AA6" s="118"/>
    </row>
    <row r="7" spans="1:27" ht="13.5" thickBot="1">
      <c r="A7" s="118"/>
      <c r="B7" s="170"/>
      <c r="C7" s="144"/>
      <c r="D7" s="490"/>
      <c r="E7" s="490"/>
      <c r="F7" s="490"/>
      <c r="G7" s="490"/>
      <c r="H7" s="490"/>
      <c r="I7" s="490"/>
      <c r="J7" s="490"/>
      <c r="K7" s="490"/>
      <c r="L7" s="490"/>
      <c r="M7" s="118"/>
      <c r="N7" s="118"/>
      <c r="O7" s="118"/>
      <c r="P7" s="118"/>
      <c r="Q7" s="118"/>
      <c r="R7" s="118"/>
      <c r="S7" s="118"/>
      <c r="T7" s="118"/>
      <c r="U7" s="118"/>
      <c r="V7" s="118"/>
      <c r="W7" s="118"/>
      <c r="X7" s="118"/>
      <c r="Y7" s="118"/>
      <c r="Z7" s="118"/>
      <c r="AA7" s="118"/>
    </row>
    <row r="8" spans="1:27" ht="13.5" thickBot="1">
      <c r="A8" s="118"/>
      <c r="B8" s="170"/>
      <c r="C8" s="493" t="s">
        <v>365</v>
      </c>
      <c r="D8" s="492" t="s">
        <v>2994</v>
      </c>
      <c r="E8" s="490"/>
      <c r="F8" s="490"/>
      <c r="G8" s="491"/>
      <c r="H8" s="490"/>
      <c r="I8" s="490"/>
      <c r="J8" s="490"/>
      <c r="K8" s="490"/>
      <c r="L8" s="118"/>
      <c r="M8" s="118"/>
      <c r="N8" s="118"/>
      <c r="O8" s="118"/>
      <c r="P8" s="118"/>
      <c r="Q8" s="118"/>
      <c r="R8" s="118"/>
      <c r="S8" s="118"/>
      <c r="T8" s="118"/>
      <c r="U8" s="118"/>
      <c r="V8" s="118"/>
      <c r="W8" s="118"/>
      <c r="X8" s="118"/>
      <c r="Y8" s="118"/>
      <c r="Z8" s="118"/>
    </row>
    <row r="9" spans="1:27" ht="15.75">
      <c r="A9" s="118"/>
      <c r="B9" s="170"/>
      <c r="C9" s="489" t="s">
        <v>2995</v>
      </c>
      <c r="D9" s="488">
        <v>28</v>
      </c>
      <c r="E9" s="144"/>
      <c r="F9" s="144"/>
      <c r="G9" s="118"/>
      <c r="I9" s="118"/>
      <c r="J9" s="118"/>
      <c r="K9" s="118"/>
      <c r="L9" s="118"/>
      <c r="M9" s="118"/>
      <c r="N9" s="118"/>
      <c r="O9" s="157"/>
      <c r="P9" s="118"/>
      <c r="Q9" s="118"/>
      <c r="R9" s="118"/>
      <c r="S9" s="118"/>
      <c r="T9" s="118"/>
      <c r="U9" s="118"/>
      <c r="V9" s="118"/>
      <c r="W9" s="118"/>
      <c r="X9" s="118"/>
      <c r="Y9" s="118"/>
      <c r="Z9" s="118"/>
    </row>
    <row r="10" spans="1:27" ht="16.5" thickBot="1">
      <c r="A10" s="118"/>
      <c r="B10" s="170"/>
      <c r="C10" s="487" t="s">
        <v>2996</v>
      </c>
      <c r="D10" s="486">
        <v>265</v>
      </c>
      <c r="E10" s="118"/>
      <c r="F10" s="118"/>
      <c r="G10" s="118"/>
      <c r="H10" s="118"/>
      <c r="I10" s="118"/>
      <c r="J10" s="118"/>
      <c r="K10" s="118"/>
      <c r="L10" s="118"/>
      <c r="M10" s="118"/>
      <c r="N10" s="173"/>
      <c r="O10" s="173"/>
      <c r="P10" s="118"/>
      <c r="Q10" s="118"/>
      <c r="R10" s="118"/>
      <c r="S10" s="118"/>
      <c r="T10" s="118"/>
      <c r="U10" s="118"/>
      <c r="V10" s="118"/>
      <c r="W10" s="118"/>
      <c r="X10" s="118"/>
      <c r="Y10" s="118"/>
      <c r="Z10" s="118"/>
    </row>
    <row r="11" spans="1:27" ht="27.75" customHeight="1">
      <c r="A11" s="118"/>
      <c r="B11" s="170"/>
      <c r="C11" s="1170" t="s">
        <v>2997</v>
      </c>
      <c r="D11" s="1170"/>
      <c r="E11" s="1170"/>
      <c r="F11" s="1170"/>
      <c r="G11" s="1170"/>
      <c r="H11" s="118"/>
      <c r="I11" s="118"/>
      <c r="J11" s="118"/>
      <c r="K11" s="118"/>
      <c r="L11" s="118"/>
      <c r="M11" s="118"/>
      <c r="N11" s="173"/>
      <c r="O11" s="173"/>
      <c r="P11" s="118"/>
      <c r="Q11" s="118"/>
      <c r="R11" s="118"/>
      <c r="S11" s="118"/>
      <c r="T11" s="118"/>
      <c r="U11" s="118"/>
      <c r="V11" s="118"/>
      <c r="W11" s="118"/>
      <c r="X11" s="118"/>
      <c r="Y11" s="118"/>
      <c r="Z11" s="118"/>
    </row>
    <row r="12" spans="1:27" ht="37.5" customHeight="1">
      <c r="A12" s="118"/>
      <c r="B12" s="170"/>
      <c r="C12" s="1177" t="s">
        <v>2998</v>
      </c>
      <c r="D12" s="1177"/>
      <c r="E12" s="1177"/>
      <c r="F12" s="1177"/>
      <c r="G12" s="1177"/>
      <c r="H12" s="1177"/>
      <c r="I12" s="1177"/>
      <c r="J12" s="1177"/>
      <c r="K12" s="1177"/>
      <c r="L12" s="1177"/>
      <c r="M12" s="118"/>
      <c r="N12" s="118"/>
      <c r="O12" s="118"/>
      <c r="P12" s="118"/>
      <c r="Q12" s="118"/>
      <c r="R12" s="118"/>
      <c r="S12" s="118"/>
      <c r="T12" s="118"/>
      <c r="U12" s="118"/>
      <c r="V12" s="118"/>
      <c r="W12" s="118"/>
      <c r="X12" s="118"/>
      <c r="Y12" s="118"/>
      <c r="Z12" s="118"/>
      <c r="AA12" s="118"/>
    </row>
    <row r="13" spans="1:27">
      <c r="A13" s="118"/>
      <c r="B13" s="170"/>
      <c r="C13" s="118"/>
      <c r="D13" s="118"/>
      <c r="E13" s="118"/>
      <c r="F13" s="118"/>
      <c r="G13" s="118"/>
      <c r="H13" s="118"/>
      <c r="I13" s="118"/>
      <c r="J13" s="118"/>
      <c r="K13" s="118"/>
      <c r="L13" s="118"/>
      <c r="M13" s="118"/>
      <c r="N13" s="118"/>
      <c r="O13" s="173"/>
      <c r="P13" s="173"/>
      <c r="Q13" s="118"/>
      <c r="R13" s="118"/>
      <c r="S13" s="118"/>
      <c r="T13" s="118"/>
      <c r="U13" s="118"/>
      <c r="V13" s="118"/>
      <c r="W13" s="118"/>
      <c r="X13" s="118"/>
      <c r="Y13" s="118"/>
      <c r="Z13" s="118"/>
      <c r="AA13" s="118"/>
    </row>
    <row r="14" spans="1:27" s="113" customFormat="1" ht="15.75">
      <c r="A14" s="114"/>
      <c r="B14" s="329" t="s">
        <v>899</v>
      </c>
      <c r="C14" s="328" t="s">
        <v>2999</v>
      </c>
      <c r="D14" s="327"/>
      <c r="E14" s="327"/>
      <c r="F14" s="326"/>
      <c r="G14" s="326"/>
      <c r="H14" s="326"/>
      <c r="I14" s="326"/>
      <c r="J14" s="326"/>
      <c r="K14" s="326"/>
      <c r="L14" s="418"/>
      <c r="M14" s="114"/>
      <c r="N14" s="114"/>
      <c r="O14" s="273"/>
      <c r="P14" s="273"/>
      <c r="Q14" s="114"/>
      <c r="R14" s="114"/>
      <c r="S14" s="114"/>
      <c r="T14" s="114"/>
      <c r="U14" s="114"/>
      <c r="V14" s="114"/>
      <c r="W14" s="114"/>
      <c r="X14" s="114"/>
      <c r="Y14" s="114"/>
      <c r="Z14" s="114"/>
      <c r="AA14" s="114"/>
    </row>
    <row r="15" spans="1:27" ht="13.5" thickBot="1">
      <c r="A15" s="118"/>
      <c r="B15" s="170"/>
      <c r="D15" s="118"/>
      <c r="E15" s="118"/>
      <c r="F15" s="118"/>
      <c r="G15" s="118"/>
      <c r="H15" s="118"/>
      <c r="I15" s="118"/>
      <c r="J15" s="118"/>
      <c r="K15" s="118"/>
      <c r="L15" s="118"/>
      <c r="M15" s="118"/>
      <c r="N15" s="476"/>
      <c r="O15" s="476"/>
      <c r="P15" s="476"/>
      <c r="Q15" s="476"/>
      <c r="R15" s="476"/>
      <c r="S15" s="476"/>
      <c r="T15" s="118"/>
      <c r="U15" s="118"/>
      <c r="V15" s="118"/>
      <c r="W15" s="118"/>
      <c r="X15" s="118"/>
      <c r="Y15" s="118"/>
      <c r="Z15" s="118"/>
      <c r="AA15" s="118"/>
    </row>
    <row r="16" spans="1:27" ht="14.25">
      <c r="A16" s="118"/>
      <c r="B16" s="118"/>
      <c r="C16" s="485" t="s">
        <v>3000</v>
      </c>
      <c r="D16" s="484" t="s">
        <v>3001</v>
      </c>
      <c r="E16" s="484" t="s">
        <v>3002</v>
      </c>
      <c r="F16" s="484" t="s">
        <v>3003</v>
      </c>
      <c r="G16" s="484" t="s">
        <v>3004</v>
      </c>
      <c r="H16" s="484" t="s">
        <v>3002</v>
      </c>
      <c r="I16" s="484" t="s">
        <v>3003</v>
      </c>
      <c r="J16" s="483" t="s">
        <v>3004</v>
      </c>
      <c r="K16" s="144"/>
      <c r="M16" s="118"/>
      <c r="N16" s="476"/>
      <c r="O16" s="476"/>
      <c r="P16" s="476"/>
      <c r="Q16" s="476"/>
      <c r="R16" s="476"/>
      <c r="S16" s="476"/>
      <c r="T16" s="118"/>
      <c r="U16" s="118"/>
      <c r="V16" s="118"/>
      <c r="W16" s="118"/>
      <c r="X16" s="118"/>
      <c r="Y16" s="118"/>
      <c r="Z16" s="118"/>
      <c r="AA16" s="118"/>
    </row>
    <row r="17" spans="1:27" s="221" customFormat="1" ht="13.5" customHeight="1">
      <c r="A17" s="275"/>
      <c r="B17" s="275"/>
      <c r="C17" s="443"/>
      <c r="D17" s="482" t="s">
        <v>3005</v>
      </c>
      <c r="E17" s="482" t="s">
        <v>3006</v>
      </c>
      <c r="F17" s="482" t="s">
        <v>3007</v>
      </c>
      <c r="G17" s="482" t="s">
        <v>3008</v>
      </c>
      <c r="H17" s="482" t="s">
        <v>3009</v>
      </c>
      <c r="I17" s="482" t="s">
        <v>3010</v>
      </c>
      <c r="J17" s="481" t="s">
        <v>3011</v>
      </c>
      <c r="K17" s="480"/>
      <c r="L17" s="275"/>
      <c r="M17" s="275"/>
      <c r="N17" s="476"/>
      <c r="O17" s="476"/>
      <c r="P17" s="476"/>
      <c r="Q17" s="476"/>
      <c r="R17" s="476"/>
      <c r="S17" s="476"/>
      <c r="T17" s="275"/>
      <c r="U17" s="275"/>
      <c r="V17" s="275"/>
      <c r="W17" s="275"/>
      <c r="X17" s="275"/>
      <c r="Y17" s="275"/>
      <c r="Z17" s="275"/>
      <c r="AA17" s="275"/>
    </row>
    <row r="18" spans="1:27">
      <c r="A18" s="118"/>
      <c r="B18" s="170"/>
      <c r="C18" s="479" t="s">
        <v>3012</v>
      </c>
      <c r="D18" s="478"/>
      <c r="E18" s="478"/>
      <c r="F18" s="478"/>
      <c r="G18" s="478"/>
      <c r="H18" s="478"/>
      <c r="I18" s="478"/>
      <c r="J18" s="477"/>
      <c r="K18" s="118"/>
      <c r="L18" s="118"/>
      <c r="M18" s="118"/>
      <c r="N18" s="476"/>
      <c r="O18" s="476"/>
      <c r="P18" s="476"/>
      <c r="Q18" s="476"/>
      <c r="R18" s="476"/>
      <c r="S18" s="476"/>
      <c r="T18" s="118"/>
      <c r="U18" s="118"/>
      <c r="V18" s="118"/>
      <c r="W18" s="118"/>
      <c r="X18" s="118"/>
      <c r="Y18" s="118"/>
      <c r="Z18" s="118"/>
      <c r="AA18" s="118"/>
    </row>
    <row r="19" spans="1:27">
      <c r="A19" s="118"/>
      <c r="B19" s="173"/>
      <c r="C19" s="432" t="s">
        <v>3013</v>
      </c>
      <c r="D19" s="430">
        <v>25.09</v>
      </c>
      <c r="E19" s="430">
        <v>103.69</v>
      </c>
      <c r="F19" s="467">
        <v>11</v>
      </c>
      <c r="G19" s="431">
        <v>1.6</v>
      </c>
      <c r="H19" s="467">
        <v>2602</v>
      </c>
      <c r="I19" s="467">
        <v>276</v>
      </c>
      <c r="J19" s="466">
        <v>40</v>
      </c>
      <c r="K19" s="475"/>
      <c r="L19" s="118"/>
      <c r="M19" s="174"/>
      <c r="N19" s="174"/>
      <c r="O19" s="174"/>
      <c r="P19" s="174"/>
      <c r="Q19" s="174"/>
      <c r="R19" s="174"/>
      <c r="S19" s="174"/>
      <c r="T19" s="118"/>
      <c r="U19" s="118"/>
      <c r="V19" s="118"/>
      <c r="W19" s="118"/>
      <c r="X19" s="118"/>
      <c r="Y19" s="118"/>
      <c r="Z19" s="118"/>
      <c r="AA19" s="118"/>
    </row>
    <row r="20" spans="1:27">
      <c r="A20" s="118"/>
      <c r="B20" s="173"/>
      <c r="C20" s="432" t="s">
        <v>3014</v>
      </c>
      <c r="D20" s="430">
        <v>24.93</v>
      </c>
      <c r="E20" s="430">
        <v>93.28</v>
      </c>
      <c r="F20" s="467">
        <v>11</v>
      </c>
      <c r="G20" s="431">
        <v>1.6</v>
      </c>
      <c r="H20" s="467">
        <v>2325</v>
      </c>
      <c r="I20" s="467">
        <v>274</v>
      </c>
      <c r="J20" s="466">
        <v>40</v>
      </c>
      <c r="K20" s="475"/>
      <c r="L20" s="118"/>
      <c r="M20" s="174"/>
      <c r="N20" s="174"/>
      <c r="O20" s="174"/>
      <c r="P20" s="174"/>
      <c r="Q20" s="174"/>
      <c r="R20" s="174"/>
      <c r="S20" s="174"/>
      <c r="T20" s="118"/>
      <c r="U20" s="118"/>
      <c r="V20" s="118"/>
      <c r="W20" s="118"/>
      <c r="X20" s="118"/>
      <c r="Y20" s="118"/>
      <c r="Z20" s="118"/>
      <c r="AA20" s="118"/>
    </row>
    <row r="21" spans="1:27">
      <c r="A21" s="118"/>
      <c r="B21" s="173"/>
      <c r="C21" s="432" t="s">
        <v>3015</v>
      </c>
      <c r="D21" s="430">
        <v>17.25</v>
      </c>
      <c r="E21" s="430">
        <v>97.17</v>
      </c>
      <c r="F21" s="467">
        <v>11</v>
      </c>
      <c r="G21" s="431">
        <v>1.6</v>
      </c>
      <c r="H21" s="467">
        <v>1676</v>
      </c>
      <c r="I21" s="467">
        <v>190</v>
      </c>
      <c r="J21" s="466">
        <v>28</v>
      </c>
      <c r="K21" s="475"/>
      <c r="L21" s="118"/>
      <c r="M21" s="174"/>
      <c r="N21" s="174"/>
      <c r="O21" s="174"/>
      <c r="P21" s="174"/>
      <c r="Q21" s="174"/>
      <c r="R21" s="174"/>
      <c r="S21" s="174"/>
      <c r="T21" s="118"/>
      <c r="U21" s="118"/>
      <c r="V21" s="118"/>
      <c r="W21" s="118"/>
      <c r="X21" s="118"/>
      <c r="Y21" s="118"/>
      <c r="Z21" s="118"/>
      <c r="AA21" s="118"/>
    </row>
    <row r="22" spans="1:27">
      <c r="A22" s="118"/>
      <c r="B22" s="173"/>
      <c r="C22" s="432" t="s">
        <v>3016</v>
      </c>
      <c r="D22" s="430">
        <v>14.21</v>
      </c>
      <c r="E22" s="430">
        <v>97.72</v>
      </c>
      <c r="F22" s="467">
        <v>11</v>
      </c>
      <c r="G22" s="431">
        <v>1.6</v>
      </c>
      <c r="H22" s="467">
        <v>1389</v>
      </c>
      <c r="I22" s="467">
        <v>156</v>
      </c>
      <c r="J22" s="466">
        <v>23</v>
      </c>
      <c r="K22" s="475"/>
      <c r="L22" s="118"/>
      <c r="M22" s="174"/>
      <c r="N22" s="174"/>
      <c r="O22" s="174"/>
      <c r="P22" s="174"/>
      <c r="Q22" s="174"/>
      <c r="R22" s="174"/>
      <c r="S22" s="174"/>
      <c r="T22" s="118"/>
      <c r="U22" s="118"/>
      <c r="V22" s="118"/>
      <c r="W22" s="118"/>
      <c r="X22" s="118"/>
      <c r="Y22" s="118"/>
      <c r="Z22" s="118"/>
      <c r="AA22" s="118"/>
    </row>
    <row r="23" spans="1:27">
      <c r="A23" s="118"/>
      <c r="B23" s="173"/>
      <c r="C23" s="432" t="s">
        <v>3017</v>
      </c>
      <c r="D23" s="430">
        <v>21.39</v>
      </c>
      <c r="E23" s="430">
        <v>94.27</v>
      </c>
      <c r="F23" s="467">
        <v>11</v>
      </c>
      <c r="G23" s="431">
        <v>1.6</v>
      </c>
      <c r="H23" s="467">
        <v>2016</v>
      </c>
      <c r="I23" s="467">
        <v>235</v>
      </c>
      <c r="J23" s="466">
        <v>34</v>
      </c>
      <c r="K23" s="474"/>
      <c r="L23" s="118"/>
      <c r="M23" s="174"/>
      <c r="N23" s="174"/>
      <c r="O23" s="174"/>
      <c r="P23" s="174"/>
      <c r="Q23" s="174"/>
      <c r="R23" s="174"/>
      <c r="S23" s="174"/>
      <c r="T23" s="118"/>
      <c r="U23" s="118"/>
      <c r="V23" s="118"/>
      <c r="W23" s="118"/>
      <c r="X23" s="118"/>
      <c r="Y23" s="118"/>
      <c r="Z23" s="118"/>
      <c r="AA23" s="118"/>
    </row>
    <row r="24" spans="1:27">
      <c r="A24" s="118"/>
      <c r="B24" s="173"/>
      <c r="C24" s="432" t="s">
        <v>3018</v>
      </c>
      <c r="D24" s="430">
        <v>19.73</v>
      </c>
      <c r="E24" s="430">
        <v>95.52</v>
      </c>
      <c r="F24" s="467">
        <v>11</v>
      </c>
      <c r="G24" s="431">
        <v>1.6</v>
      </c>
      <c r="H24" s="467">
        <v>1885</v>
      </c>
      <c r="I24" s="467">
        <v>217</v>
      </c>
      <c r="J24" s="466">
        <v>32</v>
      </c>
      <c r="K24" s="174"/>
      <c r="L24" s="118"/>
      <c r="M24" s="174"/>
      <c r="N24" s="174"/>
      <c r="O24" s="174"/>
      <c r="P24" s="174"/>
      <c r="Q24" s="174"/>
      <c r="R24" s="174"/>
      <c r="S24" s="174"/>
      <c r="T24" s="118"/>
      <c r="U24" s="118"/>
      <c r="V24" s="118"/>
      <c r="W24" s="118"/>
      <c r="X24" s="118"/>
      <c r="Y24" s="118"/>
      <c r="Z24" s="118"/>
      <c r="AA24" s="118"/>
    </row>
    <row r="25" spans="1:27">
      <c r="A25" s="118"/>
      <c r="B25" s="173"/>
      <c r="C25" s="432" t="s">
        <v>3019</v>
      </c>
      <c r="D25" s="430">
        <v>26.28</v>
      </c>
      <c r="E25" s="430">
        <v>93.9</v>
      </c>
      <c r="F25" s="467">
        <v>11</v>
      </c>
      <c r="G25" s="431">
        <v>1.6</v>
      </c>
      <c r="H25" s="467">
        <v>2468</v>
      </c>
      <c r="I25" s="467">
        <v>289</v>
      </c>
      <c r="J25" s="466">
        <v>42</v>
      </c>
      <c r="K25" s="174"/>
      <c r="L25" s="118"/>
      <c r="M25" s="174"/>
      <c r="N25" s="174"/>
      <c r="O25" s="174"/>
      <c r="P25" s="174"/>
      <c r="Q25" s="174"/>
      <c r="R25" s="174"/>
      <c r="S25" s="174"/>
      <c r="T25" s="118"/>
      <c r="U25" s="118"/>
      <c r="V25" s="118"/>
      <c r="W25" s="118"/>
      <c r="X25" s="118"/>
      <c r="Y25" s="118"/>
      <c r="Z25" s="118"/>
      <c r="AA25" s="118"/>
    </row>
    <row r="26" spans="1:27">
      <c r="A26" s="118"/>
      <c r="B26" s="173"/>
      <c r="C26" s="432" t="s">
        <v>3020</v>
      </c>
      <c r="D26" s="430">
        <v>22.35</v>
      </c>
      <c r="E26" s="430">
        <v>94.67</v>
      </c>
      <c r="F26" s="467">
        <v>11</v>
      </c>
      <c r="G26" s="431">
        <v>1.6</v>
      </c>
      <c r="H26" s="467">
        <v>2116</v>
      </c>
      <c r="I26" s="467">
        <v>246</v>
      </c>
      <c r="J26" s="466">
        <v>36</v>
      </c>
      <c r="K26" s="174"/>
      <c r="L26" s="118"/>
      <c r="M26" s="174"/>
      <c r="N26" s="174"/>
      <c r="O26" s="174"/>
      <c r="P26" s="174"/>
      <c r="Q26" s="174"/>
      <c r="R26" s="174"/>
      <c r="S26" s="174"/>
      <c r="T26" s="118"/>
      <c r="U26" s="118"/>
      <c r="V26" s="118"/>
      <c r="W26" s="118"/>
      <c r="X26" s="118"/>
      <c r="Y26" s="118"/>
      <c r="Z26" s="118"/>
      <c r="AA26" s="118"/>
    </row>
    <row r="27" spans="1:27">
      <c r="A27" s="118"/>
      <c r="B27" s="173"/>
      <c r="C27" s="432" t="s">
        <v>3021</v>
      </c>
      <c r="D27" s="430">
        <v>24.8</v>
      </c>
      <c r="E27" s="430">
        <v>113.67</v>
      </c>
      <c r="F27" s="467">
        <v>11</v>
      </c>
      <c r="G27" s="431">
        <v>1.6</v>
      </c>
      <c r="H27" s="467">
        <v>2819</v>
      </c>
      <c r="I27" s="467">
        <v>273</v>
      </c>
      <c r="J27" s="466">
        <v>40</v>
      </c>
      <c r="K27" s="174"/>
      <c r="L27" s="118"/>
      <c r="M27" s="174"/>
      <c r="N27" s="174"/>
      <c r="O27" s="174"/>
      <c r="P27" s="174"/>
      <c r="Q27" s="174"/>
      <c r="R27" s="174"/>
      <c r="S27" s="174"/>
      <c r="T27" s="118"/>
      <c r="U27" s="118"/>
      <c r="V27" s="118"/>
      <c r="W27" s="118"/>
      <c r="X27" s="118"/>
      <c r="Y27" s="118"/>
      <c r="Z27" s="118"/>
      <c r="AA27" s="118"/>
    </row>
    <row r="28" spans="1:27">
      <c r="A28" s="118"/>
      <c r="B28" s="170"/>
      <c r="C28" s="453" t="s">
        <v>3022</v>
      </c>
      <c r="D28" s="472"/>
      <c r="E28" s="472"/>
      <c r="F28" s="471"/>
      <c r="G28" s="470"/>
      <c r="H28" s="471"/>
      <c r="I28" s="471"/>
      <c r="J28" s="473"/>
      <c r="K28" s="174"/>
      <c r="L28" s="118"/>
      <c r="M28" s="174"/>
      <c r="N28" s="174"/>
      <c r="O28" s="174"/>
      <c r="P28" s="174"/>
      <c r="Q28" s="174"/>
      <c r="R28" s="174"/>
      <c r="S28" s="174"/>
      <c r="T28" s="118"/>
      <c r="U28" s="118"/>
      <c r="V28" s="118"/>
      <c r="W28" s="118"/>
      <c r="X28" s="118"/>
      <c r="Y28" s="118"/>
      <c r="Z28" s="118"/>
      <c r="AA28" s="118"/>
    </row>
    <row r="29" spans="1:27">
      <c r="A29" s="118"/>
      <c r="B29" s="173"/>
      <c r="C29" s="432" t="s">
        <v>3023</v>
      </c>
      <c r="D29" s="430">
        <v>9.9499999999999993</v>
      </c>
      <c r="E29" s="430">
        <v>90.7</v>
      </c>
      <c r="F29" s="467">
        <v>32</v>
      </c>
      <c r="G29" s="431">
        <v>4.2</v>
      </c>
      <c r="H29" s="467">
        <v>902</v>
      </c>
      <c r="I29" s="467">
        <v>318</v>
      </c>
      <c r="J29" s="466">
        <v>42</v>
      </c>
      <c r="K29" s="174"/>
      <c r="L29" s="118"/>
      <c r="M29" s="174"/>
      <c r="N29" s="174"/>
      <c r="O29" s="174"/>
      <c r="P29" s="174"/>
      <c r="Q29" s="174"/>
      <c r="R29" s="174"/>
      <c r="S29" s="174"/>
      <c r="T29" s="118"/>
      <c r="U29" s="118"/>
      <c r="V29" s="118"/>
      <c r="W29" s="118"/>
      <c r="X29" s="118"/>
      <c r="Y29" s="118"/>
      <c r="Z29" s="118"/>
      <c r="AA29" s="118"/>
    </row>
    <row r="30" spans="1:27">
      <c r="A30" s="118"/>
      <c r="B30" s="173"/>
      <c r="C30" s="432" t="s">
        <v>3024</v>
      </c>
      <c r="D30" s="430">
        <v>30</v>
      </c>
      <c r="E30" s="430">
        <v>102.41</v>
      </c>
      <c r="F30" s="467">
        <v>32</v>
      </c>
      <c r="G30" s="431">
        <v>4.2</v>
      </c>
      <c r="H30" s="467">
        <v>3072</v>
      </c>
      <c r="I30" s="467">
        <v>960</v>
      </c>
      <c r="J30" s="466">
        <v>126</v>
      </c>
      <c r="K30" s="144"/>
      <c r="L30" s="118"/>
      <c r="M30" s="174"/>
      <c r="N30" s="174"/>
      <c r="O30" s="174"/>
      <c r="P30" s="174"/>
      <c r="Q30" s="174"/>
      <c r="R30" s="174"/>
      <c r="S30" s="174"/>
      <c r="T30" s="118"/>
      <c r="U30" s="118"/>
      <c r="V30" s="118"/>
      <c r="W30" s="118"/>
      <c r="X30" s="118"/>
      <c r="Y30" s="118"/>
      <c r="Z30" s="118"/>
      <c r="AA30" s="118"/>
    </row>
    <row r="31" spans="1:27">
      <c r="A31" s="118"/>
      <c r="B31" s="173"/>
      <c r="C31" s="432" t="s">
        <v>3025</v>
      </c>
      <c r="D31" s="430">
        <v>38</v>
      </c>
      <c r="E31" s="430">
        <v>75</v>
      </c>
      <c r="F31" s="467">
        <v>32</v>
      </c>
      <c r="G31" s="431">
        <v>4.2</v>
      </c>
      <c r="H31" s="467">
        <v>2850</v>
      </c>
      <c r="I31" s="467">
        <v>1216</v>
      </c>
      <c r="J31" s="466">
        <v>160</v>
      </c>
      <c r="K31" s="118"/>
      <c r="L31" s="118"/>
      <c r="M31" s="174"/>
      <c r="N31" s="174"/>
      <c r="O31" s="174"/>
      <c r="P31" s="174"/>
      <c r="Q31" s="174"/>
      <c r="R31" s="174"/>
      <c r="S31" s="174"/>
      <c r="T31" s="118"/>
      <c r="U31" s="118"/>
      <c r="V31" s="118"/>
      <c r="W31" s="118"/>
      <c r="X31" s="118"/>
      <c r="Y31" s="118"/>
      <c r="Z31" s="118"/>
      <c r="AA31" s="118"/>
    </row>
    <row r="32" spans="1:27">
      <c r="A32" s="118"/>
      <c r="B32" s="173"/>
      <c r="C32" s="432" t="s">
        <v>3026</v>
      </c>
      <c r="D32" s="430">
        <v>28</v>
      </c>
      <c r="E32" s="430">
        <v>85.97</v>
      </c>
      <c r="F32" s="467">
        <v>32</v>
      </c>
      <c r="G32" s="431">
        <v>4.2</v>
      </c>
      <c r="H32" s="467">
        <v>2407</v>
      </c>
      <c r="I32" s="467">
        <v>896</v>
      </c>
      <c r="J32" s="466">
        <v>118</v>
      </c>
      <c r="K32" s="118"/>
      <c r="L32" s="118"/>
      <c r="M32" s="174"/>
      <c r="N32" s="174"/>
      <c r="O32" s="174"/>
      <c r="P32" s="174"/>
      <c r="Q32" s="174"/>
      <c r="R32" s="174"/>
      <c r="S32" s="174"/>
      <c r="T32" s="118"/>
      <c r="U32" s="118"/>
      <c r="V32" s="118"/>
      <c r="W32" s="118"/>
      <c r="X32" s="118"/>
      <c r="Y32" s="118"/>
      <c r="Z32" s="118"/>
      <c r="AA32" s="118"/>
    </row>
    <row r="33" spans="1:27">
      <c r="A33" s="118"/>
      <c r="B33" s="170"/>
      <c r="C33" s="453" t="s">
        <v>3027</v>
      </c>
      <c r="D33" s="472"/>
      <c r="E33" s="472"/>
      <c r="F33" s="471"/>
      <c r="G33" s="470"/>
      <c r="H33" s="469"/>
      <c r="I33" s="469"/>
      <c r="J33" s="468"/>
      <c r="K33" s="118"/>
      <c r="L33" s="118"/>
      <c r="M33" s="174"/>
      <c r="N33" s="174"/>
      <c r="O33" s="174"/>
      <c r="P33" s="174"/>
      <c r="Q33" s="174"/>
      <c r="R33" s="174"/>
      <c r="S33" s="174"/>
      <c r="T33" s="118"/>
      <c r="U33" s="118"/>
      <c r="V33" s="118"/>
      <c r="W33" s="118"/>
      <c r="X33" s="118"/>
      <c r="Y33" s="118"/>
      <c r="Z33" s="118"/>
      <c r="AA33" s="118"/>
    </row>
    <row r="34" spans="1:27">
      <c r="A34" s="118"/>
      <c r="B34" s="173"/>
      <c r="C34" s="432" t="s">
        <v>3028</v>
      </c>
      <c r="D34" s="430">
        <v>8.25</v>
      </c>
      <c r="E34" s="430">
        <v>118.17</v>
      </c>
      <c r="F34" s="467">
        <v>32</v>
      </c>
      <c r="G34" s="431">
        <v>4.2</v>
      </c>
      <c r="H34" s="467">
        <v>975</v>
      </c>
      <c r="I34" s="467">
        <v>264</v>
      </c>
      <c r="J34" s="466">
        <v>35</v>
      </c>
      <c r="K34" s="118"/>
      <c r="L34" s="118"/>
      <c r="M34" s="174"/>
      <c r="N34" s="174"/>
      <c r="O34" s="174"/>
      <c r="P34" s="174"/>
      <c r="Q34" s="174"/>
      <c r="R34" s="174"/>
      <c r="S34" s="174"/>
      <c r="T34" s="118"/>
      <c r="U34" s="118"/>
      <c r="V34" s="118"/>
      <c r="W34" s="118"/>
      <c r="X34" s="118"/>
      <c r="Y34" s="118"/>
      <c r="Z34" s="118"/>
      <c r="AA34" s="118"/>
    </row>
    <row r="35" spans="1:27">
      <c r="A35" s="118"/>
      <c r="B35" s="173"/>
      <c r="C35" s="432" t="s">
        <v>3029</v>
      </c>
      <c r="D35" s="430">
        <v>8</v>
      </c>
      <c r="E35" s="430">
        <v>111.84</v>
      </c>
      <c r="F35" s="467">
        <v>32</v>
      </c>
      <c r="G35" s="431">
        <v>4.2</v>
      </c>
      <c r="H35" s="467">
        <v>895</v>
      </c>
      <c r="I35" s="467">
        <v>256</v>
      </c>
      <c r="J35" s="466">
        <v>34</v>
      </c>
      <c r="K35" s="118"/>
      <c r="L35" s="118"/>
      <c r="M35" s="174"/>
      <c r="N35" s="174"/>
      <c r="O35" s="174"/>
      <c r="P35" s="174"/>
      <c r="Q35" s="174"/>
      <c r="R35" s="174"/>
      <c r="S35" s="174"/>
      <c r="T35" s="118"/>
      <c r="U35" s="118"/>
      <c r="V35" s="118"/>
      <c r="W35" s="118"/>
      <c r="X35" s="118"/>
      <c r="Y35" s="118"/>
      <c r="Z35" s="118"/>
      <c r="AA35" s="118"/>
    </row>
    <row r="36" spans="1:27">
      <c r="A36" s="118"/>
      <c r="B36" s="173"/>
      <c r="C36" s="432" t="s">
        <v>3030</v>
      </c>
      <c r="D36" s="430">
        <v>10.39</v>
      </c>
      <c r="E36" s="430">
        <v>105.51</v>
      </c>
      <c r="F36" s="467">
        <v>32</v>
      </c>
      <c r="G36" s="431">
        <v>4.2</v>
      </c>
      <c r="H36" s="467">
        <v>1096</v>
      </c>
      <c r="I36" s="467">
        <v>332</v>
      </c>
      <c r="J36" s="466">
        <v>44</v>
      </c>
      <c r="K36" s="118"/>
      <c r="L36" s="118"/>
      <c r="M36" s="174"/>
      <c r="N36" s="174"/>
      <c r="O36" s="174"/>
      <c r="P36" s="174"/>
      <c r="Q36" s="174"/>
      <c r="R36" s="174"/>
      <c r="S36" s="174"/>
      <c r="T36" s="118"/>
      <c r="U36" s="118"/>
      <c r="V36" s="118"/>
      <c r="W36" s="118"/>
      <c r="X36" s="118"/>
      <c r="Y36" s="118"/>
      <c r="Z36" s="118"/>
      <c r="AA36" s="118"/>
    </row>
    <row r="37" spans="1:27">
      <c r="A37" s="118"/>
      <c r="B37" s="173"/>
      <c r="C37" s="432" t="s">
        <v>3031</v>
      </c>
      <c r="D37" s="430">
        <v>17.48</v>
      </c>
      <c r="E37" s="430">
        <v>93.8</v>
      </c>
      <c r="F37" s="431">
        <v>7.2</v>
      </c>
      <c r="G37" s="431">
        <v>3.6</v>
      </c>
      <c r="H37" s="467">
        <v>1640</v>
      </c>
      <c r="I37" s="467">
        <v>126</v>
      </c>
      <c r="J37" s="466">
        <v>63</v>
      </c>
      <c r="K37" s="118"/>
      <c r="L37" s="118"/>
      <c r="M37" s="174"/>
      <c r="N37" s="174"/>
      <c r="O37" s="174"/>
      <c r="P37" s="174"/>
      <c r="Q37" s="174"/>
      <c r="R37" s="174"/>
      <c r="S37" s="174"/>
      <c r="T37" s="118"/>
      <c r="U37" s="118"/>
      <c r="V37" s="118"/>
      <c r="W37" s="118"/>
      <c r="X37" s="118"/>
      <c r="Y37" s="118"/>
      <c r="Z37" s="118"/>
      <c r="AA37" s="118"/>
    </row>
    <row r="38" spans="1:27" s="221" customFormat="1" ht="13.5">
      <c r="A38" s="275"/>
      <c r="B38" s="275"/>
      <c r="C38" s="443"/>
      <c r="D38" s="442" t="s">
        <v>3032</v>
      </c>
      <c r="E38" s="442" t="s">
        <v>3006</v>
      </c>
      <c r="F38" s="442" t="s">
        <v>3007</v>
      </c>
      <c r="G38" s="442" t="s">
        <v>3008</v>
      </c>
      <c r="H38" s="442" t="s">
        <v>3033</v>
      </c>
      <c r="I38" s="442" t="s">
        <v>3034</v>
      </c>
      <c r="J38" s="441" t="s">
        <v>3035</v>
      </c>
      <c r="K38" s="118"/>
      <c r="L38" s="118"/>
      <c r="M38" s="174"/>
      <c r="N38" s="174"/>
      <c r="O38" s="174"/>
      <c r="P38" s="174"/>
      <c r="Q38" s="174"/>
      <c r="R38" s="174"/>
      <c r="S38" s="174"/>
      <c r="T38" s="118"/>
      <c r="U38" s="275"/>
      <c r="V38" s="275"/>
      <c r="W38" s="275"/>
      <c r="X38" s="275"/>
      <c r="Y38" s="275"/>
      <c r="Z38" s="275"/>
      <c r="AA38" s="275"/>
    </row>
    <row r="39" spans="1:27">
      <c r="A39" s="118"/>
      <c r="B39" s="170"/>
      <c r="C39" s="465" t="s">
        <v>44</v>
      </c>
      <c r="D39" s="464"/>
      <c r="E39" s="463"/>
      <c r="F39" s="462"/>
      <c r="G39" s="462"/>
      <c r="H39" s="461"/>
      <c r="I39" s="461"/>
      <c r="J39" s="460"/>
      <c r="K39" s="118"/>
      <c r="L39" s="118"/>
      <c r="M39" s="174"/>
      <c r="N39" s="174"/>
      <c r="O39" s="174"/>
      <c r="P39" s="174"/>
      <c r="Q39" s="174"/>
      <c r="R39" s="174"/>
      <c r="S39" s="174"/>
      <c r="T39" s="118"/>
      <c r="U39" s="118"/>
      <c r="V39" s="118"/>
      <c r="W39" s="118"/>
      <c r="X39" s="118"/>
      <c r="Y39" s="118"/>
      <c r="Z39" s="118"/>
      <c r="AA39" s="118"/>
    </row>
    <row r="40" spans="1:27">
      <c r="A40" s="118"/>
      <c r="B40" s="459"/>
      <c r="C40" s="432" t="s">
        <v>44</v>
      </c>
      <c r="D40" s="445">
        <v>1.026E-3</v>
      </c>
      <c r="E40" s="430">
        <v>53.06</v>
      </c>
      <c r="F40" s="431">
        <v>1</v>
      </c>
      <c r="G40" s="430">
        <v>0.1</v>
      </c>
      <c r="H40" s="454">
        <v>5.4440000000000002E-2</v>
      </c>
      <c r="I40" s="454">
        <v>1.0300000000000001E-3</v>
      </c>
      <c r="J40" s="458">
        <v>1E-4</v>
      </c>
      <c r="K40" s="115"/>
      <c r="L40" s="118"/>
      <c r="M40" s="174"/>
      <c r="N40" s="174"/>
      <c r="O40" s="174"/>
      <c r="P40" s="174"/>
      <c r="Q40" s="174"/>
      <c r="R40" s="174"/>
      <c r="S40" s="174"/>
      <c r="T40" s="118"/>
      <c r="U40" s="118"/>
      <c r="V40" s="118"/>
      <c r="W40" s="118"/>
      <c r="X40" s="118"/>
      <c r="Y40" s="118"/>
      <c r="Z40" s="118"/>
      <c r="AA40" s="118"/>
    </row>
    <row r="41" spans="1:27">
      <c r="A41" s="118"/>
      <c r="B41" s="170"/>
      <c r="C41" s="457" t="s">
        <v>3036</v>
      </c>
      <c r="D41" s="452"/>
      <c r="E41" s="452"/>
      <c r="F41" s="452"/>
      <c r="G41" s="452"/>
      <c r="H41" s="456"/>
      <c r="I41" s="450"/>
      <c r="J41" s="449"/>
      <c r="K41" s="118"/>
      <c r="L41" s="118"/>
      <c r="M41" s="174"/>
      <c r="N41" s="174"/>
      <c r="O41" s="174"/>
      <c r="P41" s="174"/>
      <c r="Q41" s="174"/>
      <c r="R41" s="174"/>
      <c r="S41" s="174"/>
      <c r="T41" s="118"/>
      <c r="U41" s="118"/>
      <c r="V41" s="118"/>
      <c r="W41" s="118"/>
      <c r="X41" s="118"/>
      <c r="Y41" s="118"/>
      <c r="Z41" s="118"/>
      <c r="AA41" s="118"/>
    </row>
    <row r="42" spans="1:27">
      <c r="A42" s="118"/>
      <c r="B42" s="173"/>
      <c r="C42" s="432" t="s">
        <v>3037</v>
      </c>
      <c r="D42" s="445">
        <v>9.2E-5</v>
      </c>
      <c r="E42" s="430">
        <v>274.32</v>
      </c>
      <c r="F42" s="437">
        <v>2.2000000000000002E-2</v>
      </c>
      <c r="G42" s="430">
        <v>0.1</v>
      </c>
      <c r="H42" s="454">
        <v>2.5239999999999999E-2</v>
      </c>
      <c r="I42" s="445">
        <v>1.9999999999999999E-6</v>
      </c>
      <c r="J42" s="444">
        <v>9.0000000000000002E-6</v>
      </c>
      <c r="K42" s="118"/>
      <c r="L42" s="118"/>
      <c r="M42" s="174"/>
      <c r="N42" s="174"/>
      <c r="O42" s="174"/>
      <c r="P42" s="174"/>
      <c r="Q42" s="174"/>
      <c r="R42" s="174"/>
      <c r="S42" s="174"/>
      <c r="T42" s="118"/>
      <c r="U42" s="118"/>
      <c r="V42" s="118"/>
      <c r="W42" s="118"/>
      <c r="X42" s="118"/>
      <c r="Y42" s="118"/>
      <c r="Z42" s="118"/>
      <c r="AA42" s="118"/>
    </row>
    <row r="43" spans="1:27">
      <c r="A43" s="118"/>
      <c r="B43" s="173"/>
      <c r="C43" s="432" t="s">
        <v>3038</v>
      </c>
      <c r="D43" s="445">
        <v>5.9900000000000003E-4</v>
      </c>
      <c r="E43" s="430">
        <v>46.85</v>
      </c>
      <c r="F43" s="430">
        <v>0.48</v>
      </c>
      <c r="G43" s="430">
        <v>0.1</v>
      </c>
      <c r="H43" s="454">
        <v>2.8060000000000002E-2</v>
      </c>
      <c r="I43" s="445">
        <v>2.8800000000000001E-4</v>
      </c>
      <c r="J43" s="444">
        <v>6.0000000000000002E-5</v>
      </c>
      <c r="K43" s="115"/>
      <c r="L43" s="118"/>
      <c r="M43" s="174"/>
      <c r="N43" s="174"/>
      <c r="O43" s="174"/>
      <c r="P43" s="174"/>
      <c r="Q43" s="174"/>
      <c r="R43" s="174"/>
      <c r="S43" s="174"/>
      <c r="T43" s="118"/>
      <c r="U43" s="118"/>
      <c r="V43" s="118"/>
      <c r="W43" s="118"/>
      <c r="X43" s="118"/>
      <c r="Y43" s="118"/>
      <c r="Z43" s="118"/>
      <c r="AA43" s="118"/>
    </row>
    <row r="44" spans="1:27">
      <c r="A44" s="118"/>
      <c r="B44" s="173"/>
      <c r="C44" s="432" t="s">
        <v>3039</v>
      </c>
      <c r="D44" s="445">
        <v>1.3879999999999999E-3</v>
      </c>
      <c r="E44" s="455">
        <v>59</v>
      </c>
      <c r="F44" s="431">
        <v>3</v>
      </c>
      <c r="G44" s="430">
        <v>0.6</v>
      </c>
      <c r="H44" s="454">
        <v>8.1890000000000004E-2</v>
      </c>
      <c r="I44" s="445">
        <v>4.1640000000000002E-3</v>
      </c>
      <c r="J44" s="444">
        <v>8.3299999999999997E-4</v>
      </c>
      <c r="K44" s="118"/>
      <c r="L44" s="118"/>
      <c r="M44" s="174"/>
      <c r="N44" s="174"/>
      <c r="O44" s="174"/>
      <c r="P44" s="174"/>
      <c r="Q44" s="174"/>
      <c r="R44" s="174"/>
      <c r="S44" s="174"/>
      <c r="T44" s="118"/>
      <c r="U44" s="118"/>
      <c r="V44" s="118"/>
      <c r="W44" s="118"/>
      <c r="X44" s="118"/>
      <c r="Y44" s="118"/>
      <c r="Z44" s="118"/>
      <c r="AA44" s="118"/>
    </row>
    <row r="45" spans="1:27">
      <c r="A45" s="118"/>
      <c r="B45" s="173"/>
      <c r="C45" s="432" t="s">
        <v>3040</v>
      </c>
      <c r="D45" s="445">
        <v>2.516E-3</v>
      </c>
      <c r="E45" s="455">
        <v>61.46</v>
      </c>
      <c r="F45" s="431">
        <v>3</v>
      </c>
      <c r="G45" s="430">
        <v>0.6</v>
      </c>
      <c r="H45" s="454">
        <v>0.15462999999999999</v>
      </c>
      <c r="I45" s="445">
        <v>7.548E-3</v>
      </c>
      <c r="J45" s="444">
        <v>1.5100000000000001E-3</v>
      </c>
      <c r="K45" s="144"/>
      <c r="L45" s="118"/>
      <c r="M45" s="174"/>
      <c r="N45" s="174"/>
      <c r="O45" s="174"/>
      <c r="P45" s="174"/>
      <c r="Q45" s="174"/>
      <c r="R45" s="174"/>
      <c r="S45" s="174"/>
      <c r="T45" s="118"/>
      <c r="U45" s="118"/>
      <c r="V45" s="118"/>
      <c r="W45" s="118"/>
      <c r="X45" s="118"/>
      <c r="Y45" s="118"/>
      <c r="Z45" s="118"/>
      <c r="AA45" s="118"/>
    </row>
    <row r="46" spans="1:27">
      <c r="A46" s="118"/>
      <c r="B46" s="170"/>
      <c r="C46" s="453" t="s">
        <v>3041</v>
      </c>
      <c r="D46" s="452"/>
      <c r="E46" s="452"/>
      <c r="F46" s="451"/>
      <c r="G46" s="451"/>
      <c r="H46" s="450"/>
      <c r="I46" s="450"/>
      <c r="J46" s="449"/>
      <c r="K46" s="118"/>
      <c r="L46" s="118"/>
      <c r="M46" s="174"/>
      <c r="N46" s="174"/>
      <c r="O46" s="174"/>
      <c r="P46" s="174"/>
      <c r="Q46" s="174"/>
      <c r="R46" s="174"/>
      <c r="S46" s="174"/>
      <c r="T46" s="118"/>
      <c r="U46" s="118"/>
      <c r="V46" s="118"/>
      <c r="W46" s="118"/>
      <c r="X46" s="118"/>
      <c r="Y46" s="118"/>
      <c r="Z46" s="118"/>
      <c r="AA46" s="118"/>
    </row>
    <row r="47" spans="1:27" s="113" customFormat="1">
      <c r="A47" s="114"/>
      <c r="B47" s="448"/>
      <c r="C47" s="186" t="s">
        <v>3042</v>
      </c>
      <c r="D47" s="447">
        <v>4.8500000000000003E-4</v>
      </c>
      <c r="E47" s="406">
        <v>52.07</v>
      </c>
      <c r="F47" s="446">
        <v>3.2</v>
      </c>
      <c r="G47" s="406">
        <v>0.63</v>
      </c>
      <c r="H47" s="445">
        <v>2.5253999999999999E-2</v>
      </c>
      <c r="I47" s="445">
        <v>1.552E-3</v>
      </c>
      <c r="J47" s="444">
        <v>3.0600000000000001E-4</v>
      </c>
      <c r="K47" s="118"/>
      <c r="L47" s="118"/>
      <c r="M47" s="174"/>
      <c r="N47" s="174"/>
      <c r="O47" s="174"/>
      <c r="P47" s="174"/>
      <c r="Q47" s="174"/>
      <c r="R47" s="174"/>
      <c r="S47" s="174"/>
      <c r="T47" s="118"/>
      <c r="U47" s="114"/>
      <c r="V47" s="114"/>
      <c r="W47" s="114"/>
      <c r="X47" s="114"/>
      <c r="Y47" s="114"/>
      <c r="Z47" s="114"/>
      <c r="AA47" s="114"/>
    </row>
    <row r="48" spans="1:27" s="113" customFormat="1">
      <c r="A48" s="114"/>
      <c r="B48" s="448"/>
      <c r="C48" s="186" t="s">
        <v>3043</v>
      </c>
      <c r="D48" s="447">
        <v>6.5499999999999998E-4</v>
      </c>
      <c r="E48" s="406">
        <v>52.07</v>
      </c>
      <c r="F48" s="446">
        <v>3.2</v>
      </c>
      <c r="G48" s="406">
        <v>0.63</v>
      </c>
      <c r="H48" s="445">
        <v>3.4105999999999997E-2</v>
      </c>
      <c r="I48" s="445">
        <v>2.0960000000000002E-3</v>
      </c>
      <c r="J48" s="444">
        <v>4.1300000000000001E-4</v>
      </c>
      <c r="K48" s="118"/>
      <c r="L48" s="118"/>
      <c r="M48" s="174"/>
      <c r="N48" s="174"/>
      <c r="O48" s="174"/>
      <c r="P48" s="174"/>
      <c r="Q48" s="174"/>
      <c r="R48" s="174"/>
      <c r="S48" s="174"/>
      <c r="T48" s="118"/>
      <c r="U48" s="114"/>
      <c r="V48" s="114"/>
      <c r="W48" s="114"/>
      <c r="X48" s="114"/>
      <c r="Y48" s="114"/>
      <c r="Z48" s="114"/>
      <c r="AA48" s="114"/>
    </row>
    <row r="49" spans="1:27" s="221" customFormat="1" ht="13.5">
      <c r="A49" s="275"/>
      <c r="B49" s="275"/>
      <c r="C49" s="443"/>
      <c r="D49" s="442" t="s">
        <v>3044</v>
      </c>
      <c r="E49" s="442" t="s">
        <v>3006</v>
      </c>
      <c r="F49" s="442" t="s">
        <v>3007</v>
      </c>
      <c r="G49" s="442" t="s">
        <v>3008</v>
      </c>
      <c r="H49" s="442" t="s">
        <v>3045</v>
      </c>
      <c r="I49" s="442" t="s">
        <v>3046</v>
      </c>
      <c r="J49" s="441" t="s">
        <v>3047</v>
      </c>
      <c r="K49" s="118"/>
      <c r="L49" s="118"/>
      <c r="M49" s="174"/>
      <c r="N49" s="174"/>
      <c r="O49" s="174"/>
      <c r="P49" s="174"/>
      <c r="Q49" s="174"/>
      <c r="R49" s="174"/>
      <c r="S49" s="174"/>
      <c r="T49" s="118"/>
      <c r="U49" s="275"/>
      <c r="V49" s="275"/>
      <c r="W49" s="275"/>
      <c r="X49" s="275"/>
      <c r="Y49" s="275"/>
      <c r="Z49" s="275"/>
      <c r="AA49" s="275"/>
    </row>
    <row r="50" spans="1:27" s="113" customFormat="1">
      <c r="A50" s="114"/>
      <c r="B50" s="117"/>
      <c r="C50" s="438" t="s">
        <v>3048</v>
      </c>
      <c r="D50" s="433"/>
      <c r="E50" s="433"/>
      <c r="F50" s="433"/>
      <c r="G50" s="433"/>
      <c r="H50" s="433"/>
      <c r="I50" s="433"/>
      <c r="J50" s="440"/>
      <c r="K50" s="118"/>
      <c r="L50" s="118"/>
      <c r="M50" s="174"/>
      <c r="N50" s="174"/>
      <c r="O50" s="174"/>
      <c r="P50" s="174"/>
      <c r="Q50" s="174"/>
      <c r="R50" s="174"/>
      <c r="S50" s="174"/>
      <c r="T50" s="118"/>
      <c r="U50" s="114"/>
      <c r="V50" s="114"/>
      <c r="W50" s="114"/>
      <c r="X50" s="114"/>
      <c r="Y50" s="114"/>
      <c r="Z50" s="114"/>
      <c r="AA50" s="114"/>
    </row>
    <row r="51" spans="1:27">
      <c r="A51" s="118"/>
      <c r="B51" s="173"/>
      <c r="C51" s="432" t="s">
        <v>3049</v>
      </c>
      <c r="D51" s="437">
        <v>0.158</v>
      </c>
      <c r="E51" s="430">
        <v>75.36</v>
      </c>
      <c r="F51" s="431">
        <v>3</v>
      </c>
      <c r="G51" s="430">
        <v>0.6</v>
      </c>
      <c r="H51" s="430">
        <v>11.91</v>
      </c>
      <c r="I51" s="430">
        <v>0.47</v>
      </c>
      <c r="J51" s="436">
        <v>0.09</v>
      </c>
      <c r="K51" s="118"/>
      <c r="L51" s="118"/>
      <c r="M51" s="174"/>
      <c r="N51" s="174"/>
      <c r="O51" s="174"/>
      <c r="P51" s="174"/>
      <c r="Q51" s="174"/>
      <c r="R51" s="174"/>
      <c r="S51" s="174"/>
      <c r="T51" s="118"/>
      <c r="U51" s="118"/>
      <c r="V51" s="118"/>
      <c r="W51" s="118"/>
      <c r="X51" s="118"/>
      <c r="Y51" s="118"/>
      <c r="Z51" s="118"/>
      <c r="AA51" s="118"/>
    </row>
    <row r="52" spans="1:27">
      <c r="A52" s="118"/>
      <c r="B52" s="173"/>
      <c r="C52" s="432" t="s">
        <v>3050</v>
      </c>
      <c r="D52" s="437">
        <v>0.12</v>
      </c>
      <c r="E52" s="430">
        <v>69.25</v>
      </c>
      <c r="F52" s="431">
        <v>3</v>
      </c>
      <c r="G52" s="430">
        <v>0.6</v>
      </c>
      <c r="H52" s="430">
        <v>8.31</v>
      </c>
      <c r="I52" s="430">
        <v>0.36</v>
      </c>
      <c r="J52" s="436">
        <v>7.0000000000000007E-2</v>
      </c>
      <c r="K52" s="118"/>
      <c r="L52" s="118"/>
      <c r="M52" s="174"/>
      <c r="N52" s="174"/>
      <c r="O52" s="174"/>
      <c r="P52" s="174"/>
      <c r="Q52" s="174"/>
      <c r="R52" s="174"/>
      <c r="S52" s="174"/>
      <c r="T52" s="118"/>
      <c r="U52" s="118"/>
      <c r="V52" s="118"/>
      <c r="W52" s="118"/>
      <c r="X52" s="118"/>
      <c r="Y52" s="118"/>
      <c r="Z52" s="118"/>
      <c r="AA52" s="118"/>
    </row>
    <row r="53" spans="1:27">
      <c r="A53" s="118"/>
      <c r="B53" s="173"/>
      <c r="C53" s="432" t="s">
        <v>3051</v>
      </c>
      <c r="D53" s="437">
        <v>0.10299999999999999</v>
      </c>
      <c r="E53" s="430">
        <v>64.77</v>
      </c>
      <c r="F53" s="431">
        <v>3</v>
      </c>
      <c r="G53" s="430">
        <v>0.6</v>
      </c>
      <c r="H53" s="430">
        <v>6.67</v>
      </c>
      <c r="I53" s="430">
        <v>0.31</v>
      </c>
      <c r="J53" s="436">
        <v>0.06</v>
      </c>
      <c r="K53" s="118"/>
      <c r="L53" s="118"/>
      <c r="M53" s="174"/>
      <c r="N53" s="174"/>
      <c r="O53" s="174"/>
      <c r="P53" s="174"/>
      <c r="Q53" s="174"/>
      <c r="R53" s="174"/>
      <c r="S53" s="174"/>
      <c r="T53" s="118"/>
      <c r="U53" s="118"/>
      <c r="V53" s="118"/>
      <c r="W53" s="118"/>
      <c r="X53" s="118"/>
      <c r="Y53" s="118"/>
      <c r="Z53" s="118"/>
      <c r="AA53" s="118"/>
    </row>
    <row r="54" spans="1:27">
      <c r="A54" s="118"/>
      <c r="B54" s="173"/>
      <c r="C54" s="432" t="s">
        <v>3052</v>
      </c>
      <c r="D54" s="437">
        <v>0.105</v>
      </c>
      <c r="E54" s="430">
        <v>68.72</v>
      </c>
      <c r="F54" s="431">
        <v>3</v>
      </c>
      <c r="G54" s="430">
        <v>0.6</v>
      </c>
      <c r="H54" s="430">
        <v>7.22</v>
      </c>
      <c r="I54" s="430">
        <v>0.32</v>
      </c>
      <c r="J54" s="436">
        <v>0.06</v>
      </c>
      <c r="K54" s="118"/>
      <c r="L54" s="118"/>
      <c r="M54" s="174"/>
      <c r="N54" s="174"/>
      <c r="O54" s="174"/>
      <c r="P54" s="174"/>
      <c r="Q54" s="174"/>
      <c r="R54" s="174"/>
      <c r="S54" s="174"/>
      <c r="T54" s="118"/>
      <c r="U54" s="118"/>
      <c r="V54" s="118"/>
      <c r="W54" s="118"/>
      <c r="X54" s="118"/>
      <c r="Y54" s="118"/>
      <c r="Z54" s="118"/>
      <c r="AA54" s="118"/>
    </row>
    <row r="55" spans="1:27">
      <c r="A55" s="118"/>
      <c r="B55" s="173"/>
      <c r="C55" s="432" t="s">
        <v>3053</v>
      </c>
      <c r="D55" s="437">
        <v>0.13800000000000001</v>
      </c>
      <c r="E55" s="430">
        <v>74.540000000000006</v>
      </c>
      <c r="F55" s="431">
        <v>3</v>
      </c>
      <c r="G55" s="430">
        <v>0.6</v>
      </c>
      <c r="H55" s="430">
        <v>10.29</v>
      </c>
      <c r="I55" s="430">
        <v>0.41</v>
      </c>
      <c r="J55" s="436">
        <v>0.08</v>
      </c>
      <c r="K55" s="118"/>
      <c r="L55" s="118"/>
      <c r="M55" s="174"/>
      <c r="N55" s="174"/>
      <c r="O55" s="174"/>
      <c r="P55" s="174"/>
      <c r="Q55" s="174"/>
      <c r="R55" s="174"/>
      <c r="S55" s="174"/>
      <c r="T55" s="118"/>
      <c r="U55" s="118"/>
      <c r="V55" s="118"/>
      <c r="W55" s="118"/>
      <c r="X55" s="118"/>
      <c r="Y55" s="118"/>
      <c r="Z55" s="118"/>
      <c r="AA55" s="118"/>
    </row>
    <row r="56" spans="1:27">
      <c r="A56" s="118"/>
      <c r="B56" s="173"/>
      <c r="C56" s="432" t="s">
        <v>3054</v>
      </c>
      <c r="D56" s="437">
        <v>0.13900000000000001</v>
      </c>
      <c r="E56" s="430">
        <v>73.25</v>
      </c>
      <c r="F56" s="431">
        <v>3</v>
      </c>
      <c r="G56" s="430">
        <v>0.6</v>
      </c>
      <c r="H56" s="430">
        <v>10.18</v>
      </c>
      <c r="I56" s="430">
        <v>0.42</v>
      </c>
      <c r="J56" s="436">
        <v>0.08</v>
      </c>
      <c r="K56" s="118"/>
      <c r="L56" s="118"/>
      <c r="M56" s="174"/>
      <c r="N56" s="174"/>
      <c r="O56" s="174"/>
      <c r="P56" s="174"/>
      <c r="Q56" s="174"/>
      <c r="R56" s="174"/>
      <c r="S56" s="174"/>
      <c r="T56" s="118"/>
      <c r="U56" s="118"/>
      <c r="V56" s="118"/>
      <c r="W56" s="118"/>
      <c r="X56" s="118"/>
      <c r="Y56" s="118"/>
      <c r="Z56" s="118"/>
      <c r="AA56" s="118"/>
    </row>
    <row r="57" spans="1:27">
      <c r="A57" s="118"/>
      <c r="B57" s="173"/>
      <c r="C57" s="432" t="s">
        <v>3055</v>
      </c>
      <c r="D57" s="437">
        <v>0.13800000000000001</v>
      </c>
      <c r="E57" s="430">
        <v>73.959999999999994</v>
      </c>
      <c r="F57" s="431">
        <v>3</v>
      </c>
      <c r="G57" s="430">
        <v>0.6</v>
      </c>
      <c r="H57" s="430">
        <v>10.210000000000001</v>
      </c>
      <c r="I57" s="430">
        <v>0.41</v>
      </c>
      <c r="J57" s="436">
        <v>0.08</v>
      </c>
      <c r="K57" s="118"/>
      <c r="L57" s="118"/>
      <c r="M57" s="174"/>
      <c r="N57" s="174"/>
      <c r="O57" s="174"/>
      <c r="P57" s="174"/>
      <c r="Q57" s="174"/>
      <c r="R57" s="174"/>
      <c r="S57" s="174"/>
      <c r="T57" s="118"/>
      <c r="U57" s="118"/>
      <c r="V57" s="118"/>
      <c r="W57" s="118"/>
      <c r="X57" s="118"/>
      <c r="Y57" s="118"/>
      <c r="Z57" s="118"/>
      <c r="AA57" s="118"/>
    </row>
    <row r="58" spans="1:27">
      <c r="A58" s="118"/>
      <c r="B58" s="173"/>
      <c r="C58" s="432" t="s">
        <v>3056</v>
      </c>
      <c r="D58" s="437">
        <v>0.14599999999999999</v>
      </c>
      <c r="E58" s="430">
        <v>75.040000000000006</v>
      </c>
      <c r="F58" s="431">
        <v>3</v>
      </c>
      <c r="G58" s="430">
        <v>0.6</v>
      </c>
      <c r="H58" s="430">
        <v>10.96</v>
      </c>
      <c r="I58" s="430">
        <v>0.44</v>
      </c>
      <c r="J58" s="436">
        <v>0.09</v>
      </c>
      <c r="K58" s="118"/>
      <c r="L58" s="118"/>
      <c r="M58" s="174"/>
      <c r="N58" s="174"/>
      <c r="O58" s="174"/>
      <c r="P58" s="174"/>
      <c r="Q58" s="174"/>
      <c r="R58" s="174"/>
      <c r="S58" s="174"/>
      <c r="T58" s="118"/>
      <c r="U58" s="118"/>
      <c r="V58" s="118"/>
      <c r="W58" s="118"/>
      <c r="X58" s="118"/>
      <c r="Y58" s="118"/>
      <c r="Z58" s="118"/>
      <c r="AA58" s="118"/>
    </row>
    <row r="59" spans="1:27">
      <c r="A59" s="118"/>
      <c r="B59" s="173"/>
      <c r="C59" s="432" t="s">
        <v>3057</v>
      </c>
      <c r="D59" s="437">
        <v>6.8000000000000005E-2</v>
      </c>
      <c r="E59" s="430">
        <v>59.6</v>
      </c>
      <c r="F59" s="431">
        <v>3</v>
      </c>
      <c r="G59" s="430">
        <v>0.6</v>
      </c>
      <c r="H59" s="430">
        <v>4.05</v>
      </c>
      <c r="I59" s="430">
        <v>0.2</v>
      </c>
      <c r="J59" s="436">
        <v>0.04</v>
      </c>
      <c r="K59" s="118"/>
      <c r="L59" s="118"/>
      <c r="M59" s="174"/>
      <c r="N59" s="174"/>
      <c r="O59" s="174"/>
      <c r="P59" s="174"/>
      <c r="Q59" s="174"/>
      <c r="R59" s="174"/>
      <c r="S59" s="174"/>
      <c r="T59" s="118"/>
      <c r="U59" s="118"/>
      <c r="V59" s="118"/>
      <c r="W59" s="118"/>
      <c r="X59" s="118"/>
      <c r="Y59" s="118"/>
      <c r="Z59" s="118"/>
      <c r="AA59" s="118"/>
    </row>
    <row r="60" spans="1:27">
      <c r="A60" s="118"/>
      <c r="B60" s="173"/>
      <c r="C60" s="432" t="s">
        <v>3058</v>
      </c>
      <c r="D60" s="437">
        <v>5.8000000000000003E-2</v>
      </c>
      <c r="E60" s="430">
        <v>65.959999999999994</v>
      </c>
      <c r="F60" s="431">
        <v>3</v>
      </c>
      <c r="G60" s="430">
        <v>0.6</v>
      </c>
      <c r="H60" s="430">
        <v>3.83</v>
      </c>
      <c r="I60" s="430">
        <v>0.17</v>
      </c>
      <c r="J60" s="436">
        <v>0.03</v>
      </c>
      <c r="K60" s="118"/>
      <c r="L60" s="118"/>
      <c r="M60" s="174"/>
      <c r="N60" s="174"/>
      <c r="O60" s="174"/>
      <c r="P60" s="174"/>
      <c r="Q60" s="174"/>
      <c r="R60" s="174"/>
      <c r="S60" s="174"/>
      <c r="T60" s="118"/>
      <c r="U60" s="118"/>
      <c r="V60" s="118"/>
      <c r="W60" s="118"/>
      <c r="X60" s="118"/>
      <c r="Y60" s="118"/>
      <c r="Z60" s="118"/>
      <c r="AA60" s="118"/>
    </row>
    <row r="61" spans="1:27">
      <c r="A61" s="118"/>
      <c r="B61" s="173"/>
      <c r="C61" s="432" t="s">
        <v>3059</v>
      </c>
      <c r="D61" s="437">
        <v>0.14799999999999999</v>
      </c>
      <c r="E61" s="430">
        <v>74.92</v>
      </c>
      <c r="F61" s="431">
        <v>3</v>
      </c>
      <c r="G61" s="430">
        <v>0.6</v>
      </c>
      <c r="H61" s="430">
        <v>11.09</v>
      </c>
      <c r="I61" s="430">
        <v>0.44</v>
      </c>
      <c r="J61" s="436">
        <v>0.09</v>
      </c>
      <c r="K61" s="118"/>
      <c r="L61" s="118"/>
      <c r="M61" s="174"/>
      <c r="N61" s="174"/>
      <c r="O61" s="174"/>
      <c r="P61" s="174"/>
      <c r="Q61" s="174"/>
      <c r="R61" s="174"/>
      <c r="S61" s="174"/>
      <c r="T61" s="118"/>
      <c r="U61" s="118"/>
      <c r="V61" s="118"/>
      <c r="W61" s="118"/>
      <c r="X61" s="118"/>
      <c r="Y61" s="118"/>
      <c r="Z61" s="118"/>
      <c r="AA61" s="118"/>
    </row>
    <row r="62" spans="1:27">
      <c r="A62" s="118"/>
      <c r="B62" s="173"/>
      <c r="C62" s="432" t="s">
        <v>3060</v>
      </c>
      <c r="D62" s="437">
        <v>9.9000000000000005E-2</v>
      </c>
      <c r="E62" s="430">
        <v>64.94</v>
      </c>
      <c r="F62" s="431">
        <v>3</v>
      </c>
      <c r="G62" s="430">
        <v>0.6</v>
      </c>
      <c r="H62" s="430">
        <v>6.43</v>
      </c>
      <c r="I62" s="430">
        <v>0.3</v>
      </c>
      <c r="J62" s="436">
        <v>0.06</v>
      </c>
      <c r="K62" s="118"/>
      <c r="L62" s="118"/>
      <c r="M62" s="174"/>
      <c r="N62" s="174"/>
      <c r="O62" s="174"/>
      <c r="P62" s="174"/>
      <c r="Q62" s="174"/>
      <c r="R62" s="174"/>
      <c r="S62" s="174"/>
      <c r="T62" s="118"/>
      <c r="U62" s="118"/>
      <c r="V62" s="118"/>
      <c r="W62" s="118"/>
      <c r="X62" s="118"/>
      <c r="Y62" s="118"/>
      <c r="Z62" s="118"/>
      <c r="AA62" s="118"/>
    </row>
    <row r="63" spans="1:27">
      <c r="A63" s="118"/>
      <c r="B63" s="173"/>
      <c r="C63" s="432" t="s">
        <v>3061</v>
      </c>
      <c r="D63" s="437">
        <v>0.10299999999999999</v>
      </c>
      <c r="E63" s="430">
        <v>68.86</v>
      </c>
      <c r="F63" s="431">
        <v>3</v>
      </c>
      <c r="G63" s="430">
        <v>0.6</v>
      </c>
      <c r="H63" s="430">
        <v>7.09</v>
      </c>
      <c r="I63" s="430">
        <v>0.31</v>
      </c>
      <c r="J63" s="436">
        <v>0.06</v>
      </c>
      <c r="K63" s="118"/>
      <c r="L63" s="118"/>
      <c r="M63" s="174"/>
      <c r="N63" s="174"/>
      <c r="O63" s="174"/>
      <c r="P63" s="174"/>
      <c r="Q63" s="174"/>
      <c r="R63" s="174"/>
      <c r="S63" s="174"/>
      <c r="T63" s="118"/>
      <c r="U63" s="118"/>
      <c r="V63" s="118"/>
      <c r="W63" s="118"/>
      <c r="X63" s="118"/>
      <c r="Y63" s="118"/>
      <c r="Z63" s="118"/>
      <c r="AA63" s="118"/>
    </row>
    <row r="64" spans="1:27">
      <c r="A64" s="118"/>
      <c r="B64" s="173"/>
      <c r="C64" s="432" t="s">
        <v>3062</v>
      </c>
      <c r="D64" s="437">
        <v>0.13500000000000001</v>
      </c>
      <c r="E64" s="430">
        <v>75.2</v>
      </c>
      <c r="F64" s="431">
        <v>3</v>
      </c>
      <c r="G64" s="430">
        <v>0.6</v>
      </c>
      <c r="H64" s="430">
        <v>10.15</v>
      </c>
      <c r="I64" s="430">
        <v>0.41</v>
      </c>
      <c r="J64" s="436">
        <v>0.08</v>
      </c>
      <c r="K64" s="118"/>
      <c r="L64" s="118"/>
      <c r="M64" s="174"/>
      <c r="N64" s="174"/>
      <c r="O64" s="174"/>
      <c r="P64" s="174"/>
      <c r="Q64" s="174"/>
      <c r="R64" s="174"/>
      <c r="S64" s="174"/>
      <c r="T64" s="118"/>
      <c r="U64" s="118"/>
      <c r="V64" s="118"/>
      <c r="W64" s="118"/>
      <c r="X64" s="118"/>
      <c r="Y64" s="118"/>
      <c r="Z64" s="118"/>
      <c r="AA64" s="118"/>
    </row>
    <row r="65" spans="1:27">
      <c r="A65" s="118"/>
      <c r="B65" s="173"/>
      <c r="C65" s="432" t="s">
        <v>3063</v>
      </c>
      <c r="D65" s="437">
        <v>0.13500000000000001</v>
      </c>
      <c r="E65" s="430">
        <v>72.22</v>
      </c>
      <c r="F65" s="431">
        <v>3</v>
      </c>
      <c r="G65" s="430">
        <v>0.6</v>
      </c>
      <c r="H65" s="430">
        <v>9.75</v>
      </c>
      <c r="I65" s="430">
        <v>0.41</v>
      </c>
      <c r="J65" s="436">
        <v>0.08</v>
      </c>
      <c r="K65" s="118"/>
      <c r="L65" s="118"/>
      <c r="M65" s="174"/>
      <c r="N65" s="174"/>
      <c r="O65" s="174"/>
      <c r="P65" s="174"/>
      <c r="Q65" s="174"/>
      <c r="R65" s="174"/>
      <c r="S65" s="174"/>
      <c r="T65" s="118"/>
      <c r="U65" s="118"/>
      <c r="V65" s="118"/>
      <c r="W65" s="118"/>
      <c r="X65" s="118"/>
      <c r="Y65" s="118"/>
      <c r="Z65" s="118"/>
      <c r="AA65" s="118"/>
    </row>
    <row r="66" spans="1:27">
      <c r="A66" s="118"/>
      <c r="B66" s="173"/>
      <c r="C66" s="432" t="s">
        <v>3064</v>
      </c>
      <c r="D66" s="437">
        <v>9.1999999999999998E-2</v>
      </c>
      <c r="E66" s="430">
        <v>61.71</v>
      </c>
      <c r="F66" s="431">
        <v>3</v>
      </c>
      <c r="G66" s="430">
        <v>0.6</v>
      </c>
      <c r="H66" s="430">
        <v>5.68</v>
      </c>
      <c r="I66" s="430">
        <v>0.28000000000000003</v>
      </c>
      <c r="J66" s="436">
        <v>0.06</v>
      </c>
      <c r="K66" s="118"/>
      <c r="L66" s="118"/>
      <c r="M66" s="174"/>
      <c r="N66" s="174"/>
      <c r="O66" s="174"/>
      <c r="P66" s="174"/>
      <c r="Q66" s="174"/>
      <c r="R66" s="174"/>
      <c r="S66" s="174"/>
      <c r="T66" s="118"/>
      <c r="U66" s="118"/>
      <c r="V66" s="118"/>
      <c r="W66" s="118"/>
      <c r="X66" s="118"/>
      <c r="Y66" s="118"/>
      <c r="Z66" s="118"/>
      <c r="AA66" s="118"/>
    </row>
    <row r="67" spans="1:27">
      <c r="A67" s="118"/>
      <c r="B67" s="173"/>
      <c r="C67" s="432" t="s">
        <v>3065</v>
      </c>
      <c r="D67" s="437">
        <v>0.14399999999999999</v>
      </c>
      <c r="E67" s="430">
        <v>74.27</v>
      </c>
      <c r="F67" s="431">
        <v>3</v>
      </c>
      <c r="G67" s="430">
        <v>0.6</v>
      </c>
      <c r="H67" s="430">
        <v>10.69</v>
      </c>
      <c r="I67" s="430">
        <v>0.43</v>
      </c>
      <c r="J67" s="436">
        <v>0.09</v>
      </c>
      <c r="K67" s="118"/>
      <c r="L67" s="118"/>
      <c r="M67" s="174"/>
      <c r="N67" s="174"/>
      <c r="O67" s="174"/>
      <c r="P67" s="174"/>
      <c r="Q67" s="174"/>
      <c r="R67" s="174"/>
      <c r="S67" s="174"/>
      <c r="T67" s="118"/>
      <c r="U67" s="118"/>
      <c r="V67" s="118"/>
      <c r="W67" s="118"/>
      <c r="X67" s="118"/>
      <c r="Y67" s="118"/>
      <c r="Z67" s="118"/>
      <c r="AA67" s="118"/>
    </row>
    <row r="68" spans="1:27">
      <c r="A68" s="118"/>
      <c r="B68" s="173"/>
      <c r="C68" s="432" t="s">
        <v>3066</v>
      </c>
      <c r="D68" s="437">
        <v>0.125</v>
      </c>
      <c r="E68" s="430">
        <v>70.22</v>
      </c>
      <c r="F68" s="431">
        <v>3</v>
      </c>
      <c r="G68" s="430">
        <v>0.6</v>
      </c>
      <c r="H68" s="430">
        <v>8.7799999999999994</v>
      </c>
      <c r="I68" s="430">
        <v>0.38</v>
      </c>
      <c r="J68" s="436">
        <v>0.08</v>
      </c>
      <c r="K68" s="118"/>
      <c r="L68" s="118"/>
      <c r="M68" s="174"/>
      <c r="N68" s="174"/>
      <c r="O68" s="174"/>
      <c r="P68" s="174"/>
      <c r="Q68" s="174"/>
      <c r="R68" s="174"/>
      <c r="S68" s="174"/>
      <c r="T68" s="118"/>
      <c r="U68" s="118"/>
      <c r="V68" s="118"/>
      <c r="W68" s="118"/>
      <c r="X68" s="118"/>
      <c r="Y68" s="118"/>
      <c r="Z68" s="118"/>
      <c r="AA68" s="118"/>
    </row>
    <row r="69" spans="1:27">
      <c r="A69" s="118"/>
      <c r="B69" s="173"/>
      <c r="C69" s="432" t="s">
        <v>3067</v>
      </c>
      <c r="D69" s="437">
        <v>0.125</v>
      </c>
      <c r="E69" s="430">
        <v>68.02</v>
      </c>
      <c r="F69" s="431">
        <v>3</v>
      </c>
      <c r="G69" s="430">
        <v>0.6</v>
      </c>
      <c r="H69" s="430">
        <v>8.5</v>
      </c>
      <c r="I69" s="430">
        <v>0.38</v>
      </c>
      <c r="J69" s="436">
        <v>0.08</v>
      </c>
      <c r="K69" s="118"/>
      <c r="L69" s="118"/>
      <c r="M69" s="174"/>
      <c r="N69" s="174"/>
      <c r="O69" s="174"/>
      <c r="P69" s="174"/>
      <c r="Q69" s="174"/>
      <c r="R69" s="174"/>
      <c r="S69" s="174"/>
      <c r="T69" s="118"/>
      <c r="U69" s="118"/>
      <c r="V69" s="118"/>
      <c r="W69" s="118"/>
      <c r="X69" s="118"/>
      <c r="Y69" s="118"/>
      <c r="Z69" s="118"/>
      <c r="AA69" s="118"/>
    </row>
    <row r="70" spans="1:27">
      <c r="A70" s="118"/>
      <c r="B70" s="173"/>
      <c r="C70" s="432" t="s">
        <v>3068</v>
      </c>
      <c r="D70" s="437">
        <v>0.11</v>
      </c>
      <c r="E70" s="430">
        <v>66.88</v>
      </c>
      <c r="F70" s="431">
        <v>3</v>
      </c>
      <c r="G70" s="430">
        <v>0.6</v>
      </c>
      <c r="H70" s="430">
        <v>7.36</v>
      </c>
      <c r="I70" s="430">
        <v>0.33</v>
      </c>
      <c r="J70" s="436">
        <v>7.0000000000000007E-2</v>
      </c>
      <c r="K70" s="118"/>
      <c r="L70" s="118"/>
      <c r="M70" s="174"/>
      <c r="N70" s="174"/>
      <c r="O70" s="174"/>
      <c r="P70" s="174"/>
      <c r="Q70" s="174"/>
      <c r="R70" s="174"/>
      <c r="S70" s="174"/>
      <c r="T70" s="118"/>
      <c r="U70" s="118"/>
      <c r="V70" s="118"/>
      <c r="W70" s="118"/>
      <c r="X70" s="118"/>
      <c r="Y70" s="118"/>
      <c r="Z70" s="118"/>
      <c r="AA70" s="118"/>
    </row>
    <row r="71" spans="1:27">
      <c r="A71" s="118"/>
      <c r="B71" s="173"/>
      <c r="C71" s="432" t="s">
        <v>3069</v>
      </c>
      <c r="D71" s="437">
        <v>0.13900000000000001</v>
      </c>
      <c r="E71" s="430">
        <v>76.22</v>
      </c>
      <c r="F71" s="431">
        <v>3</v>
      </c>
      <c r="G71" s="430">
        <v>0.6</v>
      </c>
      <c r="H71" s="430">
        <v>10.59</v>
      </c>
      <c r="I71" s="430">
        <v>0.42</v>
      </c>
      <c r="J71" s="436">
        <v>0.08</v>
      </c>
      <c r="K71" s="118"/>
      <c r="L71" s="118"/>
      <c r="M71" s="174"/>
      <c r="N71" s="174"/>
      <c r="O71" s="174"/>
      <c r="P71" s="174"/>
      <c r="Q71" s="174"/>
      <c r="R71" s="174"/>
      <c r="S71" s="174"/>
      <c r="T71" s="118"/>
      <c r="U71" s="118"/>
      <c r="V71" s="118"/>
      <c r="W71" s="118"/>
      <c r="X71" s="118"/>
      <c r="Y71" s="118"/>
      <c r="Z71" s="118"/>
      <c r="AA71" s="118"/>
    </row>
    <row r="72" spans="1:27">
      <c r="A72" s="118"/>
      <c r="B72" s="173"/>
      <c r="C72" s="432" t="s">
        <v>3070</v>
      </c>
      <c r="D72" s="437">
        <v>0.11</v>
      </c>
      <c r="E72" s="430">
        <v>70.02</v>
      </c>
      <c r="F72" s="431">
        <v>3</v>
      </c>
      <c r="G72" s="430">
        <v>0.6</v>
      </c>
      <c r="H72" s="430">
        <v>7.7</v>
      </c>
      <c r="I72" s="430">
        <v>0.33</v>
      </c>
      <c r="J72" s="436">
        <v>7.0000000000000007E-2</v>
      </c>
      <c r="K72" s="118"/>
      <c r="L72" s="118"/>
      <c r="M72" s="174"/>
      <c r="N72" s="174"/>
      <c r="O72" s="174"/>
      <c r="P72" s="174"/>
      <c r="Q72" s="174"/>
      <c r="R72" s="174"/>
      <c r="S72" s="174"/>
      <c r="T72" s="118"/>
      <c r="U72" s="118"/>
      <c r="V72" s="118"/>
      <c r="W72" s="118"/>
      <c r="X72" s="118"/>
      <c r="Y72" s="118"/>
      <c r="Z72" s="118"/>
      <c r="AA72" s="118"/>
    </row>
    <row r="73" spans="1:27">
      <c r="A73" s="118"/>
      <c r="B73" s="173"/>
      <c r="C73" s="432" t="s">
        <v>3071</v>
      </c>
      <c r="D73" s="437">
        <v>0.125</v>
      </c>
      <c r="E73" s="430">
        <v>71.02</v>
      </c>
      <c r="F73" s="431">
        <v>3</v>
      </c>
      <c r="G73" s="430">
        <v>0.6</v>
      </c>
      <c r="H73" s="430">
        <v>8.8800000000000008</v>
      </c>
      <c r="I73" s="430">
        <v>0.38</v>
      </c>
      <c r="J73" s="436">
        <v>0.08</v>
      </c>
      <c r="K73" s="118"/>
      <c r="L73" s="118"/>
      <c r="M73" s="174"/>
      <c r="N73" s="174"/>
      <c r="O73" s="174"/>
      <c r="P73" s="174"/>
      <c r="Q73" s="174"/>
      <c r="R73" s="174"/>
      <c r="S73" s="174"/>
      <c r="T73" s="118"/>
      <c r="U73" s="118"/>
      <c r="V73" s="118"/>
      <c r="W73" s="118"/>
      <c r="X73" s="118"/>
      <c r="Y73" s="118"/>
      <c r="Z73" s="118"/>
      <c r="AA73" s="118"/>
    </row>
    <row r="74" spans="1:27">
      <c r="A74" s="118"/>
      <c r="B74" s="173"/>
      <c r="C74" s="432" t="s">
        <v>3072</v>
      </c>
      <c r="D74" s="437">
        <v>9.0999999999999998E-2</v>
      </c>
      <c r="E74" s="430">
        <v>62.87</v>
      </c>
      <c r="F74" s="431">
        <v>3</v>
      </c>
      <c r="G74" s="430">
        <v>0.6</v>
      </c>
      <c r="H74" s="430">
        <v>5.72</v>
      </c>
      <c r="I74" s="430">
        <v>0.27</v>
      </c>
      <c r="J74" s="436">
        <v>0.05</v>
      </c>
      <c r="K74" s="439"/>
      <c r="L74" s="118"/>
      <c r="M74" s="174"/>
      <c r="N74" s="174"/>
      <c r="O74" s="174"/>
      <c r="P74" s="174"/>
      <c r="Q74" s="174"/>
      <c r="R74" s="174"/>
      <c r="S74" s="174"/>
      <c r="T74" s="118"/>
      <c r="U74" s="118"/>
      <c r="V74" s="118"/>
      <c r="W74" s="118"/>
      <c r="X74" s="118"/>
      <c r="Y74" s="118"/>
      <c r="Z74" s="118"/>
      <c r="AA74" s="118"/>
    </row>
    <row r="75" spans="1:27">
      <c r="A75" s="118"/>
      <c r="B75" s="173"/>
      <c r="C75" s="432" t="s">
        <v>3073</v>
      </c>
      <c r="D75" s="437">
        <v>9.0999999999999998E-2</v>
      </c>
      <c r="E75" s="430">
        <v>67.77</v>
      </c>
      <c r="F75" s="431">
        <v>3</v>
      </c>
      <c r="G75" s="430">
        <v>0.6</v>
      </c>
      <c r="H75" s="430">
        <v>6.17</v>
      </c>
      <c r="I75" s="430">
        <v>0.27</v>
      </c>
      <c r="J75" s="436">
        <v>0.05</v>
      </c>
      <c r="K75" s="118"/>
      <c r="L75" s="118"/>
      <c r="M75" s="174"/>
      <c r="N75" s="174"/>
      <c r="O75" s="174"/>
      <c r="P75" s="174"/>
      <c r="Q75" s="174"/>
      <c r="R75" s="174"/>
      <c r="S75" s="174"/>
      <c r="T75" s="118"/>
      <c r="U75" s="118"/>
      <c r="V75" s="118"/>
      <c r="W75" s="118"/>
      <c r="X75" s="118"/>
      <c r="Y75" s="118"/>
      <c r="Z75" s="118"/>
      <c r="AA75" s="118"/>
    </row>
    <row r="76" spans="1:27">
      <c r="A76" s="118"/>
      <c r="B76" s="173"/>
      <c r="C76" s="432" t="s">
        <v>3074</v>
      </c>
      <c r="D76" s="437">
        <v>0.14000000000000001</v>
      </c>
      <c r="E76" s="430">
        <v>72.930000000000007</v>
      </c>
      <c r="F76" s="431">
        <v>3</v>
      </c>
      <c r="G76" s="430">
        <v>0.6</v>
      </c>
      <c r="H76" s="430">
        <v>10.210000000000001</v>
      </c>
      <c r="I76" s="430">
        <v>0.42</v>
      </c>
      <c r="J76" s="436">
        <v>0.08</v>
      </c>
      <c r="K76" s="118"/>
      <c r="L76" s="118"/>
      <c r="M76" s="174"/>
      <c r="N76" s="174"/>
      <c r="O76" s="174"/>
      <c r="P76" s="174"/>
      <c r="Q76" s="174"/>
      <c r="R76" s="174"/>
      <c r="S76" s="174"/>
      <c r="T76" s="118"/>
      <c r="U76" s="118"/>
      <c r="V76" s="118"/>
      <c r="W76" s="118"/>
      <c r="X76" s="118"/>
      <c r="Y76" s="118"/>
      <c r="Z76" s="118"/>
      <c r="AA76" s="118"/>
    </row>
    <row r="77" spans="1:27">
      <c r="A77" s="118"/>
      <c r="B77" s="173"/>
      <c r="C77" s="432" t="s">
        <v>3075</v>
      </c>
      <c r="D77" s="437">
        <v>0.15</v>
      </c>
      <c r="E77" s="430">
        <v>75.099999999999994</v>
      </c>
      <c r="F77" s="431">
        <v>3</v>
      </c>
      <c r="G77" s="430">
        <v>0.6</v>
      </c>
      <c r="H77" s="430">
        <v>11.27</v>
      </c>
      <c r="I77" s="430">
        <v>0.45</v>
      </c>
      <c r="J77" s="436">
        <v>0.09</v>
      </c>
      <c r="K77" s="118"/>
      <c r="L77" s="118"/>
      <c r="M77" s="174"/>
      <c r="N77" s="174"/>
      <c r="O77" s="174"/>
      <c r="P77" s="174"/>
      <c r="Q77" s="174"/>
      <c r="R77" s="174"/>
      <c r="S77" s="174"/>
      <c r="T77" s="118"/>
      <c r="U77" s="118"/>
      <c r="V77" s="118"/>
      <c r="W77" s="118"/>
      <c r="X77" s="118"/>
      <c r="Y77" s="118"/>
      <c r="Z77" s="118"/>
      <c r="AA77" s="118"/>
    </row>
    <row r="78" spans="1:27">
      <c r="A78" s="118"/>
      <c r="B78" s="173"/>
      <c r="C78" s="432" t="s">
        <v>3076</v>
      </c>
      <c r="D78" s="437">
        <v>0.125</v>
      </c>
      <c r="E78" s="430">
        <v>72.34</v>
      </c>
      <c r="F78" s="431">
        <v>3</v>
      </c>
      <c r="G78" s="430">
        <v>0.6</v>
      </c>
      <c r="H78" s="430">
        <v>9.0399999999999991</v>
      </c>
      <c r="I78" s="430">
        <v>0.38</v>
      </c>
      <c r="J78" s="436">
        <v>0.08</v>
      </c>
      <c r="K78" s="118"/>
      <c r="L78" s="118"/>
      <c r="M78" s="174"/>
      <c r="N78" s="174"/>
      <c r="O78" s="174"/>
      <c r="P78" s="174"/>
      <c r="Q78" s="174"/>
      <c r="R78" s="174"/>
      <c r="S78" s="174"/>
      <c r="T78" s="118"/>
      <c r="U78" s="118"/>
      <c r="V78" s="118"/>
      <c r="W78" s="118"/>
      <c r="X78" s="118"/>
      <c r="Y78" s="118"/>
      <c r="Z78" s="118"/>
      <c r="AA78" s="118"/>
    </row>
    <row r="79" spans="1:27">
      <c r="A79" s="118"/>
      <c r="B79" s="173"/>
      <c r="C79" s="432" t="s">
        <v>3077</v>
      </c>
      <c r="D79" s="437">
        <v>0.13900000000000001</v>
      </c>
      <c r="E79" s="430">
        <v>74.540000000000006</v>
      </c>
      <c r="F79" s="431">
        <v>3</v>
      </c>
      <c r="G79" s="430">
        <v>0.6</v>
      </c>
      <c r="H79" s="430">
        <v>10.36</v>
      </c>
      <c r="I79" s="430">
        <v>0.42</v>
      </c>
      <c r="J79" s="436">
        <v>0.08</v>
      </c>
      <c r="K79" s="118"/>
      <c r="L79" s="118"/>
      <c r="M79" s="174"/>
      <c r="N79" s="174"/>
      <c r="O79" s="174"/>
      <c r="P79" s="174"/>
      <c r="Q79" s="174"/>
      <c r="R79" s="174"/>
      <c r="S79" s="174"/>
      <c r="T79" s="118"/>
      <c r="U79" s="118"/>
      <c r="V79" s="118"/>
      <c r="W79" s="118"/>
      <c r="X79" s="118"/>
      <c r="Y79" s="118"/>
      <c r="Z79" s="118"/>
      <c r="AA79" s="118"/>
    </row>
    <row r="80" spans="1:27">
      <c r="A80" s="118"/>
      <c r="B80" s="173"/>
      <c r="C80" s="432" t="s">
        <v>3078</v>
      </c>
      <c r="D80" s="437">
        <v>0.13800000000000001</v>
      </c>
      <c r="E80" s="430">
        <v>74</v>
      </c>
      <c r="F80" s="431">
        <v>3</v>
      </c>
      <c r="G80" s="430">
        <v>0.6</v>
      </c>
      <c r="H80" s="430">
        <v>10.210000000000001</v>
      </c>
      <c r="I80" s="430">
        <v>0.41</v>
      </c>
      <c r="J80" s="436">
        <v>0.08</v>
      </c>
      <c r="K80" s="118"/>
      <c r="L80" s="118"/>
      <c r="M80" s="174"/>
      <c r="N80" s="174"/>
      <c r="O80" s="174"/>
      <c r="P80" s="174"/>
      <c r="Q80" s="174"/>
      <c r="R80" s="174"/>
      <c r="S80" s="174"/>
      <c r="T80" s="118"/>
      <c r="U80" s="118"/>
      <c r="V80" s="118"/>
      <c r="W80" s="118"/>
      <c r="X80" s="118"/>
      <c r="Y80" s="118"/>
      <c r="Z80" s="118"/>
      <c r="AA80" s="118"/>
    </row>
    <row r="81" spans="1:27" s="113" customFormat="1">
      <c r="A81" s="114"/>
      <c r="B81" s="117"/>
      <c r="C81" s="438" t="s">
        <v>3079</v>
      </c>
      <c r="D81" s="433"/>
      <c r="E81" s="434"/>
      <c r="F81" s="433"/>
      <c r="G81" s="433"/>
      <c r="H81" s="429"/>
      <c r="I81" s="429"/>
      <c r="J81" s="428"/>
      <c r="K81" s="118"/>
      <c r="L81" s="118"/>
      <c r="M81" s="174"/>
      <c r="N81" s="174"/>
      <c r="O81" s="174"/>
      <c r="P81" s="174"/>
      <c r="Q81" s="174"/>
      <c r="R81" s="174"/>
      <c r="S81" s="174"/>
      <c r="T81" s="114"/>
      <c r="U81" s="114"/>
      <c r="V81" s="114"/>
      <c r="W81" s="114"/>
      <c r="X81" s="114"/>
      <c r="Y81" s="114"/>
      <c r="Z81" s="114"/>
      <c r="AA81" s="114"/>
    </row>
    <row r="82" spans="1:27">
      <c r="A82" s="118"/>
      <c r="B82" s="173"/>
      <c r="C82" s="432" t="s">
        <v>3080</v>
      </c>
      <c r="D82" s="437">
        <v>0.128</v>
      </c>
      <c r="E82" s="430">
        <v>73.84</v>
      </c>
      <c r="F82" s="431">
        <v>1.1000000000000001</v>
      </c>
      <c r="G82" s="430">
        <v>0.11</v>
      </c>
      <c r="H82" s="430">
        <v>9.4499999999999993</v>
      </c>
      <c r="I82" s="430">
        <v>0.14000000000000001</v>
      </c>
      <c r="J82" s="436">
        <v>0.01</v>
      </c>
      <c r="K82" s="118"/>
      <c r="L82" s="118"/>
      <c r="M82" s="174"/>
      <c r="N82" s="174"/>
      <c r="O82" s="174"/>
      <c r="P82" s="174"/>
      <c r="Q82" s="174"/>
      <c r="R82" s="174"/>
      <c r="S82" s="174"/>
      <c r="T82" s="118"/>
      <c r="U82" s="118"/>
      <c r="V82" s="118"/>
      <c r="W82" s="118"/>
      <c r="X82" s="118"/>
      <c r="Y82" s="118"/>
      <c r="Z82" s="118"/>
      <c r="AA82" s="118"/>
    </row>
    <row r="83" spans="1:27">
      <c r="A83" s="118"/>
      <c r="B83" s="173"/>
      <c r="C83" s="432" t="s">
        <v>3081</v>
      </c>
      <c r="D83" s="437">
        <v>8.4000000000000005E-2</v>
      </c>
      <c r="E83" s="430">
        <v>68.44</v>
      </c>
      <c r="F83" s="431">
        <v>1.1000000000000001</v>
      </c>
      <c r="G83" s="430">
        <v>0.11</v>
      </c>
      <c r="H83" s="430">
        <v>5.75</v>
      </c>
      <c r="I83" s="430">
        <v>0.09</v>
      </c>
      <c r="J83" s="436">
        <v>0.01</v>
      </c>
      <c r="K83" s="118"/>
      <c r="L83" s="118"/>
      <c r="M83" s="174"/>
      <c r="N83" s="174"/>
      <c r="O83" s="174"/>
      <c r="P83" s="174"/>
      <c r="Q83" s="174"/>
      <c r="R83" s="174"/>
      <c r="S83" s="174"/>
      <c r="T83" s="118"/>
      <c r="U83" s="118"/>
      <c r="V83" s="118"/>
      <c r="W83" s="118"/>
      <c r="X83" s="118"/>
      <c r="Y83" s="118"/>
      <c r="Z83" s="118"/>
      <c r="AA83" s="118"/>
    </row>
    <row r="84" spans="1:27">
      <c r="A84" s="118"/>
      <c r="B84" s="173"/>
      <c r="C84" s="432" t="s">
        <v>3082</v>
      </c>
      <c r="D84" s="437">
        <v>0.125</v>
      </c>
      <c r="E84" s="430">
        <v>71.06</v>
      </c>
      <c r="F84" s="431">
        <v>1.1000000000000001</v>
      </c>
      <c r="G84" s="430">
        <v>0.11</v>
      </c>
      <c r="H84" s="430">
        <v>8.8800000000000008</v>
      </c>
      <c r="I84" s="430">
        <v>0.14000000000000001</v>
      </c>
      <c r="J84" s="436">
        <v>0.01</v>
      </c>
      <c r="K84" s="118"/>
      <c r="L84" s="118"/>
      <c r="M84" s="174"/>
      <c r="N84" s="174"/>
      <c r="O84" s="174"/>
      <c r="P84" s="174"/>
      <c r="Q84" s="174"/>
      <c r="R84" s="174"/>
      <c r="S84" s="174"/>
      <c r="T84" s="118"/>
      <c r="U84" s="118"/>
      <c r="V84" s="118"/>
      <c r="W84" s="118"/>
      <c r="X84" s="118"/>
      <c r="Y84" s="118"/>
      <c r="Z84" s="118"/>
      <c r="AA84" s="118"/>
    </row>
    <row r="85" spans="1:27">
      <c r="A85" s="118"/>
      <c r="B85" s="173"/>
      <c r="C85" s="432" t="s">
        <v>3083</v>
      </c>
      <c r="D85" s="437">
        <v>0.12</v>
      </c>
      <c r="E85" s="430">
        <v>81.55</v>
      </c>
      <c r="F85" s="431">
        <v>1.1000000000000001</v>
      </c>
      <c r="G85" s="430">
        <v>0.11</v>
      </c>
      <c r="H85" s="430">
        <v>9.7899999999999991</v>
      </c>
      <c r="I85" s="430">
        <v>0.13</v>
      </c>
      <c r="J85" s="436">
        <v>0.01</v>
      </c>
      <c r="K85" s="118"/>
      <c r="L85" s="118"/>
      <c r="M85" s="174"/>
      <c r="N85" s="174"/>
      <c r="O85" s="174"/>
      <c r="P85" s="174"/>
      <c r="Q85" s="174"/>
      <c r="R85" s="174"/>
      <c r="S85" s="174"/>
      <c r="T85" s="118"/>
      <c r="U85" s="118"/>
      <c r="V85" s="118"/>
      <c r="W85" s="118"/>
      <c r="X85" s="118"/>
      <c r="Y85" s="118"/>
      <c r="Z85" s="118"/>
      <c r="AA85" s="118"/>
    </row>
    <row r="86" spans="1:27" s="113" customFormat="1" ht="38.25">
      <c r="A86" s="114"/>
      <c r="B86" s="117"/>
      <c r="C86" s="435" t="s">
        <v>3084</v>
      </c>
      <c r="D86" s="433"/>
      <c r="E86" s="434"/>
      <c r="F86" s="433"/>
      <c r="G86" s="433"/>
      <c r="H86" s="429"/>
      <c r="I86" s="429"/>
      <c r="J86" s="428"/>
      <c r="K86" s="118"/>
      <c r="L86" s="118"/>
      <c r="M86" s="174"/>
      <c r="N86" s="174"/>
      <c r="O86" s="174"/>
      <c r="P86" s="174"/>
      <c r="Q86" s="174"/>
      <c r="R86" s="174"/>
      <c r="S86" s="174"/>
      <c r="T86" s="114"/>
      <c r="U86" s="114"/>
      <c r="V86" s="114"/>
      <c r="W86" s="114"/>
      <c r="X86" s="114"/>
      <c r="Y86" s="114"/>
      <c r="Z86" s="114"/>
      <c r="AA86" s="114"/>
    </row>
    <row r="87" spans="1:27">
      <c r="A87" s="118"/>
      <c r="B87" s="173"/>
      <c r="C87" s="432" t="s">
        <v>3085</v>
      </c>
      <c r="D87" s="429"/>
      <c r="E87" s="431">
        <v>94.4</v>
      </c>
      <c r="F87" s="431">
        <v>1.9</v>
      </c>
      <c r="G87" s="430">
        <v>0.42</v>
      </c>
      <c r="H87" s="429"/>
      <c r="I87" s="429"/>
      <c r="J87" s="428"/>
      <c r="K87" s="118"/>
      <c r="L87" s="118"/>
      <c r="M87" s="174"/>
      <c r="N87" s="174"/>
      <c r="O87" s="174"/>
      <c r="P87" s="174"/>
      <c r="Q87" s="174"/>
      <c r="R87" s="174"/>
      <c r="S87" s="174"/>
      <c r="T87" s="118"/>
      <c r="U87" s="118"/>
      <c r="V87" s="118"/>
      <c r="W87" s="118"/>
      <c r="X87" s="118"/>
      <c r="Y87" s="118"/>
      <c r="Z87" s="118"/>
      <c r="AA87" s="118"/>
    </row>
    <row r="88" spans="1:27">
      <c r="A88" s="118"/>
      <c r="B88" s="173"/>
      <c r="C88" s="432" t="s">
        <v>3086</v>
      </c>
      <c r="D88" s="429"/>
      <c r="E88" s="431">
        <v>93.7</v>
      </c>
      <c r="F88" s="431">
        <v>1.9</v>
      </c>
      <c r="G88" s="430">
        <v>0.42</v>
      </c>
      <c r="H88" s="429"/>
      <c r="I88" s="429"/>
      <c r="J88" s="428"/>
      <c r="K88" s="118"/>
      <c r="L88" s="118"/>
      <c r="M88" s="174"/>
      <c r="N88" s="174"/>
      <c r="O88" s="174"/>
      <c r="P88" s="174"/>
      <c r="Q88" s="174"/>
      <c r="R88" s="174"/>
      <c r="S88" s="174"/>
      <c r="T88" s="118"/>
      <c r="U88" s="118"/>
      <c r="V88" s="118"/>
      <c r="W88" s="118"/>
      <c r="X88" s="118"/>
      <c r="Y88" s="118"/>
      <c r="Z88" s="118"/>
      <c r="AA88" s="118"/>
    </row>
    <row r="89" spans="1:27">
      <c r="A89" s="118"/>
      <c r="B89" s="173"/>
      <c r="C89" s="432" t="s">
        <v>3087</v>
      </c>
      <c r="D89" s="429"/>
      <c r="E89" s="431">
        <v>95.5</v>
      </c>
      <c r="F89" s="431">
        <v>1.9</v>
      </c>
      <c r="G89" s="430">
        <v>0.42</v>
      </c>
      <c r="H89" s="429"/>
      <c r="I89" s="429"/>
      <c r="J89" s="428"/>
      <c r="K89" s="118"/>
      <c r="L89" s="118"/>
      <c r="M89" s="174"/>
      <c r="N89" s="174"/>
      <c r="O89" s="174"/>
      <c r="P89" s="174"/>
      <c r="Q89" s="174"/>
      <c r="R89" s="174"/>
      <c r="S89" s="174"/>
      <c r="T89" s="118"/>
      <c r="U89" s="118"/>
      <c r="V89" s="118"/>
      <c r="W89" s="118"/>
      <c r="X89" s="118"/>
      <c r="Y89" s="118"/>
      <c r="Z89" s="118"/>
      <c r="AA89" s="118"/>
    </row>
    <row r="90" spans="1:27">
      <c r="A90" s="118"/>
      <c r="B90" s="173"/>
      <c r="C90" s="432" t="s">
        <v>3088</v>
      </c>
      <c r="D90" s="429"/>
      <c r="E90" s="431">
        <v>93.7</v>
      </c>
      <c r="F90" s="431">
        <v>1.9</v>
      </c>
      <c r="G90" s="430">
        <v>0.42</v>
      </c>
      <c r="H90" s="429"/>
      <c r="I90" s="429"/>
      <c r="J90" s="428"/>
      <c r="K90" s="118"/>
      <c r="L90" s="118"/>
      <c r="M90" s="174"/>
      <c r="N90" s="174"/>
      <c r="O90" s="174"/>
      <c r="P90" s="174"/>
      <c r="Q90" s="174"/>
      <c r="R90" s="174"/>
      <c r="S90" s="174"/>
      <c r="T90" s="118"/>
      <c r="U90" s="118"/>
      <c r="V90" s="118"/>
      <c r="W90" s="118"/>
      <c r="X90" s="118"/>
      <c r="Y90" s="118"/>
      <c r="Z90" s="118"/>
      <c r="AA90" s="118"/>
    </row>
    <row r="91" spans="1:27" ht="13.5" thickBot="1">
      <c r="A91" s="118"/>
      <c r="B91" s="173"/>
      <c r="C91" s="427" t="s">
        <v>3089</v>
      </c>
      <c r="D91" s="424"/>
      <c r="E91" s="426">
        <v>95.1</v>
      </c>
      <c r="F91" s="426">
        <v>1.9</v>
      </c>
      <c r="G91" s="425">
        <v>0.42</v>
      </c>
      <c r="H91" s="424"/>
      <c r="I91" s="424"/>
      <c r="J91" s="423"/>
      <c r="K91" s="118"/>
      <c r="L91" s="118"/>
      <c r="M91" s="174"/>
      <c r="N91" s="174"/>
      <c r="O91" s="174"/>
      <c r="P91" s="174"/>
      <c r="Q91" s="174"/>
      <c r="R91" s="174"/>
      <c r="S91" s="174"/>
      <c r="T91" s="118"/>
      <c r="U91" s="118"/>
      <c r="V91" s="118"/>
      <c r="W91" s="118"/>
      <c r="X91" s="118"/>
      <c r="Y91" s="118"/>
      <c r="Z91" s="118"/>
      <c r="AA91" s="118"/>
    </row>
    <row r="92" spans="1:27" s="113" customFormat="1">
      <c r="A92" s="114"/>
      <c r="B92" s="117"/>
      <c r="C92" s="274" t="s">
        <v>3090</v>
      </c>
      <c r="D92" s="114"/>
      <c r="E92" s="272"/>
      <c r="F92" s="272"/>
      <c r="G92" s="272"/>
      <c r="H92" s="114"/>
      <c r="I92" s="114"/>
      <c r="J92" s="114"/>
      <c r="K92" s="114"/>
      <c r="L92" s="114"/>
      <c r="M92" s="174"/>
      <c r="N92" s="174"/>
      <c r="O92" s="174"/>
      <c r="P92" s="174"/>
      <c r="Q92" s="174"/>
      <c r="R92" s="174"/>
      <c r="S92" s="174"/>
      <c r="T92" s="114"/>
      <c r="U92" s="114"/>
      <c r="V92" s="114"/>
      <c r="W92" s="114"/>
      <c r="X92" s="114"/>
      <c r="Y92" s="114"/>
      <c r="Z92" s="114"/>
      <c r="AA92" s="114"/>
    </row>
    <row r="93" spans="1:27">
      <c r="C93" s="1190" t="s">
        <v>3091</v>
      </c>
      <c r="D93" s="1190"/>
      <c r="E93" s="1190"/>
      <c r="F93" s="1190"/>
      <c r="G93" s="1190"/>
      <c r="H93" s="1190"/>
      <c r="I93" s="1190"/>
      <c r="J93" s="1190"/>
      <c r="K93" s="1190"/>
      <c r="M93" s="222"/>
    </row>
    <row r="94" spans="1:27">
      <c r="C94" s="400" t="s">
        <v>3092</v>
      </c>
      <c r="K94" s="354"/>
      <c r="M94" s="222"/>
      <c r="N94" s="420"/>
      <c r="O94" s="421"/>
      <c r="P94" s="421"/>
      <c r="Q94" s="420"/>
      <c r="S94" s="419"/>
    </row>
    <row r="95" spans="1:27">
      <c r="C95" s="1190" t="s">
        <v>3093</v>
      </c>
      <c r="D95" s="1190"/>
      <c r="E95" s="1190"/>
      <c r="F95" s="1190"/>
      <c r="G95" s="1190"/>
      <c r="H95" s="1190"/>
      <c r="I95" s="1190"/>
      <c r="J95" s="1190"/>
      <c r="K95" s="1190"/>
      <c r="M95" s="222"/>
      <c r="N95" s="420"/>
      <c r="O95" s="421"/>
      <c r="P95" s="421"/>
      <c r="Q95" s="420"/>
      <c r="S95" s="419"/>
    </row>
    <row r="96" spans="1:27">
      <c r="C96" s="422" t="s">
        <v>3094</v>
      </c>
      <c r="D96" s="271"/>
      <c r="E96" s="271"/>
      <c r="F96" s="271"/>
      <c r="G96" s="271"/>
      <c r="H96" s="271"/>
      <c r="I96" s="271"/>
      <c r="J96" s="271"/>
      <c r="K96" s="271"/>
      <c r="M96" s="222"/>
      <c r="N96" s="420"/>
      <c r="O96" s="421"/>
      <c r="P96" s="421"/>
      <c r="Q96" s="420"/>
      <c r="S96" s="419"/>
    </row>
    <row r="97" spans="1:27" ht="13.5">
      <c r="C97" s="422" t="s">
        <v>3095</v>
      </c>
      <c r="D97" s="271"/>
      <c r="E97" s="271"/>
      <c r="F97" s="271"/>
      <c r="G97" s="271"/>
      <c r="H97" s="271"/>
      <c r="I97" s="271"/>
      <c r="J97" s="271"/>
      <c r="K97" s="271"/>
      <c r="M97" s="222"/>
      <c r="N97" s="420"/>
      <c r="O97" s="421"/>
      <c r="P97" s="421"/>
      <c r="Q97" s="420"/>
      <c r="S97" s="419"/>
    </row>
    <row r="98" spans="1:27" ht="13.5">
      <c r="C98" s="422" t="s">
        <v>3096</v>
      </c>
      <c r="D98" s="271"/>
      <c r="E98" s="271"/>
      <c r="F98" s="271"/>
      <c r="G98" s="271"/>
      <c r="H98" s="271"/>
      <c r="I98" s="271"/>
      <c r="J98" s="271"/>
      <c r="K98" s="271"/>
      <c r="M98" s="222"/>
      <c r="N98" s="420"/>
      <c r="O98" s="421"/>
      <c r="P98" s="421"/>
      <c r="Q98" s="420"/>
      <c r="S98" s="419"/>
    </row>
    <row r="99" spans="1:27">
      <c r="C99" s="422" t="s">
        <v>3097</v>
      </c>
      <c r="D99" s="271"/>
      <c r="E99" s="271"/>
      <c r="F99" s="271"/>
      <c r="G99" s="271"/>
      <c r="H99" s="271"/>
      <c r="I99" s="271"/>
      <c r="J99" s="271"/>
      <c r="K99" s="271"/>
      <c r="M99" s="222"/>
      <c r="N99" s="420"/>
      <c r="O99" s="421"/>
      <c r="P99" s="421"/>
      <c r="Q99" s="420"/>
      <c r="S99" s="419"/>
    </row>
    <row r="100" spans="1:27">
      <c r="A100" s="118"/>
      <c r="B100" s="170"/>
      <c r="C100" s="171"/>
      <c r="D100" s="171"/>
      <c r="E100" s="171"/>
      <c r="F100" s="171"/>
      <c r="G100" s="171"/>
      <c r="H100" s="171"/>
      <c r="I100" s="171"/>
      <c r="J100" s="171"/>
      <c r="K100" s="171"/>
      <c r="L100" s="171"/>
      <c r="M100" s="118"/>
      <c r="N100" s="118"/>
      <c r="O100" s="118"/>
      <c r="P100" s="118"/>
      <c r="Q100" s="118"/>
      <c r="R100" s="118"/>
      <c r="S100" s="118"/>
      <c r="T100" s="118"/>
      <c r="U100" s="118"/>
      <c r="V100" s="118"/>
      <c r="W100" s="118"/>
      <c r="X100" s="118"/>
      <c r="Y100" s="118"/>
      <c r="Z100" s="118"/>
      <c r="AA100" s="118"/>
    </row>
    <row r="101" spans="1:27" s="113" customFormat="1" ht="18.75">
      <c r="A101" s="114"/>
      <c r="B101" s="329" t="s">
        <v>3098</v>
      </c>
      <c r="C101" s="328" t="s">
        <v>3099</v>
      </c>
      <c r="D101" s="327"/>
      <c r="E101" s="327"/>
      <c r="F101" s="327"/>
      <c r="G101" s="326"/>
      <c r="H101" s="326"/>
      <c r="I101" s="326"/>
      <c r="J101" s="326"/>
      <c r="K101" s="326"/>
      <c r="L101" s="418"/>
      <c r="M101" s="114"/>
      <c r="N101" s="114"/>
      <c r="O101" s="114"/>
      <c r="P101" s="114"/>
      <c r="Q101" s="114"/>
      <c r="R101" s="114"/>
      <c r="S101" s="114"/>
      <c r="T101" s="114"/>
      <c r="U101" s="114"/>
      <c r="V101" s="114"/>
      <c r="W101" s="114"/>
      <c r="X101" s="114"/>
      <c r="Y101" s="114"/>
      <c r="Z101" s="114"/>
      <c r="AA101" s="114"/>
    </row>
    <row r="102" spans="1:27" ht="13.5" thickBot="1">
      <c r="A102" s="118"/>
      <c r="B102" s="170"/>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row>
    <row r="103" spans="1:27" s="401" customFormat="1" ht="15" thickBot="1">
      <c r="A103" s="117"/>
      <c r="B103" s="117"/>
      <c r="C103" s="417" t="s">
        <v>3000</v>
      </c>
      <c r="D103" s="416" t="s">
        <v>3100</v>
      </c>
      <c r="E103" s="415" t="s">
        <v>116</v>
      </c>
      <c r="F103" s="118"/>
      <c r="G103" s="275"/>
      <c r="H103" s="403"/>
      <c r="I103" s="402"/>
      <c r="J103" s="402"/>
      <c r="K103" s="117"/>
      <c r="L103" s="117"/>
      <c r="M103" s="118"/>
      <c r="N103" s="118"/>
      <c r="O103" s="118"/>
      <c r="P103" s="118"/>
      <c r="Q103" s="118"/>
      <c r="R103" s="118"/>
      <c r="S103" s="118"/>
      <c r="T103" s="118"/>
      <c r="U103" s="117"/>
      <c r="V103" s="117"/>
      <c r="W103" s="117"/>
      <c r="X103" s="117"/>
      <c r="Y103" s="117"/>
      <c r="Z103" s="117"/>
      <c r="AA103" s="117"/>
    </row>
    <row r="104" spans="1:27">
      <c r="A104" s="118"/>
      <c r="B104" s="170"/>
      <c r="C104" s="414" t="s">
        <v>3050</v>
      </c>
      <c r="D104" s="413">
        <v>8.31</v>
      </c>
      <c r="E104" s="412" t="s">
        <v>3101</v>
      </c>
      <c r="F104" s="411"/>
      <c r="G104" s="403"/>
      <c r="H104" s="403"/>
      <c r="I104" s="402"/>
      <c r="J104" s="171"/>
      <c r="K104" s="118"/>
      <c r="L104" s="118"/>
      <c r="M104" s="174"/>
      <c r="N104" s="174"/>
      <c r="O104" s="118"/>
      <c r="P104" s="118"/>
      <c r="Q104" s="118"/>
      <c r="R104" s="118"/>
      <c r="S104" s="118"/>
      <c r="T104" s="118"/>
      <c r="U104" s="118"/>
      <c r="V104" s="118"/>
      <c r="W104" s="118"/>
      <c r="X104" s="118"/>
      <c r="Y104" s="118"/>
      <c r="Z104" s="118"/>
      <c r="AA104" s="118"/>
    </row>
    <row r="105" spans="1:27">
      <c r="A105" s="118"/>
      <c r="B105" s="170"/>
      <c r="C105" s="163" t="s">
        <v>3080</v>
      </c>
      <c r="D105" s="406">
        <v>9.4499999999999993</v>
      </c>
      <c r="E105" s="409" t="s">
        <v>3101</v>
      </c>
      <c r="F105" s="403"/>
      <c r="G105" s="403"/>
      <c r="H105" s="403"/>
      <c r="I105" s="402"/>
      <c r="J105" s="171"/>
      <c r="K105" s="118"/>
      <c r="L105" s="118"/>
      <c r="M105" s="174"/>
      <c r="N105" s="174"/>
      <c r="O105" s="118"/>
      <c r="P105" s="118"/>
      <c r="Q105" s="118"/>
      <c r="R105" s="118"/>
      <c r="S105" s="118"/>
      <c r="T105" s="118"/>
      <c r="U105" s="118"/>
      <c r="V105" s="118"/>
      <c r="W105" s="118"/>
      <c r="X105" s="118"/>
      <c r="Y105" s="118"/>
      <c r="Z105" s="118"/>
      <c r="AA105" s="118"/>
    </row>
    <row r="106" spans="1:27">
      <c r="A106" s="118"/>
      <c r="B106" s="170"/>
      <c r="C106" s="163" t="s">
        <v>3102</v>
      </c>
      <c r="D106" s="410">
        <v>5.4440000000000002E-2</v>
      </c>
      <c r="E106" s="409" t="s">
        <v>3103</v>
      </c>
      <c r="F106" s="403"/>
      <c r="G106" s="403"/>
      <c r="H106" s="403"/>
      <c r="I106" s="402"/>
      <c r="J106" s="171"/>
      <c r="K106" s="118"/>
      <c r="L106" s="118"/>
      <c r="M106" s="174"/>
      <c r="N106" s="174"/>
      <c r="O106" s="118"/>
      <c r="P106" s="118"/>
      <c r="Q106" s="118"/>
      <c r="R106" s="118"/>
      <c r="S106" s="118"/>
      <c r="T106" s="118"/>
      <c r="U106" s="118"/>
      <c r="V106" s="118"/>
      <c r="W106" s="118"/>
      <c r="X106" s="118"/>
      <c r="Y106" s="118"/>
      <c r="Z106" s="118"/>
      <c r="AA106" s="118"/>
    </row>
    <row r="107" spans="1:27">
      <c r="A107" s="118"/>
      <c r="B107" s="173"/>
      <c r="C107" s="163" t="s">
        <v>3104</v>
      </c>
      <c r="D107" s="406">
        <v>10.210000000000001</v>
      </c>
      <c r="E107" s="405" t="s">
        <v>3101</v>
      </c>
      <c r="F107" s="403"/>
      <c r="G107" s="403"/>
      <c r="H107" s="403"/>
      <c r="I107" s="402"/>
      <c r="J107" s="171"/>
      <c r="K107" s="118"/>
      <c r="L107" s="118"/>
      <c r="M107" s="174"/>
      <c r="N107" s="174"/>
      <c r="O107" s="118"/>
      <c r="P107" s="118"/>
      <c r="Q107" s="118"/>
      <c r="R107" s="118"/>
      <c r="S107" s="118"/>
      <c r="T107" s="118"/>
      <c r="U107" s="118"/>
      <c r="V107" s="118"/>
      <c r="W107" s="118"/>
      <c r="X107" s="118"/>
      <c r="Y107" s="118"/>
      <c r="Z107" s="118"/>
      <c r="AA107" s="118"/>
    </row>
    <row r="108" spans="1:27">
      <c r="A108" s="118"/>
      <c r="B108" s="170"/>
      <c r="C108" s="163" t="s">
        <v>3081</v>
      </c>
      <c r="D108" s="406">
        <v>5.75</v>
      </c>
      <c r="E108" s="409" t="s">
        <v>3101</v>
      </c>
      <c r="F108" s="403"/>
      <c r="G108" s="403"/>
      <c r="H108" s="403"/>
      <c r="I108" s="402"/>
      <c r="J108" s="171"/>
      <c r="K108" s="118"/>
      <c r="L108" s="118"/>
      <c r="M108" s="174"/>
      <c r="N108" s="174"/>
      <c r="O108" s="118"/>
      <c r="P108" s="118"/>
      <c r="Q108" s="118"/>
      <c r="R108" s="118"/>
      <c r="S108" s="118"/>
      <c r="T108" s="118"/>
      <c r="U108" s="118"/>
      <c r="V108" s="118"/>
      <c r="W108" s="118"/>
      <c r="X108" s="118"/>
      <c r="Y108" s="118"/>
      <c r="Z108" s="118"/>
      <c r="AA108" s="118"/>
    </row>
    <row r="109" spans="1:27">
      <c r="A109" s="118"/>
      <c r="B109" s="170"/>
      <c r="C109" s="163" t="s">
        <v>3063</v>
      </c>
      <c r="D109" s="406">
        <v>9.75</v>
      </c>
      <c r="E109" s="405" t="s">
        <v>3101</v>
      </c>
      <c r="F109" s="403"/>
      <c r="G109" s="403"/>
      <c r="H109" s="403"/>
      <c r="I109" s="402"/>
      <c r="J109" s="171"/>
      <c r="K109" s="118"/>
      <c r="L109" s="118"/>
      <c r="M109" s="174"/>
      <c r="N109" s="174"/>
      <c r="O109" s="118"/>
      <c r="P109" s="118"/>
      <c r="Q109" s="118"/>
      <c r="R109" s="118"/>
      <c r="S109" s="118"/>
      <c r="T109" s="118"/>
      <c r="U109" s="118"/>
      <c r="V109" s="118"/>
      <c r="W109" s="118"/>
      <c r="X109" s="118"/>
      <c r="Y109" s="118"/>
      <c r="Z109" s="118"/>
      <c r="AA109" s="118"/>
    </row>
    <row r="110" spans="1:27">
      <c r="A110" s="118"/>
      <c r="B110" s="170"/>
      <c r="C110" s="186" t="s">
        <v>3105</v>
      </c>
      <c r="D110" s="406">
        <v>4.5</v>
      </c>
      <c r="E110" s="409" t="s">
        <v>3101</v>
      </c>
      <c r="F110" s="144"/>
      <c r="G110" s="403"/>
      <c r="H110" s="403"/>
      <c r="I110" s="402"/>
      <c r="J110" s="171"/>
      <c r="K110" s="118"/>
      <c r="L110" s="118"/>
      <c r="M110" s="174"/>
      <c r="N110" s="174"/>
      <c r="O110" s="408"/>
      <c r="P110" s="115"/>
      <c r="Q110" s="118"/>
      <c r="R110" s="118"/>
      <c r="S110" s="118"/>
      <c r="T110" s="118"/>
      <c r="U110" s="118"/>
      <c r="V110" s="118"/>
      <c r="W110" s="118"/>
      <c r="X110" s="118"/>
      <c r="Y110" s="118"/>
      <c r="Z110" s="118"/>
      <c r="AA110" s="118"/>
    </row>
    <row r="111" spans="1:27">
      <c r="A111" s="118"/>
      <c r="B111" s="170"/>
      <c r="C111" s="163" t="s">
        <v>3064</v>
      </c>
      <c r="D111" s="406">
        <v>5.68</v>
      </c>
      <c r="E111" s="405" t="s">
        <v>3101</v>
      </c>
      <c r="F111" s="403"/>
      <c r="G111" s="407"/>
      <c r="H111" s="403"/>
      <c r="I111" s="402"/>
      <c r="J111" s="171"/>
      <c r="K111" s="118"/>
      <c r="L111" s="118"/>
      <c r="M111" s="174"/>
      <c r="N111" s="174"/>
      <c r="O111" s="118"/>
      <c r="P111" s="118"/>
      <c r="Q111" s="118"/>
      <c r="R111" s="118"/>
      <c r="S111" s="118"/>
      <c r="T111" s="118"/>
      <c r="U111" s="118"/>
      <c r="V111" s="118"/>
      <c r="W111" s="118"/>
      <c r="X111" s="118"/>
      <c r="Y111" s="118"/>
      <c r="Z111" s="118"/>
      <c r="AA111" s="118"/>
    </row>
    <row r="112" spans="1:27">
      <c r="A112" s="118"/>
      <c r="B112" s="170"/>
      <c r="C112" s="163" t="s">
        <v>3066</v>
      </c>
      <c r="D112" s="406">
        <v>8.7799999999999994</v>
      </c>
      <c r="E112" s="405" t="s">
        <v>3101</v>
      </c>
      <c r="F112" s="403"/>
      <c r="G112" s="403"/>
      <c r="H112" s="403"/>
      <c r="I112" s="402"/>
      <c r="J112" s="171"/>
      <c r="K112" s="118"/>
      <c r="L112" s="118"/>
      <c r="M112" s="174"/>
      <c r="N112" s="174"/>
      <c r="O112" s="118"/>
      <c r="P112" s="118"/>
      <c r="Q112" s="118"/>
      <c r="R112" s="118"/>
      <c r="S112" s="118"/>
      <c r="T112" s="118"/>
      <c r="U112" s="118"/>
      <c r="V112" s="118"/>
      <c r="W112" s="118"/>
      <c r="X112" s="118"/>
      <c r="Y112" s="118"/>
      <c r="Z112" s="118"/>
      <c r="AA112" s="118"/>
    </row>
    <row r="113" spans="1:27" ht="13.5" thickBot="1">
      <c r="A113" s="118"/>
      <c r="B113" s="170"/>
      <c r="C113" s="160" t="s">
        <v>3106</v>
      </c>
      <c r="D113" s="277">
        <v>11.27</v>
      </c>
      <c r="E113" s="404" t="s">
        <v>3101</v>
      </c>
      <c r="F113" s="403"/>
      <c r="G113" s="403"/>
      <c r="H113" s="403"/>
      <c r="I113" s="402"/>
      <c r="J113" s="402"/>
      <c r="K113" s="118"/>
      <c r="L113" s="118"/>
      <c r="M113" s="174"/>
      <c r="N113" s="174"/>
      <c r="O113" s="118"/>
      <c r="P113" s="118"/>
      <c r="Q113" s="118"/>
      <c r="R113" s="118"/>
      <c r="S113" s="118"/>
      <c r="T113" s="118"/>
      <c r="U113" s="118"/>
      <c r="V113" s="118"/>
      <c r="W113" s="118"/>
      <c r="X113" s="118"/>
      <c r="Y113" s="118"/>
      <c r="Z113" s="118"/>
      <c r="AA113" s="118"/>
    </row>
    <row r="114" spans="1:27" s="113" customFormat="1">
      <c r="B114" s="401"/>
      <c r="C114" s="373" t="s">
        <v>3090</v>
      </c>
      <c r="M114" s="222"/>
    </row>
    <row r="115" spans="1:27" ht="12.75" customHeight="1">
      <c r="C115" s="1190" t="s">
        <v>3107</v>
      </c>
      <c r="D115" s="1190"/>
      <c r="E115" s="1190"/>
      <c r="F115" s="1190"/>
      <c r="G115" s="1190"/>
      <c r="H115" s="1190"/>
      <c r="I115" s="1190"/>
      <c r="J115" s="1190"/>
      <c r="K115" s="1190"/>
    </row>
    <row r="116" spans="1:27">
      <c r="C116" s="400" t="s">
        <v>3092</v>
      </c>
      <c r="K116" s="354"/>
      <c r="L116" s="118"/>
    </row>
    <row r="117" spans="1:27">
      <c r="A117" s="118"/>
      <c r="B117" s="170"/>
      <c r="C117" s="1195" t="s">
        <v>3093</v>
      </c>
      <c r="D117" s="1195"/>
      <c r="E117" s="1195"/>
      <c r="F117" s="1195"/>
      <c r="G117" s="1195"/>
      <c r="H117" s="1195"/>
      <c r="I117" s="1195"/>
      <c r="J117" s="1195"/>
      <c r="K117" s="1195"/>
      <c r="L117" s="118"/>
      <c r="M117" s="171"/>
      <c r="N117" s="118"/>
      <c r="O117" s="118"/>
      <c r="P117" s="118"/>
      <c r="Q117" s="118"/>
      <c r="R117" s="118"/>
      <c r="S117" s="118"/>
      <c r="T117" s="118"/>
      <c r="U117" s="118"/>
      <c r="V117" s="118"/>
      <c r="W117" s="118"/>
      <c r="X117" s="118"/>
      <c r="Y117" s="118"/>
      <c r="Z117" s="118"/>
      <c r="AA117" s="118"/>
    </row>
    <row r="118" spans="1:27" ht="28.5" customHeight="1">
      <c r="A118" s="118"/>
      <c r="B118" s="111"/>
      <c r="C118" s="1177" t="s">
        <v>3108</v>
      </c>
      <c r="D118" s="1177"/>
      <c r="E118" s="1177"/>
      <c r="F118" s="1177"/>
      <c r="G118" s="1177"/>
      <c r="H118" s="1177"/>
      <c r="I118" s="1177"/>
      <c r="J118" s="1177"/>
      <c r="K118" s="1177"/>
      <c r="L118" s="118"/>
      <c r="M118" s="171"/>
      <c r="N118" s="118"/>
      <c r="O118" s="118"/>
      <c r="P118" s="118"/>
      <c r="Q118" s="118"/>
      <c r="R118" s="118"/>
      <c r="S118" s="118"/>
      <c r="T118" s="118"/>
      <c r="U118" s="118"/>
      <c r="V118" s="118"/>
      <c r="W118" s="118"/>
      <c r="X118" s="118"/>
      <c r="Y118" s="118"/>
      <c r="Z118" s="118"/>
      <c r="AA118" s="118"/>
    </row>
    <row r="119" spans="1:27">
      <c r="A119" s="118"/>
      <c r="B119" s="170"/>
      <c r="C119" s="399" t="s">
        <v>3109</v>
      </c>
      <c r="D119" s="116"/>
      <c r="E119" s="116"/>
      <c r="F119" s="116"/>
      <c r="G119" s="116"/>
      <c r="H119" s="116"/>
      <c r="I119" s="116"/>
      <c r="J119" s="116"/>
      <c r="K119" s="116"/>
      <c r="L119" s="118"/>
      <c r="M119" s="171"/>
      <c r="N119" s="118"/>
      <c r="O119" s="118"/>
      <c r="P119" s="118"/>
      <c r="Q119" s="118"/>
      <c r="R119" s="118"/>
      <c r="S119" s="118"/>
      <c r="T119" s="118"/>
      <c r="U119" s="118"/>
      <c r="V119" s="118"/>
      <c r="W119" s="118"/>
      <c r="X119" s="118"/>
      <c r="Y119" s="118"/>
      <c r="Z119" s="118"/>
      <c r="AA119" s="118"/>
    </row>
    <row r="120" spans="1:27">
      <c r="A120" s="118"/>
      <c r="B120" s="170"/>
      <c r="C120" s="172" t="s">
        <v>3110</v>
      </c>
      <c r="D120" s="116"/>
      <c r="E120" s="116"/>
      <c r="G120" s="116"/>
      <c r="H120" s="116"/>
      <c r="I120" s="116"/>
      <c r="J120" s="116"/>
      <c r="K120" s="116"/>
      <c r="L120" s="118"/>
      <c r="M120" s="171"/>
      <c r="N120" s="118"/>
      <c r="O120" s="118"/>
      <c r="P120" s="118"/>
      <c r="Q120" s="118"/>
      <c r="R120" s="118"/>
      <c r="S120" s="118"/>
      <c r="T120" s="118"/>
      <c r="U120" s="118"/>
      <c r="V120" s="118"/>
      <c r="W120" s="118"/>
      <c r="X120" s="118"/>
      <c r="Y120" s="118"/>
      <c r="Z120" s="118"/>
      <c r="AA120" s="118"/>
    </row>
    <row r="121" spans="1:27">
      <c r="A121" s="118"/>
      <c r="B121" s="170"/>
      <c r="C121" s="285"/>
      <c r="D121" s="118"/>
      <c r="E121" s="118"/>
      <c r="F121" s="116"/>
      <c r="G121" s="118"/>
      <c r="H121" s="118"/>
      <c r="I121" s="118"/>
      <c r="J121" s="118"/>
      <c r="K121" s="118"/>
      <c r="L121" s="118"/>
      <c r="M121" s="171"/>
      <c r="N121" s="118"/>
      <c r="O121" s="118"/>
      <c r="P121" s="118"/>
      <c r="Q121" s="118"/>
      <c r="R121" s="118"/>
      <c r="S121" s="118"/>
      <c r="T121" s="118"/>
      <c r="U121" s="118"/>
      <c r="V121" s="118"/>
      <c r="W121" s="118"/>
      <c r="X121" s="118"/>
      <c r="Y121" s="118"/>
      <c r="Z121" s="118"/>
      <c r="AA121" s="118"/>
    </row>
    <row r="122" spans="1:27" ht="18.75">
      <c r="B122" s="155" t="s">
        <v>3111</v>
      </c>
      <c r="C122" s="270" t="s">
        <v>3112</v>
      </c>
      <c r="D122" s="398"/>
      <c r="E122" s="153"/>
      <c r="F122" s="153"/>
      <c r="G122" s="153"/>
      <c r="H122" s="153"/>
      <c r="I122" s="153"/>
      <c r="J122" s="153"/>
      <c r="K122" s="153"/>
      <c r="L122" s="152"/>
      <c r="M122" s="118"/>
      <c r="N122" s="118"/>
      <c r="O122" s="118"/>
      <c r="P122" s="118"/>
      <c r="Q122" s="118"/>
      <c r="R122" s="118"/>
      <c r="S122" s="118"/>
      <c r="T122" s="118"/>
      <c r="U122" s="118"/>
      <c r="V122" s="118"/>
      <c r="W122" s="118"/>
      <c r="X122" s="118"/>
      <c r="Y122" s="118"/>
      <c r="Z122" s="118"/>
      <c r="AA122" s="118"/>
    </row>
    <row r="123" spans="1:27" ht="13.5" thickBot="1">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row>
    <row r="124" spans="1:27" ht="29.25" thickBot="1">
      <c r="A124" s="118"/>
      <c r="B124" s="118"/>
      <c r="C124" s="397" t="s">
        <v>3113</v>
      </c>
      <c r="D124" s="396" t="s">
        <v>3114</v>
      </c>
      <c r="E124" s="168" t="s">
        <v>3115</v>
      </c>
      <c r="F124" s="215" t="s">
        <v>3116</v>
      </c>
      <c r="G124" s="118"/>
      <c r="H124" s="115"/>
      <c r="I124" s="118"/>
      <c r="J124" s="118"/>
      <c r="K124" s="118"/>
      <c r="L124" s="118"/>
      <c r="M124" s="118"/>
      <c r="N124" s="118"/>
      <c r="O124" s="118"/>
      <c r="P124" s="118"/>
      <c r="Q124" s="118"/>
      <c r="R124" s="118"/>
      <c r="S124" s="118"/>
      <c r="T124" s="118"/>
      <c r="U124" s="118"/>
      <c r="V124" s="118"/>
      <c r="W124" s="118"/>
      <c r="X124" s="118"/>
      <c r="Y124" s="118"/>
      <c r="Z124" s="118"/>
      <c r="AA124" s="118"/>
    </row>
    <row r="125" spans="1:27">
      <c r="A125" s="118"/>
      <c r="B125" s="118"/>
      <c r="C125" s="393" t="s">
        <v>3117</v>
      </c>
      <c r="D125" s="380" t="s">
        <v>3118</v>
      </c>
      <c r="E125" s="392">
        <v>0.1696</v>
      </c>
      <c r="F125" s="391">
        <v>1.9699999999999999E-2</v>
      </c>
      <c r="G125" s="118"/>
      <c r="H125" s="118"/>
      <c r="I125" s="118"/>
      <c r="J125" s="118"/>
      <c r="K125" s="118"/>
      <c r="L125" s="118"/>
      <c r="M125" s="118"/>
      <c r="N125" s="118"/>
      <c r="O125" s="118"/>
      <c r="P125" s="118"/>
      <c r="Q125" s="118"/>
      <c r="R125" s="118"/>
      <c r="S125" s="118"/>
      <c r="T125" s="118"/>
      <c r="U125" s="118"/>
      <c r="V125" s="118"/>
      <c r="W125" s="118"/>
      <c r="X125" s="118"/>
      <c r="Y125" s="118"/>
      <c r="Z125" s="118"/>
      <c r="AA125" s="118"/>
    </row>
    <row r="126" spans="1:27">
      <c r="A126" s="118"/>
      <c r="B126" s="118"/>
      <c r="C126" s="387"/>
      <c r="D126" s="377">
        <v>1975</v>
      </c>
      <c r="E126" s="395">
        <v>0.14232</v>
      </c>
      <c r="F126" s="394">
        <v>4.4260000000000001E-2</v>
      </c>
      <c r="G126" s="118"/>
      <c r="H126" s="118"/>
      <c r="I126" s="118"/>
      <c r="J126" s="118"/>
      <c r="K126" s="118"/>
      <c r="L126" s="118"/>
      <c r="M126" s="118"/>
      <c r="N126" s="118"/>
      <c r="O126" s="118"/>
      <c r="P126" s="118"/>
      <c r="Q126" s="118"/>
      <c r="R126" s="118"/>
      <c r="S126" s="118"/>
      <c r="T126" s="118"/>
      <c r="U126" s="118"/>
      <c r="V126" s="118"/>
      <c r="W126" s="118"/>
      <c r="X126" s="118"/>
      <c r="Y126" s="118"/>
      <c r="Z126" s="118"/>
      <c r="AA126" s="118"/>
    </row>
    <row r="127" spans="1:27">
      <c r="A127" s="118"/>
      <c r="B127" s="118"/>
      <c r="C127" s="387"/>
      <c r="D127" s="377" t="s">
        <v>3119</v>
      </c>
      <c r="E127" s="395">
        <v>0.14061499999999999</v>
      </c>
      <c r="F127" s="394">
        <v>4.5794999999999995E-2</v>
      </c>
      <c r="G127" s="118"/>
      <c r="H127" s="118"/>
      <c r="I127" s="118"/>
      <c r="J127" s="118"/>
      <c r="K127" s="118"/>
      <c r="L127" s="118"/>
      <c r="M127" s="118"/>
      <c r="N127" s="118"/>
      <c r="O127" s="118"/>
      <c r="P127" s="118"/>
      <c r="Q127" s="118"/>
      <c r="R127" s="118"/>
      <c r="S127" s="118"/>
      <c r="T127" s="118"/>
      <c r="U127" s="118"/>
      <c r="V127" s="118"/>
      <c r="W127" s="118"/>
      <c r="X127" s="118"/>
      <c r="Y127" s="118"/>
      <c r="Z127" s="118"/>
      <c r="AA127" s="118"/>
    </row>
    <row r="128" spans="1:27">
      <c r="A128" s="118"/>
      <c r="B128" s="118"/>
      <c r="C128" s="387"/>
      <c r="D128" s="377" t="s">
        <v>3120</v>
      </c>
      <c r="E128" s="395">
        <v>0.13891000000000001</v>
      </c>
      <c r="F128" s="394">
        <v>4.7330000000000004E-2</v>
      </c>
      <c r="G128" s="118"/>
      <c r="H128" s="118"/>
      <c r="I128" s="118"/>
      <c r="J128" s="118"/>
      <c r="K128" s="118"/>
      <c r="L128" s="118"/>
      <c r="M128" s="118"/>
      <c r="N128" s="118"/>
      <c r="O128" s="118"/>
      <c r="P128" s="118"/>
      <c r="Q128" s="118"/>
      <c r="R128" s="118"/>
      <c r="S128" s="118"/>
      <c r="T128" s="118"/>
      <c r="U128" s="118"/>
      <c r="V128" s="118"/>
      <c r="W128" s="118"/>
      <c r="X128" s="118"/>
      <c r="Y128" s="118"/>
      <c r="Z128" s="118"/>
      <c r="AA128" s="118"/>
    </row>
    <row r="129" spans="1:27">
      <c r="A129" s="118"/>
      <c r="B129" s="118"/>
      <c r="C129" s="387"/>
      <c r="D129" s="377">
        <v>1980</v>
      </c>
      <c r="E129" s="395">
        <v>0.13264799999999999</v>
      </c>
      <c r="F129" s="394">
        <v>4.9866000000000001E-2</v>
      </c>
      <c r="G129" s="118"/>
      <c r="H129" s="118"/>
      <c r="I129" s="118"/>
      <c r="J129" s="118"/>
      <c r="K129" s="118"/>
      <c r="L129" s="118"/>
      <c r="M129" s="118"/>
      <c r="N129" s="118"/>
      <c r="O129" s="118"/>
      <c r="P129" s="118"/>
      <c r="Q129" s="118"/>
      <c r="R129" s="118"/>
      <c r="S129" s="118"/>
      <c r="T129" s="118"/>
      <c r="U129" s="118"/>
      <c r="V129" s="118"/>
      <c r="W129" s="118"/>
      <c r="X129" s="118"/>
      <c r="Y129" s="118"/>
      <c r="Z129" s="118"/>
      <c r="AA129" s="118"/>
    </row>
    <row r="130" spans="1:27">
      <c r="A130" s="118"/>
      <c r="B130" s="118"/>
      <c r="C130" s="387"/>
      <c r="D130" s="377">
        <v>1981</v>
      </c>
      <c r="E130" s="395">
        <v>8.0165E-2</v>
      </c>
      <c r="F130" s="394">
        <v>6.2554999999999999E-2</v>
      </c>
      <c r="G130" s="118"/>
      <c r="H130" s="118"/>
      <c r="I130" s="118"/>
      <c r="J130" s="118"/>
      <c r="K130" s="118"/>
      <c r="L130" s="118"/>
      <c r="M130" s="118"/>
      <c r="N130" s="118"/>
      <c r="O130" s="118"/>
      <c r="P130" s="118"/>
      <c r="Q130" s="118"/>
      <c r="R130" s="118"/>
      <c r="S130" s="118"/>
      <c r="T130" s="118"/>
      <c r="U130" s="118"/>
      <c r="V130" s="118"/>
      <c r="W130" s="118"/>
      <c r="X130" s="118"/>
      <c r="Y130" s="118"/>
      <c r="Z130" s="118"/>
      <c r="AA130" s="118"/>
    </row>
    <row r="131" spans="1:27">
      <c r="A131" s="118"/>
      <c r="B131" s="118"/>
      <c r="C131" s="387"/>
      <c r="D131" s="377">
        <v>1982</v>
      </c>
      <c r="E131" s="395">
        <v>7.9514000000000001E-2</v>
      </c>
      <c r="F131" s="394">
        <v>6.2698000000000004E-2</v>
      </c>
      <c r="G131" s="118"/>
      <c r="H131" s="118"/>
      <c r="I131" s="118"/>
      <c r="J131" s="118"/>
      <c r="K131" s="118"/>
      <c r="L131" s="118"/>
      <c r="M131" s="118"/>
      <c r="N131" s="118"/>
      <c r="O131" s="118"/>
      <c r="P131" s="118"/>
      <c r="Q131" s="118"/>
      <c r="R131" s="118"/>
      <c r="S131" s="118"/>
      <c r="T131" s="118"/>
      <c r="U131" s="118"/>
      <c r="V131" s="118"/>
      <c r="W131" s="118"/>
      <c r="X131" s="118"/>
      <c r="Y131" s="118"/>
      <c r="Z131" s="118"/>
      <c r="AA131" s="118"/>
    </row>
    <row r="132" spans="1:27">
      <c r="A132" s="118"/>
      <c r="B132" s="118"/>
      <c r="C132" s="387"/>
      <c r="D132" s="377">
        <v>1983</v>
      </c>
      <c r="E132" s="395">
        <v>7.8212000000000004E-2</v>
      </c>
      <c r="F132" s="394">
        <v>6.2983999999999998E-2</v>
      </c>
      <c r="G132" s="118"/>
      <c r="H132" s="118"/>
      <c r="I132" s="118"/>
      <c r="J132" s="118"/>
      <c r="K132" s="118"/>
      <c r="L132" s="118"/>
      <c r="M132" s="118"/>
      <c r="N132" s="118"/>
      <c r="O132" s="118"/>
      <c r="P132" s="118"/>
      <c r="Q132" s="118"/>
      <c r="R132" s="118"/>
      <c r="S132" s="118"/>
      <c r="T132" s="118"/>
      <c r="U132" s="118"/>
      <c r="V132" s="118"/>
      <c r="W132" s="118"/>
      <c r="X132" s="118"/>
      <c r="Y132" s="118"/>
      <c r="Z132" s="118"/>
      <c r="AA132" s="118"/>
    </row>
    <row r="133" spans="1:27">
      <c r="A133" s="118"/>
      <c r="B133" s="118"/>
      <c r="C133" s="387"/>
      <c r="D133" s="377" t="s">
        <v>3121</v>
      </c>
      <c r="E133" s="395">
        <v>7.0400000000000004E-2</v>
      </c>
      <c r="F133" s="394">
        <v>6.4699999999999994E-2</v>
      </c>
      <c r="G133" s="118"/>
      <c r="H133" s="118"/>
      <c r="I133" s="118"/>
      <c r="J133" s="118"/>
      <c r="K133" s="118"/>
      <c r="L133" s="118"/>
      <c r="M133" s="118"/>
      <c r="N133" s="118"/>
      <c r="O133" s="118"/>
      <c r="P133" s="118"/>
      <c r="Q133" s="118"/>
      <c r="R133" s="118"/>
      <c r="S133" s="118"/>
      <c r="T133" s="118"/>
      <c r="U133" s="118"/>
      <c r="V133" s="118"/>
      <c r="W133" s="118"/>
      <c r="X133" s="118"/>
      <c r="Y133" s="118"/>
      <c r="Z133" s="118"/>
      <c r="AA133" s="118"/>
    </row>
    <row r="134" spans="1:27">
      <c r="A134" s="118"/>
      <c r="B134" s="118"/>
      <c r="C134" s="387"/>
      <c r="D134" s="390">
        <v>1994</v>
      </c>
      <c r="E134" s="363">
        <v>6.174000000000001E-2</v>
      </c>
      <c r="F134" s="365">
        <v>6.0340000000000005E-2</v>
      </c>
      <c r="G134" s="118"/>
      <c r="H134" s="118"/>
      <c r="I134" s="118"/>
      <c r="J134" s="118"/>
      <c r="K134" s="118"/>
      <c r="L134" s="118"/>
      <c r="M134" s="118"/>
      <c r="N134" s="118"/>
      <c r="O134" s="118"/>
      <c r="P134" s="118"/>
      <c r="Q134" s="118"/>
      <c r="R134" s="118"/>
      <c r="S134" s="118"/>
      <c r="T134" s="118"/>
      <c r="U134" s="118"/>
      <c r="V134" s="118"/>
      <c r="W134" s="118"/>
      <c r="X134" s="118"/>
      <c r="Y134" s="118"/>
      <c r="Z134" s="118"/>
      <c r="AA134" s="118"/>
    </row>
    <row r="135" spans="1:27">
      <c r="A135" s="118"/>
      <c r="B135" s="118"/>
      <c r="C135" s="387"/>
      <c r="D135" s="390">
        <v>1995</v>
      </c>
      <c r="E135" s="363">
        <v>5.3080000000000002E-2</v>
      </c>
      <c r="F135" s="365">
        <v>5.5979999999999995E-2</v>
      </c>
      <c r="G135" s="118"/>
      <c r="H135" s="118"/>
      <c r="I135" s="118"/>
      <c r="J135" s="118"/>
      <c r="K135" s="118"/>
      <c r="L135" s="118"/>
      <c r="M135" s="118"/>
      <c r="N135" s="118"/>
      <c r="O135" s="118"/>
      <c r="P135" s="118"/>
      <c r="Q135" s="118"/>
      <c r="R135" s="118"/>
      <c r="S135" s="118"/>
      <c r="T135" s="118"/>
      <c r="U135" s="118"/>
      <c r="V135" s="118"/>
      <c r="W135" s="118"/>
      <c r="X135" s="118"/>
      <c r="Y135" s="118"/>
      <c r="Z135" s="118"/>
      <c r="AA135" s="118"/>
    </row>
    <row r="136" spans="1:27">
      <c r="A136" s="118"/>
      <c r="B136" s="118"/>
      <c r="C136" s="387"/>
      <c r="D136" s="390">
        <v>1996</v>
      </c>
      <c r="E136" s="363">
        <v>4.3394000000000009E-2</v>
      </c>
      <c r="F136" s="365">
        <v>5.0276000000000008E-2</v>
      </c>
      <c r="G136" s="118"/>
      <c r="H136" s="118"/>
      <c r="I136" s="118"/>
      <c r="J136" s="118"/>
      <c r="K136" s="118"/>
      <c r="L136" s="118"/>
      <c r="M136" s="118"/>
      <c r="N136" s="118"/>
      <c r="O136" s="118"/>
      <c r="P136" s="118"/>
      <c r="Q136" s="118"/>
      <c r="R136" s="118"/>
      <c r="S136" s="118"/>
      <c r="T136" s="118"/>
      <c r="U136" s="118"/>
      <c r="V136" s="118"/>
      <c r="W136" s="118"/>
      <c r="X136" s="118"/>
      <c r="Y136" s="118"/>
      <c r="Z136" s="118"/>
      <c r="AA136" s="118"/>
    </row>
    <row r="137" spans="1:27">
      <c r="A137" s="118"/>
      <c r="B137" s="118"/>
      <c r="C137" s="387"/>
      <c r="D137" s="390">
        <v>1997</v>
      </c>
      <c r="E137" s="363">
        <v>3.3708000000000002E-2</v>
      </c>
      <c r="F137" s="365">
        <v>4.4572000000000001E-2</v>
      </c>
      <c r="G137" s="118"/>
      <c r="H137" s="118"/>
      <c r="I137" s="118"/>
      <c r="J137" s="118"/>
      <c r="K137" s="118"/>
      <c r="L137" s="118"/>
      <c r="M137" s="118"/>
      <c r="N137" s="118"/>
      <c r="O137" s="118"/>
      <c r="P137" s="118"/>
      <c r="Q137" s="118"/>
      <c r="R137" s="118"/>
      <c r="S137" s="118"/>
      <c r="T137" s="118"/>
      <c r="U137" s="118"/>
      <c r="V137" s="118"/>
      <c r="W137" s="118"/>
      <c r="X137" s="118"/>
      <c r="Y137" s="118"/>
      <c r="Z137" s="118"/>
      <c r="AA137" s="118"/>
    </row>
    <row r="138" spans="1:27">
      <c r="A138" s="118"/>
      <c r="B138" s="118"/>
      <c r="C138" s="387"/>
      <c r="D138" s="390">
        <v>1998</v>
      </c>
      <c r="E138" s="363">
        <v>2.4021999999999998E-2</v>
      </c>
      <c r="F138" s="365">
        <v>3.8868E-2</v>
      </c>
      <c r="G138" s="118"/>
      <c r="H138" s="118"/>
      <c r="I138" s="118"/>
      <c r="J138" s="118"/>
      <c r="K138" s="118"/>
      <c r="L138" s="118"/>
      <c r="M138" s="118"/>
      <c r="N138" s="118"/>
      <c r="O138" s="118"/>
      <c r="P138" s="118"/>
      <c r="Q138" s="118"/>
      <c r="R138" s="118"/>
      <c r="S138" s="118"/>
      <c r="T138" s="118"/>
      <c r="U138" s="118"/>
      <c r="V138" s="118"/>
      <c r="W138" s="118"/>
      <c r="X138" s="118"/>
      <c r="Y138" s="118"/>
      <c r="Z138" s="118"/>
      <c r="AA138" s="118"/>
    </row>
    <row r="139" spans="1:27">
      <c r="A139" s="118"/>
      <c r="B139" s="118"/>
      <c r="C139" s="387"/>
      <c r="D139" s="390">
        <v>1999</v>
      </c>
      <c r="E139" s="363">
        <v>2.1457E-2</v>
      </c>
      <c r="F139" s="365">
        <v>3.5507999999999998E-2</v>
      </c>
      <c r="G139" s="118"/>
      <c r="H139" s="118"/>
      <c r="I139" s="118"/>
      <c r="J139" s="118"/>
      <c r="K139" s="118"/>
      <c r="L139" s="118"/>
      <c r="M139" s="118"/>
      <c r="N139" s="118"/>
      <c r="O139" s="118"/>
      <c r="P139" s="118"/>
      <c r="Q139" s="118"/>
      <c r="R139" s="118"/>
      <c r="S139" s="118"/>
      <c r="T139" s="118"/>
      <c r="U139" s="118"/>
      <c r="V139" s="118"/>
      <c r="W139" s="118"/>
      <c r="X139" s="118"/>
      <c r="Y139" s="118"/>
      <c r="Z139" s="118"/>
      <c r="AA139" s="118"/>
    </row>
    <row r="140" spans="1:27">
      <c r="A140" s="118"/>
      <c r="B140" s="118"/>
      <c r="C140" s="387"/>
      <c r="D140" s="390">
        <v>2000</v>
      </c>
      <c r="E140" s="363">
        <v>1.7523999999999998E-2</v>
      </c>
      <c r="F140" s="365">
        <v>3.0356000000000001E-2</v>
      </c>
      <c r="G140" s="118"/>
      <c r="H140" s="118"/>
      <c r="I140" s="118"/>
      <c r="J140" s="118"/>
      <c r="K140" s="118"/>
      <c r="L140" s="118"/>
      <c r="M140" s="118"/>
      <c r="N140" s="118"/>
      <c r="O140" s="118"/>
      <c r="P140" s="118"/>
      <c r="Q140" s="118"/>
      <c r="R140" s="118"/>
      <c r="S140" s="118"/>
      <c r="T140" s="118"/>
      <c r="U140" s="118"/>
      <c r="V140" s="118"/>
      <c r="W140" s="118"/>
      <c r="X140" s="118"/>
      <c r="Y140" s="118"/>
      <c r="Z140" s="118"/>
      <c r="AA140" s="118"/>
    </row>
    <row r="141" spans="1:27">
      <c r="A141" s="118"/>
      <c r="B141" s="118"/>
      <c r="C141" s="387"/>
      <c r="D141" s="390">
        <v>2001</v>
      </c>
      <c r="E141" s="363">
        <v>1.0513E-2</v>
      </c>
      <c r="F141" s="365">
        <v>2.1172E-2</v>
      </c>
      <c r="G141" s="118"/>
      <c r="H141" s="118"/>
      <c r="I141" s="118"/>
      <c r="J141" s="118"/>
      <c r="K141" s="118"/>
      <c r="L141" s="118"/>
      <c r="M141" s="118"/>
      <c r="N141" s="118"/>
      <c r="O141" s="118"/>
      <c r="P141" s="118"/>
      <c r="Q141" s="118"/>
      <c r="R141" s="118"/>
      <c r="S141" s="118"/>
      <c r="T141" s="118"/>
      <c r="U141" s="118"/>
      <c r="V141" s="118"/>
      <c r="W141" s="118"/>
      <c r="X141" s="118"/>
      <c r="Y141" s="118"/>
      <c r="Z141" s="118"/>
      <c r="AA141" s="118"/>
    </row>
    <row r="142" spans="1:27">
      <c r="A142" s="118"/>
      <c r="B142" s="118"/>
      <c r="C142" s="387"/>
      <c r="D142" s="390">
        <v>2002</v>
      </c>
      <c r="E142" s="363">
        <v>1.0171000000000001E-2</v>
      </c>
      <c r="F142" s="365">
        <v>2.0723999999999999E-2</v>
      </c>
      <c r="G142" s="118"/>
      <c r="H142" s="118"/>
      <c r="I142" s="118"/>
      <c r="J142" s="118"/>
      <c r="K142" s="118"/>
      <c r="L142" s="118"/>
      <c r="M142" s="118"/>
      <c r="N142" s="118"/>
      <c r="O142" s="118"/>
      <c r="P142" s="118"/>
      <c r="Q142" s="118"/>
      <c r="R142" s="118"/>
      <c r="S142" s="118"/>
      <c r="T142" s="118"/>
      <c r="U142" s="118"/>
      <c r="V142" s="118"/>
      <c r="W142" s="118"/>
      <c r="X142" s="118"/>
      <c r="Y142" s="118"/>
      <c r="Z142" s="118"/>
      <c r="AA142" s="118"/>
    </row>
    <row r="143" spans="1:27">
      <c r="A143" s="118"/>
      <c r="B143" s="118"/>
      <c r="C143" s="387"/>
      <c r="D143" s="390">
        <v>2003</v>
      </c>
      <c r="E143" s="363">
        <v>9.5040000000000003E-3</v>
      </c>
      <c r="F143" s="365">
        <v>1.8086999999999999E-2</v>
      </c>
      <c r="G143" s="118"/>
      <c r="H143" s="118"/>
      <c r="I143" s="118"/>
      <c r="J143" s="118"/>
      <c r="K143" s="118"/>
      <c r="L143" s="118"/>
      <c r="M143" s="118"/>
      <c r="N143" s="118"/>
      <c r="O143" s="118"/>
      <c r="P143" s="118"/>
      <c r="Q143" s="118"/>
      <c r="R143" s="118"/>
      <c r="S143" s="118"/>
      <c r="T143" s="118"/>
      <c r="U143" s="118"/>
      <c r="V143" s="118"/>
      <c r="W143" s="118"/>
      <c r="X143" s="118"/>
      <c r="Y143" s="118"/>
      <c r="Z143" s="118"/>
      <c r="AA143" s="118"/>
    </row>
    <row r="144" spans="1:27">
      <c r="A144" s="118"/>
      <c r="B144" s="118"/>
      <c r="C144" s="387"/>
      <c r="D144" s="390">
        <v>2004</v>
      </c>
      <c r="E144" s="363">
        <v>7.8399999999999997E-3</v>
      </c>
      <c r="F144" s="365">
        <v>8.487999999999999E-3</v>
      </c>
      <c r="G144" s="118"/>
      <c r="H144" s="118"/>
      <c r="I144" s="118"/>
      <c r="J144" s="118"/>
      <c r="K144" s="118"/>
      <c r="L144" s="118"/>
      <c r="M144" s="118"/>
      <c r="N144" s="118"/>
      <c r="O144" s="118"/>
      <c r="P144" s="118"/>
      <c r="Q144" s="118"/>
      <c r="R144" s="118"/>
      <c r="S144" s="118"/>
      <c r="T144" s="118"/>
      <c r="U144" s="118"/>
      <c r="V144" s="118"/>
      <c r="W144" s="118"/>
      <c r="X144" s="118"/>
      <c r="Y144" s="118"/>
      <c r="Z144" s="118"/>
      <c r="AA144" s="118"/>
    </row>
    <row r="145" spans="1:27">
      <c r="A145" s="118"/>
      <c r="B145" s="118"/>
      <c r="C145" s="387"/>
      <c r="D145" s="390">
        <v>2005</v>
      </c>
      <c r="E145" s="363">
        <v>7.5100000000000002E-3</v>
      </c>
      <c r="F145" s="365">
        <v>6.7060000000000002E-3</v>
      </c>
      <c r="G145" s="118"/>
      <c r="H145" s="118"/>
      <c r="I145" s="118"/>
      <c r="J145" s="118"/>
      <c r="K145" s="118"/>
      <c r="L145" s="118"/>
      <c r="M145" s="118"/>
      <c r="N145" s="118"/>
      <c r="O145" s="118"/>
      <c r="P145" s="118"/>
      <c r="Q145" s="118"/>
      <c r="R145" s="118"/>
      <c r="S145" s="118"/>
      <c r="T145" s="118"/>
      <c r="U145" s="118"/>
      <c r="V145" s="118"/>
      <c r="W145" s="118"/>
      <c r="X145" s="118"/>
      <c r="Y145" s="118"/>
      <c r="Z145" s="118"/>
      <c r="AA145" s="118"/>
    </row>
    <row r="146" spans="1:27">
      <c r="A146" s="118"/>
      <c r="B146" s="118"/>
      <c r="C146" s="387"/>
      <c r="D146" s="390">
        <v>2006</v>
      </c>
      <c r="E146" s="363">
        <v>7.6340000000000002E-3</v>
      </c>
      <c r="F146" s="365">
        <v>7.4509999999999993E-3</v>
      </c>
      <c r="G146" s="118"/>
      <c r="H146" s="118"/>
      <c r="I146" s="118"/>
      <c r="J146" s="118"/>
      <c r="K146" s="118"/>
      <c r="L146" s="118"/>
      <c r="M146" s="118"/>
      <c r="N146" s="118"/>
      <c r="O146" s="118"/>
      <c r="P146" s="118"/>
      <c r="Q146" s="118"/>
      <c r="R146" s="118"/>
      <c r="S146" s="118"/>
      <c r="T146" s="118"/>
      <c r="U146" s="118"/>
      <c r="V146" s="118"/>
      <c r="W146" s="118"/>
      <c r="X146" s="118"/>
      <c r="Y146" s="118"/>
      <c r="Z146" s="118"/>
      <c r="AA146" s="118"/>
    </row>
    <row r="147" spans="1:27">
      <c r="A147" s="118"/>
      <c r="B147" s="118"/>
      <c r="C147" s="387"/>
      <c r="D147" s="390">
        <v>2007</v>
      </c>
      <c r="E147" s="363">
        <v>7.2259999999999998E-3</v>
      </c>
      <c r="F147" s="365">
        <v>5.2129999999999998E-3</v>
      </c>
      <c r="G147" s="118"/>
      <c r="H147" s="118"/>
      <c r="I147" s="118"/>
      <c r="J147" s="118"/>
      <c r="K147" s="118"/>
      <c r="L147" s="118"/>
      <c r="M147" s="118"/>
      <c r="N147" s="118"/>
      <c r="O147" s="118"/>
      <c r="P147" s="118"/>
      <c r="Q147" s="118"/>
      <c r="R147" s="118"/>
      <c r="S147" s="118"/>
      <c r="T147" s="118"/>
      <c r="U147" s="118"/>
      <c r="V147" s="118"/>
      <c r="W147" s="118"/>
      <c r="X147" s="118"/>
      <c r="Y147" s="118"/>
      <c r="Z147" s="118"/>
      <c r="AA147" s="118"/>
    </row>
    <row r="148" spans="1:27">
      <c r="A148" s="118"/>
      <c r="B148" s="118"/>
      <c r="C148" s="387"/>
      <c r="D148" s="390">
        <v>2008</v>
      </c>
      <c r="E148" s="363">
        <v>7.1719999999999996E-3</v>
      </c>
      <c r="F148" s="365">
        <v>4.9040000000000004E-3</v>
      </c>
      <c r="G148" s="118"/>
      <c r="H148" s="118"/>
      <c r="I148" s="118"/>
      <c r="J148" s="118"/>
      <c r="K148" s="118"/>
      <c r="L148" s="118"/>
      <c r="M148" s="118"/>
      <c r="N148" s="118"/>
      <c r="O148" s="118"/>
      <c r="P148" s="118"/>
      <c r="Q148" s="118"/>
      <c r="R148" s="118"/>
      <c r="S148" s="118"/>
      <c r="T148" s="118"/>
      <c r="U148" s="118"/>
      <c r="V148" s="118"/>
      <c r="W148" s="118"/>
      <c r="X148" s="118"/>
      <c r="Y148" s="118"/>
      <c r="Z148" s="118"/>
      <c r="AA148" s="118"/>
    </row>
    <row r="149" spans="1:27">
      <c r="A149" s="118"/>
      <c r="B149" s="118"/>
      <c r="C149" s="387"/>
      <c r="D149" s="390">
        <v>2009</v>
      </c>
      <c r="E149" s="389">
        <v>7.1139999999999988E-3</v>
      </c>
      <c r="F149" s="388">
        <v>4.5849999999999997E-3</v>
      </c>
      <c r="G149" s="118"/>
      <c r="H149" s="118"/>
      <c r="I149" s="118"/>
      <c r="J149" s="118"/>
      <c r="K149" s="118"/>
      <c r="L149" s="118"/>
      <c r="M149" s="118"/>
      <c r="N149" s="118"/>
      <c r="O149" s="118"/>
      <c r="P149" s="118"/>
      <c r="Q149" s="118"/>
      <c r="R149" s="118"/>
      <c r="S149" s="118"/>
      <c r="T149" s="118"/>
      <c r="U149" s="118"/>
      <c r="V149" s="118"/>
      <c r="W149" s="118"/>
      <c r="X149" s="118"/>
      <c r="Y149" s="118"/>
      <c r="Z149" s="118"/>
      <c r="AA149" s="118"/>
    </row>
    <row r="150" spans="1:27">
      <c r="A150" s="118"/>
      <c r="B150" s="118"/>
      <c r="C150" s="387"/>
      <c r="D150" s="390">
        <v>2010</v>
      </c>
      <c r="E150" s="389">
        <v>7.1120000000000003E-3</v>
      </c>
      <c r="F150" s="388">
        <v>4.5799999999999999E-3</v>
      </c>
      <c r="G150" s="118"/>
      <c r="H150" s="118"/>
      <c r="I150" s="118"/>
      <c r="J150" s="118"/>
      <c r="K150" s="118"/>
      <c r="L150" s="118"/>
      <c r="M150" s="118"/>
      <c r="N150" s="118"/>
      <c r="O150" s="118"/>
      <c r="P150" s="118"/>
      <c r="Q150" s="118"/>
      <c r="R150" s="118"/>
      <c r="S150" s="118"/>
      <c r="T150" s="118"/>
      <c r="U150" s="118"/>
      <c r="V150" s="118"/>
      <c r="W150" s="118"/>
      <c r="X150" s="118"/>
      <c r="Y150" s="118"/>
      <c r="Z150" s="118"/>
      <c r="AA150" s="118"/>
    </row>
    <row r="151" spans="1:27">
      <c r="A151" s="118"/>
      <c r="B151" s="118"/>
      <c r="C151" s="387"/>
      <c r="D151" s="390">
        <v>2011</v>
      </c>
      <c r="E151" s="389">
        <v>7.1159999999999999E-3</v>
      </c>
      <c r="F151" s="388">
        <v>4.5899999999999995E-3</v>
      </c>
      <c r="G151" s="118"/>
      <c r="H151" s="118"/>
      <c r="I151" s="118"/>
      <c r="J151" s="118"/>
      <c r="K151" s="118"/>
      <c r="L151" s="118"/>
      <c r="M151" s="118"/>
      <c r="N151" s="118"/>
      <c r="O151" s="118"/>
      <c r="P151" s="118"/>
      <c r="Q151" s="118"/>
      <c r="R151" s="118"/>
      <c r="S151" s="118"/>
      <c r="T151" s="118"/>
      <c r="U151" s="118"/>
      <c r="V151" s="118"/>
      <c r="W151" s="118"/>
      <c r="X151" s="118"/>
      <c r="Y151" s="118"/>
      <c r="Z151" s="118"/>
      <c r="AA151" s="118"/>
    </row>
    <row r="152" spans="1:27">
      <c r="A152" s="118"/>
      <c r="B152" s="118"/>
      <c r="C152" s="387"/>
      <c r="D152" s="390">
        <v>2012</v>
      </c>
      <c r="E152" s="389">
        <v>7.1179999999999993E-3</v>
      </c>
      <c r="F152" s="388">
        <v>4.5949999999999993E-3</v>
      </c>
      <c r="G152" s="118"/>
      <c r="H152" s="118"/>
      <c r="I152" s="118"/>
      <c r="J152" s="118"/>
      <c r="K152" s="118"/>
      <c r="L152" s="118"/>
      <c r="M152" s="118"/>
      <c r="N152" s="118"/>
      <c r="O152" s="118"/>
      <c r="P152" s="118"/>
      <c r="Q152" s="118"/>
      <c r="R152" s="118"/>
      <c r="S152" s="118"/>
      <c r="T152" s="118"/>
      <c r="U152" s="118"/>
      <c r="V152" s="118"/>
      <c r="W152" s="118"/>
      <c r="X152" s="118"/>
      <c r="Y152" s="118"/>
      <c r="Z152" s="118"/>
      <c r="AA152" s="118"/>
    </row>
    <row r="153" spans="1:27">
      <c r="A153" s="118"/>
      <c r="B153" s="118"/>
      <c r="C153" s="387"/>
      <c r="D153" s="390">
        <v>2013</v>
      </c>
      <c r="E153" s="389">
        <v>7.1200000000000005E-3</v>
      </c>
      <c r="F153" s="388">
        <v>4.5999999999999999E-3</v>
      </c>
      <c r="G153" s="118"/>
      <c r="H153" s="118"/>
      <c r="I153" s="118"/>
      <c r="J153" s="118"/>
      <c r="K153" s="118"/>
      <c r="L153" s="118"/>
      <c r="M153" s="118"/>
      <c r="N153" s="118"/>
      <c r="O153" s="118"/>
      <c r="P153" s="118"/>
      <c r="Q153" s="118"/>
      <c r="R153" s="118"/>
      <c r="S153" s="118"/>
      <c r="T153" s="118"/>
      <c r="U153" s="118"/>
      <c r="V153" s="118"/>
      <c r="W153" s="118"/>
      <c r="X153" s="118"/>
      <c r="Y153" s="118"/>
      <c r="Z153" s="118"/>
      <c r="AA153" s="118"/>
    </row>
    <row r="154" spans="1:27">
      <c r="A154" s="118"/>
      <c r="B154" s="118"/>
      <c r="C154" s="387"/>
      <c r="D154" s="390">
        <v>2014</v>
      </c>
      <c r="E154" s="389">
        <v>7.0989999999999994E-3</v>
      </c>
      <c r="F154" s="388">
        <v>4.5789999999999997E-3</v>
      </c>
      <c r="G154" s="118"/>
      <c r="H154" s="118"/>
      <c r="I154" s="118"/>
      <c r="J154" s="118"/>
      <c r="K154" s="118"/>
      <c r="L154" s="118"/>
      <c r="M154" s="118"/>
      <c r="N154" s="118"/>
      <c r="O154" s="118"/>
      <c r="P154" s="118"/>
      <c r="Q154" s="118"/>
      <c r="R154" s="118"/>
      <c r="S154" s="118"/>
      <c r="T154" s="118"/>
      <c r="U154" s="118"/>
      <c r="V154" s="118"/>
      <c r="W154" s="118"/>
      <c r="X154" s="118"/>
      <c r="Y154" s="118"/>
      <c r="Z154" s="118"/>
      <c r="AA154" s="118"/>
    </row>
    <row r="155" spans="1:27">
      <c r="A155" s="118"/>
      <c r="B155" s="118"/>
      <c r="C155" s="387"/>
      <c r="D155" s="390">
        <v>2015</v>
      </c>
      <c r="E155" s="389">
        <v>6.8370000000000002E-3</v>
      </c>
      <c r="F155" s="388">
        <v>4.2389999999999997E-3</v>
      </c>
      <c r="G155" s="118"/>
      <c r="H155" s="118"/>
      <c r="I155" s="118"/>
      <c r="J155" s="118"/>
      <c r="K155" s="118"/>
      <c r="L155" s="118"/>
      <c r="M155" s="118"/>
      <c r="N155" s="118"/>
      <c r="O155" s="118"/>
      <c r="P155" s="118"/>
      <c r="Q155" s="118"/>
      <c r="R155" s="118"/>
      <c r="S155" s="118"/>
      <c r="T155" s="118"/>
      <c r="U155" s="118"/>
      <c r="V155" s="118"/>
      <c r="W155" s="118"/>
      <c r="X155" s="118"/>
      <c r="Y155" s="118"/>
      <c r="Z155" s="118"/>
      <c r="AA155" s="118"/>
    </row>
    <row r="156" spans="1:27">
      <c r="A156" s="118"/>
      <c r="B156" s="118"/>
      <c r="C156" s="387"/>
      <c r="D156" s="390">
        <v>2016</v>
      </c>
      <c r="E156" s="389">
        <v>6.4899999999999992E-3</v>
      </c>
      <c r="F156" s="388">
        <v>3.7809999999999996E-3</v>
      </c>
      <c r="G156" s="118"/>
      <c r="H156" s="118"/>
      <c r="I156" s="118"/>
      <c r="J156" s="118"/>
      <c r="K156" s="118"/>
      <c r="L156" s="118"/>
      <c r="M156" s="118"/>
      <c r="N156" s="118"/>
      <c r="O156" s="118"/>
      <c r="P156" s="118"/>
      <c r="Q156" s="118"/>
      <c r="R156" s="118"/>
      <c r="S156" s="118"/>
      <c r="T156" s="118"/>
      <c r="U156" s="118"/>
      <c r="V156" s="118"/>
      <c r="W156" s="118"/>
      <c r="X156" s="118"/>
      <c r="Y156" s="118"/>
      <c r="Z156" s="118"/>
      <c r="AA156" s="118"/>
    </row>
    <row r="157" spans="1:27">
      <c r="A157" s="118"/>
      <c r="B157" s="118"/>
      <c r="C157" s="387"/>
      <c r="D157" s="390">
        <v>2017</v>
      </c>
      <c r="E157" s="389">
        <v>5.365E-3</v>
      </c>
      <c r="F157" s="388">
        <v>1.7900000000000004E-3</v>
      </c>
      <c r="G157" s="118"/>
      <c r="H157" s="118"/>
      <c r="I157" s="118"/>
      <c r="J157" s="118"/>
      <c r="K157" s="118"/>
      <c r="L157" s="118"/>
      <c r="M157" s="118"/>
      <c r="N157" s="118"/>
      <c r="O157" s="118"/>
      <c r="P157" s="118"/>
      <c r="Q157" s="118"/>
      <c r="R157" s="118"/>
      <c r="S157" s="118"/>
      <c r="T157" s="118"/>
      <c r="U157" s="118"/>
      <c r="V157" s="118"/>
      <c r="W157" s="118"/>
      <c r="X157" s="118"/>
      <c r="Y157" s="118"/>
      <c r="Z157" s="118"/>
      <c r="AA157" s="118"/>
    </row>
    <row r="158" spans="1:27">
      <c r="A158" s="118"/>
      <c r="B158" s="118"/>
      <c r="C158" s="387"/>
      <c r="D158" s="390">
        <v>2018</v>
      </c>
      <c r="E158" s="389">
        <v>5.2399999999999999E-3</v>
      </c>
      <c r="F158" s="388">
        <v>1.585E-3</v>
      </c>
      <c r="G158" s="118"/>
      <c r="H158" s="118"/>
      <c r="I158" s="118"/>
      <c r="J158" s="118"/>
      <c r="K158" s="118"/>
      <c r="L158" s="118"/>
      <c r="M158" s="118"/>
      <c r="N158" s="118"/>
      <c r="O158" s="118"/>
      <c r="P158" s="118"/>
      <c r="Q158" s="118"/>
      <c r="R158" s="118"/>
      <c r="S158" s="118"/>
      <c r="T158" s="118"/>
      <c r="U158" s="118"/>
      <c r="V158" s="118"/>
      <c r="W158" s="118"/>
      <c r="X158" s="118"/>
      <c r="Y158" s="118"/>
      <c r="Z158" s="118"/>
      <c r="AA158" s="118"/>
    </row>
    <row r="159" spans="1:27">
      <c r="A159" s="118"/>
      <c r="B159" s="118"/>
      <c r="C159" s="387"/>
      <c r="D159" s="390">
        <v>2019</v>
      </c>
      <c r="E159" s="389">
        <v>5.1050000000000002E-3</v>
      </c>
      <c r="F159" s="388">
        <v>1.4519999999999999E-3</v>
      </c>
      <c r="G159" s="118"/>
      <c r="H159" s="118"/>
      <c r="I159" s="118"/>
      <c r="J159" s="118"/>
      <c r="K159" s="118"/>
      <c r="L159" s="118"/>
      <c r="M159" s="118"/>
      <c r="N159" s="118"/>
      <c r="O159" s="118"/>
      <c r="P159" s="118"/>
      <c r="Q159" s="118"/>
      <c r="R159" s="118"/>
      <c r="S159" s="118"/>
      <c r="T159" s="118"/>
      <c r="U159" s="118"/>
      <c r="V159" s="118"/>
      <c r="W159" s="118"/>
      <c r="X159" s="118"/>
      <c r="Y159" s="118"/>
      <c r="Z159" s="118"/>
      <c r="AA159" s="118"/>
    </row>
    <row r="160" spans="1:27">
      <c r="A160" s="118"/>
      <c r="B160" s="118"/>
      <c r="C160" s="387"/>
      <c r="D160" s="390">
        <v>2020</v>
      </c>
      <c r="E160" s="389">
        <v>4.9999999999999992E-3</v>
      </c>
      <c r="F160" s="388">
        <v>1.3500000000000001E-3</v>
      </c>
      <c r="G160" s="118"/>
      <c r="H160" s="118"/>
      <c r="I160" s="118"/>
      <c r="J160" s="118"/>
      <c r="K160" s="118"/>
      <c r="L160" s="118"/>
      <c r="M160" s="118"/>
      <c r="N160" s="118"/>
      <c r="O160" s="118"/>
      <c r="P160" s="118"/>
      <c r="Q160" s="118"/>
      <c r="R160" s="118"/>
      <c r="S160" s="118"/>
      <c r="T160" s="118"/>
      <c r="U160" s="118"/>
      <c r="V160" s="118"/>
      <c r="W160" s="118"/>
      <c r="X160" s="118"/>
      <c r="Y160" s="118"/>
      <c r="Z160" s="118"/>
      <c r="AA160" s="118"/>
    </row>
    <row r="161" spans="1:27" ht="13.5" thickBot="1">
      <c r="A161" s="118"/>
      <c r="B161" s="118"/>
      <c r="C161" s="384"/>
      <c r="D161" s="383">
        <v>2021</v>
      </c>
      <c r="E161" s="382">
        <v>5.0499999999999989E-3</v>
      </c>
      <c r="F161" s="381">
        <v>1.4120000000000001E-3</v>
      </c>
      <c r="G161" s="118"/>
      <c r="H161" s="118"/>
      <c r="I161" s="118"/>
      <c r="J161" s="118"/>
      <c r="K161" s="118"/>
      <c r="L161" s="118"/>
      <c r="M161" s="118"/>
      <c r="N161" s="118"/>
      <c r="O161" s="118"/>
      <c r="P161" s="118"/>
      <c r="Q161" s="118"/>
      <c r="R161" s="118"/>
      <c r="S161" s="118"/>
      <c r="T161" s="118"/>
      <c r="U161" s="118"/>
      <c r="V161" s="118"/>
      <c r="W161" s="118"/>
      <c r="X161" s="118"/>
      <c r="Y161" s="118"/>
      <c r="Z161" s="118"/>
      <c r="AA161" s="118"/>
    </row>
    <row r="162" spans="1:27">
      <c r="A162" s="118"/>
      <c r="B162" s="118"/>
      <c r="C162" s="393" t="s">
        <v>3122</v>
      </c>
      <c r="D162" s="380" t="s">
        <v>3118</v>
      </c>
      <c r="E162" s="392">
        <v>0.1908</v>
      </c>
      <c r="F162" s="391">
        <v>2.18E-2</v>
      </c>
      <c r="G162" s="118"/>
      <c r="H162" s="118"/>
      <c r="I162" s="118"/>
      <c r="J162" s="118"/>
      <c r="K162" s="118"/>
      <c r="L162" s="118"/>
      <c r="M162" s="118"/>
      <c r="N162" s="118"/>
      <c r="O162" s="118"/>
      <c r="P162" s="118"/>
      <c r="Q162" s="118"/>
      <c r="R162" s="118"/>
      <c r="S162" s="118"/>
      <c r="T162" s="118"/>
      <c r="U162" s="118"/>
      <c r="V162" s="118"/>
      <c r="W162" s="118"/>
      <c r="X162" s="118"/>
      <c r="Y162" s="118"/>
      <c r="Z162" s="118"/>
      <c r="AA162" s="118"/>
    </row>
    <row r="163" spans="1:27">
      <c r="A163" s="118"/>
      <c r="B163" s="118"/>
      <c r="C163" s="387" t="s">
        <v>3123</v>
      </c>
      <c r="D163" s="390">
        <v>1975</v>
      </c>
      <c r="E163" s="363">
        <v>0.16336000000000001</v>
      </c>
      <c r="F163" s="365">
        <v>5.1269999999999996E-2</v>
      </c>
      <c r="G163" s="118"/>
      <c r="H163" s="118"/>
      <c r="I163" s="118"/>
      <c r="J163" s="118"/>
      <c r="K163" s="118"/>
      <c r="L163" s="118"/>
      <c r="M163" s="118"/>
      <c r="N163" s="118"/>
      <c r="O163" s="118"/>
      <c r="P163" s="118"/>
      <c r="Q163" s="118"/>
      <c r="R163" s="118"/>
      <c r="S163" s="118"/>
      <c r="T163" s="118"/>
      <c r="U163" s="118"/>
      <c r="V163" s="118"/>
      <c r="W163" s="118"/>
      <c r="X163" s="118"/>
      <c r="Y163" s="118"/>
      <c r="Z163" s="118"/>
      <c r="AA163" s="118"/>
    </row>
    <row r="164" spans="1:27">
      <c r="A164" s="118"/>
      <c r="B164" s="118"/>
      <c r="C164" s="387"/>
      <c r="D164" s="390">
        <v>1976</v>
      </c>
      <c r="E164" s="363">
        <v>0.15944000000000003</v>
      </c>
      <c r="F164" s="365">
        <v>5.5480000000000002E-2</v>
      </c>
      <c r="G164" s="118"/>
      <c r="H164" s="118"/>
      <c r="I164" s="118"/>
      <c r="J164" s="118"/>
      <c r="K164" s="118"/>
      <c r="L164" s="118"/>
      <c r="M164" s="118"/>
      <c r="N164" s="118"/>
      <c r="O164" s="118"/>
      <c r="P164" s="118"/>
      <c r="Q164" s="118"/>
      <c r="R164" s="118"/>
      <c r="S164" s="118"/>
      <c r="T164" s="118"/>
      <c r="U164" s="118"/>
      <c r="V164" s="118"/>
      <c r="W164" s="118"/>
      <c r="X164" s="118"/>
      <c r="Y164" s="118"/>
      <c r="Z164" s="118"/>
      <c r="AA164" s="118"/>
    </row>
    <row r="165" spans="1:27">
      <c r="A165" s="118"/>
      <c r="B165" s="118"/>
      <c r="C165" s="387"/>
      <c r="D165" s="390" t="s">
        <v>3124</v>
      </c>
      <c r="E165" s="363">
        <v>0.16140000000000002</v>
      </c>
      <c r="F165" s="365">
        <v>5.3374999999999992E-2</v>
      </c>
      <c r="G165" s="118"/>
      <c r="H165" s="118"/>
      <c r="I165" s="118"/>
      <c r="J165" s="118"/>
      <c r="K165" s="118"/>
      <c r="L165" s="118"/>
      <c r="M165" s="118"/>
      <c r="N165" s="118"/>
      <c r="O165" s="118"/>
      <c r="P165" s="118"/>
      <c r="Q165" s="118"/>
      <c r="R165" s="118"/>
      <c r="S165" s="118"/>
      <c r="T165" s="118"/>
      <c r="U165" s="118"/>
      <c r="V165" s="118"/>
      <c r="W165" s="118"/>
      <c r="X165" s="118"/>
      <c r="Y165" s="118"/>
      <c r="Z165" s="118"/>
      <c r="AA165" s="118"/>
    </row>
    <row r="166" spans="1:27">
      <c r="A166" s="118"/>
      <c r="B166" s="118"/>
      <c r="C166" s="387"/>
      <c r="D166" s="390" t="s">
        <v>3125</v>
      </c>
      <c r="E166" s="363">
        <v>0.15944000000000003</v>
      </c>
      <c r="F166" s="365">
        <v>5.5480000000000002E-2</v>
      </c>
      <c r="G166" s="118"/>
      <c r="H166" s="118"/>
      <c r="I166" s="118"/>
      <c r="J166" s="118"/>
      <c r="K166" s="118"/>
      <c r="L166" s="118"/>
      <c r="M166" s="118"/>
      <c r="N166" s="118"/>
      <c r="O166" s="118"/>
      <c r="P166" s="118"/>
      <c r="Q166" s="118"/>
      <c r="R166" s="118"/>
      <c r="S166" s="118"/>
      <c r="T166" s="118"/>
      <c r="U166" s="118"/>
      <c r="V166" s="118"/>
      <c r="W166" s="118"/>
      <c r="X166" s="118"/>
      <c r="Y166" s="118"/>
      <c r="Z166" s="118"/>
      <c r="AA166" s="118"/>
    </row>
    <row r="167" spans="1:27">
      <c r="A167" s="118"/>
      <c r="B167" s="118"/>
      <c r="C167" s="387"/>
      <c r="D167" s="390">
        <v>1981</v>
      </c>
      <c r="E167" s="363">
        <v>0.1479</v>
      </c>
      <c r="F167" s="365">
        <v>6.5984999999999988E-2</v>
      </c>
      <c r="G167" s="118"/>
      <c r="H167" s="118"/>
      <c r="I167" s="118"/>
      <c r="J167" s="118"/>
      <c r="K167" s="118"/>
      <c r="L167" s="118"/>
      <c r="M167" s="118"/>
      <c r="N167" s="118"/>
      <c r="O167" s="118"/>
      <c r="P167" s="118"/>
      <c r="Q167" s="118"/>
      <c r="R167" s="118"/>
      <c r="S167" s="118"/>
      <c r="T167" s="118"/>
      <c r="U167" s="118"/>
      <c r="V167" s="118"/>
      <c r="W167" s="118"/>
      <c r="X167" s="118"/>
      <c r="Y167" s="118"/>
      <c r="Z167" s="118"/>
      <c r="AA167" s="118"/>
    </row>
    <row r="168" spans="1:27">
      <c r="A168" s="118"/>
      <c r="B168" s="118"/>
      <c r="C168" s="387"/>
      <c r="D168" s="390">
        <v>1982</v>
      </c>
      <c r="E168" s="363">
        <v>0.14419999999999999</v>
      </c>
      <c r="F168" s="365">
        <v>6.8069999999999992E-2</v>
      </c>
      <c r="G168" s="118"/>
      <c r="H168" s="118"/>
      <c r="I168" s="118"/>
      <c r="J168" s="118"/>
      <c r="K168" s="118"/>
      <c r="L168" s="118"/>
      <c r="M168" s="118"/>
      <c r="N168" s="118"/>
      <c r="O168" s="118"/>
      <c r="P168" s="118"/>
      <c r="Q168" s="118"/>
      <c r="R168" s="118"/>
      <c r="S168" s="118"/>
      <c r="T168" s="118"/>
      <c r="U168" s="118"/>
      <c r="V168" s="118"/>
      <c r="W168" s="118"/>
      <c r="X168" s="118"/>
      <c r="Y168" s="118"/>
      <c r="Z168" s="118"/>
      <c r="AA168" s="118"/>
    </row>
    <row r="169" spans="1:27">
      <c r="A169" s="118"/>
      <c r="B169" s="118"/>
      <c r="C169" s="387"/>
      <c r="D169" s="390">
        <v>1983</v>
      </c>
      <c r="E169" s="363">
        <v>0.1368</v>
      </c>
      <c r="F169" s="365">
        <v>7.2239999999999999E-2</v>
      </c>
      <c r="G169" s="118"/>
      <c r="H169" s="118"/>
      <c r="I169" s="118"/>
      <c r="J169" s="118"/>
      <c r="K169" s="118"/>
      <c r="L169" s="118"/>
      <c r="M169" s="118"/>
      <c r="N169" s="118"/>
      <c r="O169" s="118"/>
      <c r="P169" s="118"/>
      <c r="Q169" s="118"/>
      <c r="R169" s="118"/>
      <c r="S169" s="118"/>
      <c r="T169" s="118"/>
      <c r="U169" s="118"/>
      <c r="V169" s="118"/>
      <c r="W169" s="118"/>
      <c r="X169" s="118"/>
      <c r="Y169" s="118"/>
      <c r="Z169" s="118"/>
      <c r="AA169" s="118"/>
    </row>
    <row r="170" spans="1:27">
      <c r="A170" s="118"/>
      <c r="B170" s="118"/>
      <c r="C170" s="387"/>
      <c r="D170" s="390">
        <v>1984</v>
      </c>
      <c r="E170" s="363">
        <v>0.12940000000000002</v>
      </c>
      <c r="F170" s="365">
        <v>7.6410000000000006E-2</v>
      </c>
      <c r="G170" s="118"/>
      <c r="H170" s="118"/>
      <c r="I170" s="118"/>
      <c r="J170" s="118"/>
      <c r="K170" s="118"/>
      <c r="L170" s="118"/>
      <c r="M170" s="118"/>
      <c r="N170" s="118"/>
      <c r="O170" s="118"/>
      <c r="P170" s="118"/>
      <c r="Q170" s="118"/>
      <c r="R170" s="118"/>
      <c r="S170" s="118"/>
      <c r="T170" s="118"/>
      <c r="U170" s="118"/>
      <c r="V170" s="118"/>
      <c r="W170" s="118"/>
      <c r="X170" s="118"/>
      <c r="Y170" s="118"/>
      <c r="Z170" s="118"/>
      <c r="AA170" s="118"/>
    </row>
    <row r="171" spans="1:27">
      <c r="A171" s="118"/>
      <c r="B171" s="118"/>
      <c r="C171" s="387"/>
      <c r="D171" s="390">
        <v>1985</v>
      </c>
      <c r="E171" s="363">
        <v>0.122</v>
      </c>
      <c r="F171" s="365">
        <v>8.0579999999999999E-2</v>
      </c>
      <c r="G171" s="118"/>
      <c r="H171" s="118"/>
      <c r="I171" s="118"/>
      <c r="J171" s="118"/>
      <c r="K171" s="118"/>
      <c r="L171" s="118"/>
      <c r="M171" s="118"/>
      <c r="N171" s="118"/>
      <c r="O171" s="118"/>
      <c r="P171" s="118"/>
      <c r="Q171" s="118"/>
      <c r="R171" s="118"/>
      <c r="S171" s="118"/>
      <c r="T171" s="118"/>
      <c r="U171" s="118"/>
      <c r="V171" s="118"/>
      <c r="W171" s="118"/>
      <c r="X171" s="118"/>
      <c r="Y171" s="118"/>
      <c r="Z171" s="118"/>
      <c r="AA171" s="118"/>
    </row>
    <row r="172" spans="1:27">
      <c r="A172" s="118"/>
      <c r="B172" s="118"/>
      <c r="C172" s="387"/>
      <c r="D172" s="390">
        <v>1986</v>
      </c>
      <c r="E172" s="363">
        <v>0.11460000000000001</v>
      </c>
      <c r="F172" s="365">
        <v>8.4749999999999992E-2</v>
      </c>
      <c r="G172" s="118"/>
      <c r="H172" s="118"/>
      <c r="I172" s="118"/>
      <c r="J172" s="118"/>
      <c r="K172" s="118"/>
      <c r="L172" s="118"/>
      <c r="M172" s="118"/>
      <c r="N172" s="118"/>
      <c r="O172" s="118"/>
      <c r="P172" s="118"/>
      <c r="Q172" s="118"/>
      <c r="R172" s="118"/>
      <c r="S172" s="118"/>
      <c r="T172" s="118"/>
      <c r="U172" s="118"/>
      <c r="V172" s="118"/>
      <c r="W172" s="118"/>
      <c r="X172" s="118"/>
      <c r="Y172" s="118"/>
      <c r="Z172" s="118"/>
      <c r="AA172" s="118"/>
    </row>
    <row r="173" spans="1:27">
      <c r="A173" s="118"/>
      <c r="B173" s="118"/>
      <c r="C173" s="387"/>
      <c r="D173" s="390" t="s">
        <v>3126</v>
      </c>
      <c r="E173" s="363">
        <v>8.1299999999999997E-2</v>
      </c>
      <c r="F173" s="365">
        <v>0.103515</v>
      </c>
      <c r="G173" s="118"/>
      <c r="H173" s="118"/>
      <c r="I173" s="118"/>
      <c r="J173" s="118"/>
      <c r="K173" s="118"/>
      <c r="L173" s="118"/>
      <c r="M173" s="118"/>
      <c r="N173" s="118"/>
      <c r="O173" s="118"/>
      <c r="P173" s="118"/>
      <c r="Q173" s="118"/>
      <c r="R173" s="118"/>
      <c r="S173" s="118"/>
      <c r="T173" s="118"/>
      <c r="U173" s="118"/>
      <c r="V173" s="118"/>
      <c r="W173" s="118"/>
      <c r="X173" s="118"/>
      <c r="Y173" s="118"/>
      <c r="Z173" s="118"/>
      <c r="AA173" s="118"/>
    </row>
    <row r="174" spans="1:27">
      <c r="A174" s="118"/>
      <c r="B174" s="118"/>
      <c r="C174" s="387"/>
      <c r="D174" s="390">
        <v>1994</v>
      </c>
      <c r="E174" s="363">
        <v>6.4640000000000003E-2</v>
      </c>
      <c r="F174" s="365">
        <v>9.820000000000001E-2</v>
      </c>
      <c r="G174" s="118"/>
      <c r="H174" s="118"/>
      <c r="I174" s="118"/>
      <c r="J174" s="118"/>
      <c r="K174" s="118"/>
      <c r="L174" s="118"/>
      <c r="M174" s="118"/>
      <c r="N174" s="118"/>
      <c r="O174" s="118"/>
      <c r="P174" s="118"/>
      <c r="Q174" s="118"/>
      <c r="R174" s="118"/>
      <c r="S174" s="118"/>
      <c r="T174" s="118"/>
      <c r="U174" s="118"/>
      <c r="V174" s="118"/>
      <c r="W174" s="118"/>
      <c r="X174" s="118"/>
      <c r="Y174" s="118"/>
      <c r="Z174" s="118"/>
      <c r="AA174" s="118"/>
    </row>
    <row r="175" spans="1:27">
      <c r="A175" s="118"/>
      <c r="B175" s="118"/>
      <c r="C175" s="387"/>
      <c r="D175" s="390">
        <v>1995</v>
      </c>
      <c r="E175" s="363">
        <v>5.1679999999999997E-2</v>
      </c>
      <c r="F175" s="365">
        <v>9.0800000000000006E-2</v>
      </c>
      <c r="G175" s="118"/>
      <c r="H175" s="118"/>
      <c r="I175" s="118"/>
      <c r="J175" s="118"/>
      <c r="K175" s="118"/>
      <c r="L175" s="118"/>
      <c r="M175" s="118"/>
      <c r="N175" s="118"/>
      <c r="O175" s="118"/>
      <c r="P175" s="118"/>
      <c r="Q175" s="118"/>
      <c r="R175" s="118"/>
      <c r="S175" s="118"/>
      <c r="T175" s="118"/>
      <c r="U175" s="118"/>
      <c r="V175" s="118"/>
      <c r="W175" s="118"/>
      <c r="X175" s="118"/>
      <c r="Y175" s="118"/>
      <c r="Z175" s="118"/>
      <c r="AA175" s="118"/>
    </row>
    <row r="176" spans="1:27">
      <c r="A176" s="118"/>
      <c r="B176" s="118"/>
      <c r="C176" s="387"/>
      <c r="D176" s="390">
        <v>1996</v>
      </c>
      <c r="E176" s="363">
        <v>4.5199999999999997E-2</v>
      </c>
      <c r="F176" s="365">
        <v>8.7099999999999997E-2</v>
      </c>
      <c r="G176" s="118"/>
      <c r="H176" s="118"/>
      <c r="I176" s="118"/>
      <c r="J176" s="118"/>
      <c r="K176" s="118"/>
      <c r="L176" s="118"/>
      <c r="M176" s="118"/>
      <c r="N176" s="118"/>
      <c r="O176" s="118"/>
      <c r="P176" s="118"/>
      <c r="Q176" s="118"/>
      <c r="R176" s="118"/>
      <c r="S176" s="118"/>
      <c r="T176" s="118"/>
      <c r="U176" s="118"/>
      <c r="V176" s="118"/>
      <c r="W176" s="118"/>
      <c r="X176" s="118"/>
      <c r="Y176" s="118"/>
      <c r="Z176" s="118"/>
      <c r="AA176" s="118"/>
    </row>
    <row r="177" spans="1:27">
      <c r="A177" s="118"/>
      <c r="B177" s="118"/>
      <c r="C177" s="387"/>
      <c r="D177" s="390">
        <v>1997</v>
      </c>
      <c r="E177" s="363">
        <v>4.5199999999999997E-2</v>
      </c>
      <c r="F177" s="365">
        <v>8.7099999999999997E-2</v>
      </c>
      <c r="G177" s="118"/>
      <c r="H177" s="118"/>
      <c r="I177" s="118"/>
      <c r="J177" s="118"/>
      <c r="K177" s="118"/>
      <c r="L177" s="118"/>
      <c r="M177" s="118"/>
      <c r="N177" s="118"/>
      <c r="O177" s="118"/>
      <c r="P177" s="118"/>
      <c r="Q177" s="118"/>
      <c r="R177" s="118"/>
      <c r="S177" s="118"/>
      <c r="T177" s="118"/>
      <c r="U177" s="118"/>
      <c r="V177" s="118"/>
      <c r="W177" s="118"/>
      <c r="X177" s="118"/>
      <c r="Y177" s="118"/>
      <c r="Z177" s="118"/>
      <c r="AA177" s="118"/>
    </row>
    <row r="178" spans="1:27">
      <c r="A178" s="118"/>
      <c r="B178" s="118"/>
      <c r="C178" s="387"/>
      <c r="D178" s="390">
        <v>1998</v>
      </c>
      <c r="E178" s="363">
        <v>4.1248E-2</v>
      </c>
      <c r="F178" s="365">
        <v>7.8675999999999996E-2</v>
      </c>
      <c r="G178" s="118"/>
      <c r="H178" s="118"/>
      <c r="I178" s="118"/>
      <c r="J178" s="118"/>
      <c r="K178" s="118"/>
      <c r="L178" s="118"/>
      <c r="M178" s="118"/>
      <c r="N178" s="118"/>
      <c r="O178" s="118"/>
      <c r="P178" s="118"/>
      <c r="Q178" s="118"/>
      <c r="R178" s="118"/>
      <c r="S178" s="118"/>
      <c r="T178" s="118"/>
      <c r="U178" s="118"/>
      <c r="V178" s="118"/>
      <c r="W178" s="118"/>
      <c r="X178" s="118"/>
      <c r="Y178" s="118"/>
      <c r="Z178" s="118"/>
      <c r="AA178" s="118"/>
    </row>
    <row r="179" spans="1:27">
      <c r="A179" s="118"/>
      <c r="B179" s="118"/>
      <c r="C179" s="387"/>
      <c r="D179" s="390">
        <v>1999</v>
      </c>
      <c r="E179" s="363">
        <v>3.3343999999999999E-2</v>
      </c>
      <c r="F179" s="365">
        <v>6.1827999999999994E-2</v>
      </c>
      <c r="G179" s="118"/>
      <c r="H179" s="118"/>
      <c r="I179" s="118"/>
      <c r="J179" s="118"/>
      <c r="K179" s="118"/>
      <c r="L179" s="118"/>
      <c r="M179" s="118"/>
      <c r="N179" s="118"/>
      <c r="O179" s="118"/>
      <c r="P179" s="118"/>
      <c r="Q179" s="118"/>
      <c r="R179" s="118"/>
      <c r="S179" s="118"/>
      <c r="T179" s="118"/>
      <c r="U179" s="118"/>
      <c r="V179" s="118"/>
      <c r="W179" s="118"/>
      <c r="X179" s="118"/>
      <c r="Y179" s="118"/>
      <c r="Z179" s="118"/>
      <c r="AA179" s="118"/>
    </row>
    <row r="180" spans="1:27">
      <c r="A180" s="118"/>
      <c r="B180" s="118"/>
      <c r="C180" s="387"/>
      <c r="D180" s="390">
        <v>2000</v>
      </c>
      <c r="E180" s="363">
        <v>3.3951999999999996E-2</v>
      </c>
      <c r="F180" s="365">
        <v>6.3124E-2</v>
      </c>
      <c r="G180" s="118"/>
      <c r="H180" s="118"/>
      <c r="I180" s="118"/>
      <c r="J180" s="118"/>
      <c r="K180" s="118"/>
      <c r="L180" s="118"/>
      <c r="M180" s="118"/>
      <c r="N180" s="118"/>
      <c r="O180" s="118"/>
      <c r="P180" s="118"/>
      <c r="Q180" s="118"/>
      <c r="R180" s="118"/>
      <c r="S180" s="118"/>
      <c r="T180" s="118"/>
      <c r="U180" s="118"/>
      <c r="V180" s="118"/>
      <c r="W180" s="118"/>
      <c r="X180" s="118"/>
      <c r="Y180" s="118"/>
      <c r="Z180" s="118"/>
      <c r="AA180" s="118"/>
    </row>
    <row r="181" spans="1:27">
      <c r="A181" s="118"/>
      <c r="B181" s="118"/>
      <c r="C181" s="387"/>
      <c r="D181" s="390">
        <v>2001</v>
      </c>
      <c r="E181" s="363">
        <v>2.2095999999999998E-2</v>
      </c>
      <c r="F181" s="365">
        <v>3.7851999999999997E-2</v>
      </c>
      <c r="G181" s="118"/>
      <c r="H181" s="118"/>
      <c r="I181" s="118"/>
      <c r="J181" s="118"/>
      <c r="K181" s="118"/>
      <c r="L181" s="118"/>
      <c r="M181" s="118"/>
      <c r="N181" s="118"/>
      <c r="O181" s="118"/>
      <c r="P181" s="118"/>
      <c r="Q181" s="118"/>
      <c r="R181" s="118"/>
      <c r="S181" s="118"/>
      <c r="T181" s="118"/>
      <c r="U181" s="118"/>
      <c r="V181" s="118"/>
      <c r="W181" s="118"/>
      <c r="X181" s="118"/>
      <c r="Y181" s="118"/>
      <c r="Z181" s="118"/>
      <c r="AA181" s="118"/>
    </row>
    <row r="182" spans="1:27">
      <c r="A182" s="118"/>
      <c r="B182" s="118"/>
      <c r="C182" s="387"/>
      <c r="D182" s="390">
        <v>2002</v>
      </c>
      <c r="E182" s="363">
        <v>2.4223999999999996E-2</v>
      </c>
      <c r="F182" s="365">
        <v>4.2387999999999995E-2</v>
      </c>
      <c r="G182" s="118"/>
      <c r="H182" s="118"/>
      <c r="I182" s="118"/>
      <c r="J182" s="118"/>
      <c r="K182" s="118"/>
      <c r="L182" s="118"/>
      <c r="M182" s="118"/>
      <c r="N182" s="118"/>
      <c r="O182" s="118"/>
      <c r="P182" s="118"/>
      <c r="Q182" s="118"/>
      <c r="R182" s="118"/>
      <c r="S182" s="118"/>
      <c r="T182" s="118"/>
      <c r="U182" s="118"/>
      <c r="V182" s="118"/>
      <c r="W182" s="118"/>
      <c r="X182" s="118"/>
      <c r="Y182" s="118"/>
      <c r="Z182" s="118"/>
      <c r="AA182" s="118"/>
    </row>
    <row r="183" spans="1:27">
      <c r="A183" s="118"/>
      <c r="B183" s="118"/>
      <c r="C183" s="387"/>
      <c r="D183" s="390">
        <v>2003</v>
      </c>
      <c r="E183" s="363">
        <v>2.2111999999999996E-2</v>
      </c>
      <c r="F183" s="365">
        <v>3.7311999999999998E-2</v>
      </c>
      <c r="G183" s="118"/>
      <c r="H183" s="118"/>
      <c r="I183" s="118"/>
      <c r="J183" s="118"/>
      <c r="K183" s="118"/>
      <c r="L183" s="118"/>
      <c r="M183" s="118"/>
      <c r="N183" s="118"/>
      <c r="O183" s="118"/>
      <c r="P183" s="118"/>
      <c r="Q183" s="118"/>
      <c r="R183" s="118"/>
      <c r="S183" s="118"/>
      <c r="T183" s="118"/>
      <c r="U183" s="118"/>
      <c r="V183" s="118"/>
      <c r="W183" s="118"/>
      <c r="X183" s="118"/>
      <c r="Y183" s="118"/>
      <c r="Z183" s="118"/>
      <c r="AA183" s="118"/>
    </row>
    <row r="184" spans="1:27">
      <c r="A184" s="118"/>
      <c r="B184" s="118"/>
      <c r="C184" s="387"/>
      <c r="D184" s="390">
        <v>2004</v>
      </c>
      <c r="E184" s="363">
        <v>1.1472E-2</v>
      </c>
      <c r="F184" s="365">
        <v>8.7500000000000008E-3</v>
      </c>
      <c r="G184" s="118"/>
      <c r="H184" s="118"/>
      <c r="I184" s="118"/>
      <c r="J184" s="118"/>
      <c r="K184" s="118"/>
      <c r="L184" s="118"/>
      <c r="M184" s="118"/>
      <c r="N184" s="118"/>
      <c r="O184" s="118"/>
      <c r="P184" s="118"/>
      <c r="Q184" s="118"/>
      <c r="R184" s="118"/>
      <c r="S184" s="118"/>
      <c r="T184" s="118"/>
      <c r="U184" s="118"/>
      <c r="V184" s="118"/>
      <c r="W184" s="118"/>
      <c r="X184" s="118"/>
      <c r="Y184" s="118"/>
      <c r="Z184" s="118"/>
      <c r="AA184" s="118"/>
    </row>
    <row r="185" spans="1:27">
      <c r="A185" s="118"/>
      <c r="B185" s="118"/>
      <c r="C185" s="387"/>
      <c r="D185" s="390">
        <v>2005</v>
      </c>
      <c r="E185" s="363">
        <v>1.0544000000000001E-2</v>
      </c>
      <c r="F185" s="365">
        <v>6.4100000000000008E-3</v>
      </c>
      <c r="G185" s="118"/>
      <c r="H185" s="118"/>
      <c r="I185" s="118"/>
      <c r="J185" s="118"/>
      <c r="K185" s="118"/>
      <c r="L185" s="118"/>
      <c r="M185" s="118"/>
      <c r="N185" s="118"/>
      <c r="O185" s="118"/>
      <c r="P185" s="118"/>
      <c r="Q185" s="118"/>
      <c r="R185" s="118"/>
      <c r="S185" s="118"/>
      <c r="T185" s="118"/>
      <c r="U185" s="118"/>
      <c r="V185" s="118"/>
      <c r="W185" s="118"/>
      <c r="X185" s="118"/>
      <c r="Y185" s="118"/>
      <c r="Z185" s="118"/>
      <c r="AA185" s="118"/>
    </row>
    <row r="186" spans="1:27">
      <c r="A186" s="118"/>
      <c r="B186" s="118"/>
      <c r="C186" s="387"/>
      <c r="D186" s="390">
        <v>2006</v>
      </c>
      <c r="E186" s="363">
        <v>1.0800000000000001E-2</v>
      </c>
      <c r="F186" s="365">
        <v>7.9559999999999995E-3</v>
      </c>
      <c r="G186" s="118"/>
      <c r="H186" s="118"/>
      <c r="I186" s="118"/>
      <c r="J186" s="118"/>
      <c r="K186" s="118"/>
      <c r="L186" s="118"/>
      <c r="M186" s="118"/>
      <c r="N186" s="118"/>
      <c r="O186" s="118"/>
      <c r="P186" s="118"/>
      <c r="Q186" s="118"/>
      <c r="R186" s="118"/>
      <c r="S186" s="118"/>
      <c r="T186" s="118"/>
      <c r="U186" s="118"/>
      <c r="V186" s="118"/>
      <c r="W186" s="118"/>
      <c r="X186" s="118"/>
      <c r="Y186" s="118"/>
      <c r="Z186" s="118"/>
      <c r="AA186" s="118"/>
    </row>
    <row r="187" spans="1:27">
      <c r="A187" s="118"/>
      <c r="B187" s="118"/>
      <c r="C187" s="387"/>
      <c r="D187" s="390">
        <v>2007</v>
      </c>
      <c r="E187" s="363">
        <v>1.0272E-2</v>
      </c>
      <c r="F187" s="365">
        <v>6.072000000000001E-3</v>
      </c>
      <c r="G187" s="118"/>
      <c r="H187" s="118"/>
      <c r="I187" s="118"/>
      <c r="J187" s="118"/>
      <c r="K187" s="118"/>
      <c r="L187" s="118"/>
      <c r="M187" s="118"/>
      <c r="N187" s="118"/>
      <c r="O187" s="118"/>
      <c r="P187" s="118"/>
      <c r="Q187" s="118"/>
      <c r="R187" s="118"/>
      <c r="S187" s="118"/>
      <c r="T187" s="118"/>
      <c r="U187" s="118"/>
      <c r="V187" s="118"/>
      <c r="W187" s="118"/>
      <c r="X187" s="118"/>
      <c r="Y187" s="118"/>
      <c r="Z187" s="118"/>
      <c r="AA187" s="118"/>
    </row>
    <row r="188" spans="1:27">
      <c r="A188" s="118"/>
      <c r="B188" s="118"/>
      <c r="C188" s="387"/>
      <c r="D188" s="390">
        <v>2008</v>
      </c>
      <c r="E188" s="389">
        <v>9.4560000000000009E-3</v>
      </c>
      <c r="F188" s="388">
        <v>3.5880000000000005E-3</v>
      </c>
      <c r="G188" s="118"/>
      <c r="H188" s="118"/>
      <c r="I188" s="118"/>
      <c r="J188" s="118"/>
      <c r="K188" s="118"/>
      <c r="L188" s="118"/>
      <c r="M188" s="118"/>
      <c r="N188" s="118"/>
      <c r="O188" s="118"/>
      <c r="P188" s="118"/>
      <c r="Q188" s="118"/>
      <c r="R188" s="118"/>
      <c r="S188" s="118"/>
      <c r="T188" s="118"/>
      <c r="U188" s="118"/>
      <c r="V188" s="118"/>
      <c r="W188" s="118"/>
      <c r="X188" s="118"/>
      <c r="Y188" s="118"/>
      <c r="Z188" s="118"/>
      <c r="AA188" s="118"/>
    </row>
    <row r="189" spans="1:27">
      <c r="A189" s="118"/>
      <c r="B189" s="118"/>
      <c r="C189" s="387"/>
      <c r="D189" s="390">
        <v>2009</v>
      </c>
      <c r="E189" s="389">
        <v>9.4560000000000009E-3</v>
      </c>
      <c r="F189" s="388">
        <v>3.5880000000000005E-3</v>
      </c>
      <c r="G189" s="118"/>
      <c r="H189" s="118"/>
      <c r="I189" s="118"/>
      <c r="J189" s="118"/>
      <c r="K189" s="118"/>
      <c r="L189" s="118"/>
      <c r="M189" s="118"/>
      <c r="N189" s="118"/>
      <c r="O189" s="118"/>
      <c r="P189" s="118"/>
      <c r="Q189" s="118"/>
      <c r="R189" s="118"/>
      <c r="S189" s="118"/>
      <c r="T189" s="118"/>
      <c r="U189" s="118"/>
      <c r="V189" s="118"/>
      <c r="W189" s="118"/>
      <c r="X189" s="118"/>
      <c r="Y189" s="118"/>
      <c r="Z189" s="118"/>
      <c r="AA189" s="118"/>
    </row>
    <row r="190" spans="1:27">
      <c r="A190" s="118"/>
      <c r="B190" s="118"/>
      <c r="C190" s="387"/>
      <c r="D190" s="390">
        <v>2010</v>
      </c>
      <c r="E190" s="389">
        <v>9.5199999999999989E-3</v>
      </c>
      <c r="F190" s="388">
        <v>3.4599999999999995E-3</v>
      </c>
      <c r="G190" s="118"/>
      <c r="H190" s="118"/>
      <c r="I190" s="118"/>
      <c r="J190" s="118"/>
      <c r="K190" s="118"/>
      <c r="L190" s="118"/>
      <c r="M190" s="118"/>
      <c r="N190" s="118"/>
      <c r="O190" s="118"/>
      <c r="P190" s="118"/>
      <c r="Q190" s="118"/>
      <c r="R190" s="118"/>
      <c r="S190" s="118"/>
      <c r="T190" s="118"/>
      <c r="U190" s="118"/>
      <c r="V190" s="118"/>
      <c r="W190" s="118"/>
      <c r="X190" s="118"/>
      <c r="Y190" s="118"/>
      <c r="Z190" s="118"/>
      <c r="AA190" s="118"/>
    </row>
    <row r="191" spans="1:27">
      <c r="A191" s="118"/>
      <c r="B191" s="118"/>
      <c r="C191" s="387"/>
      <c r="D191" s="390">
        <v>2011</v>
      </c>
      <c r="E191" s="389">
        <v>9.5680000000000001E-3</v>
      </c>
      <c r="F191" s="388">
        <v>3.3640000000000002E-3</v>
      </c>
      <c r="G191" s="118"/>
      <c r="H191" s="118"/>
      <c r="I191" s="118"/>
      <c r="J191" s="118"/>
      <c r="K191" s="118"/>
      <c r="L191" s="118"/>
      <c r="M191" s="118"/>
      <c r="N191" s="118"/>
      <c r="O191" s="118"/>
      <c r="P191" s="118"/>
      <c r="Q191" s="118"/>
      <c r="R191" s="118"/>
      <c r="S191" s="118"/>
      <c r="T191" s="118"/>
      <c r="U191" s="118"/>
      <c r="V191" s="118"/>
      <c r="W191" s="118"/>
      <c r="X191" s="118"/>
      <c r="Y191" s="118"/>
      <c r="Z191" s="118"/>
      <c r="AA191" s="118"/>
    </row>
    <row r="192" spans="1:27">
      <c r="A192" s="118"/>
      <c r="B192" s="118"/>
      <c r="C192" s="387"/>
      <c r="D192" s="390">
        <v>2012</v>
      </c>
      <c r="E192" s="389">
        <v>9.6159999999999995E-3</v>
      </c>
      <c r="F192" s="388">
        <v>3.2680000000000001E-3</v>
      </c>
      <c r="G192" s="118"/>
      <c r="H192" s="118"/>
      <c r="I192" s="118"/>
      <c r="J192" s="118"/>
      <c r="K192" s="118"/>
      <c r="L192" s="118"/>
      <c r="M192" s="118"/>
      <c r="N192" s="118"/>
      <c r="O192" s="118"/>
      <c r="P192" s="118"/>
      <c r="Q192" s="118"/>
      <c r="R192" s="118"/>
      <c r="S192" s="118"/>
      <c r="T192" s="118"/>
      <c r="U192" s="118"/>
      <c r="V192" s="118"/>
      <c r="W192" s="118"/>
      <c r="X192" s="118"/>
      <c r="Y192" s="118"/>
      <c r="Z192" s="118"/>
      <c r="AA192" s="118"/>
    </row>
    <row r="193" spans="1:27">
      <c r="A193" s="118"/>
      <c r="B193" s="118"/>
      <c r="C193" s="387"/>
      <c r="D193" s="390">
        <v>2013</v>
      </c>
      <c r="E193" s="389">
        <v>9.5040000000000003E-3</v>
      </c>
      <c r="F193" s="388">
        <v>3.4920000000000003E-3</v>
      </c>
      <c r="G193" s="118"/>
      <c r="H193" s="118"/>
      <c r="I193" s="118"/>
      <c r="J193" s="118"/>
      <c r="K193" s="118"/>
      <c r="L193" s="118"/>
      <c r="M193" s="118"/>
      <c r="N193" s="118"/>
      <c r="O193" s="118"/>
      <c r="P193" s="118"/>
      <c r="Q193" s="118"/>
      <c r="R193" s="118"/>
      <c r="S193" s="118"/>
      <c r="T193" s="118"/>
      <c r="U193" s="118"/>
      <c r="V193" s="118"/>
      <c r="W193" s="118"/>
      <c r="X193" s="118"/>
      <c r="Y193" s="118"/>
      <c r="Z193" s="118"/>
      <c r="AA193" s="118"/>
    </row>
    <row r="194" spans="1:27">
      <c r="A194" s="118"/>
      <c r="B194" s="118"/>
      <c r="C194" s="387"/>
      <c r="D194" s="390">
        <v>2014</v>
      </c>
      <c r="E194" s="389">
        <v>9.5490000000000002E-3</v>
      </c>
      <c r="F194" s="388">
        <v>3.3189999999999999E-3</v>
      </c>
      <c r="G194" s="118"/>
      <c r="H194" s="118"/>
      <c r="I194" s="118"/>
      <c r="J194" s="118"/>
      <c r="K194" s="118"/>
      <c r="L194" s="118"/>
      <c r="M194" s="118"/>
      <c r="N194" s="118"/>
      <c r="O194" s="118"/>
      <c r="P194" s="118"/>
      <c r="Q194" s="118"/>
      <c r="R194" s="118"/>
      <c r="S194" s="118"/>
      <c r="T194" s="118"/>
      <c r="U194" s="118"/>
      <c r="V194" s="118"/>
      <c r="W194" s="118"/>
      <c r="X194" s="118"/>
      <c r="Y194" s="118"/>
      <c r="Z194" s="118"/>
      <c r="AA194" s="118"/>
    </row>
    <row r="195" spans="1:27">
      <c r="A195" s="118"/>
      <c r="B195" s="118"/>
      <c r="C195" s="387"/>
      <c r="D195" s="390">
        <v>2015</v>
      </c>
      <c r="E195" s="389">
        <v>9.4380000000000002E-3</v>
      </c>
      <c r="F195" s="388">
        <v>3.1260000000000003E-3</v>
      </c>
      <c r="G195" s="118"/>
      <c r="H195" s="118"/>
      <c r="I195" s="118"/>
      <c r="J195" s="118"/>
      <c r="K195" s="118"/>
      <c r="L195" s="118"/>
      <c r="M195" s="118"/>
      <c r="N195" s="118"/>
      <c r="O195" s="118"/>
      <c r="P195" s="118"/>
      <c r="Q195" s="118"/>
      <c r="R195" s="118"/>
      <c r="S195" s="118"/>
      <c r="T195" s="118"/>
      <c r="U195" s="118"/>
      <c r="V195" s="118"/>
      <c r="W195" s="118"/>
      <c r="X195" s="118"/>
      <c r="Y195" s="118"/>
      <c r="Z195" s="118"/>
      <c r="AA195" s="118"/>
    </row>
    <row r="196" spans="1:27">
      <c r="A196" s="118"/>
      <c r="B196" s="118"/>
      <c r="C196" s="387"/>
      <c r="D196" s="390">
        <v>2016</v>
      </c>
      <c r="E196" s="389">
        <v>9.1039999999999992E-3</v>
      </c>
      <c r="F196" s="388">
        <v>2.9060000000000002E-3</v>
      </c>
      <c r="G196" s="118"/>
      <c r="H196" s="118"/>
      <c r="I196" s="118"/>
      <c r="J196" s="118"/>
      <c r="K196" s="118"/>
      <c r="L196" s="118"/>
      <c r="M196" s="118"/>
      <c r="N196" s="118"/>
      <c r="O196" s="118"/>
      <c r="P196" s="118"/>
      <c r="Q196" s="118"/>
      <c r="R196" s="118"/>
      <c r="S196" s="118"/>
      <c r="T196" s="118"/>
      <c r="U196" s="118"/>
      <c r="V196" s="118"/>
      <c r="W196" s="118"/>
      <c r="X196" s="118"/>
      <c r="Y196" s="118"/>
      <c r="Z196" s="118"/>
      <c r="AA196" s="118"/>
    </row>
    <row r="197" spans="1:27">
      <c r="A197" s="118"/>
      <c r="B197" s="118"/>
      <c r="C197" s="387"/>
      <c r="D197" s="390">
        <v>2017</v>
      </c>
      <c r="E197" s="389">
        <v>8.3920000000000002E-3</v>
      </c>
      <c r="F197" s="388">
        <v>1.7749999999999999E-3</v>
      </c>
      <c r="G197" s="118"/>
      <c r="H197" s="118"/>
      <c r="I197" s="118"/>
      <c r="J197" s="118"/>
      <c r="K197" s="118"/>
      <c r="L197" s="118"/>
      <c r="M197" s="118"/>
      <c r="N197" s="118"/>
      <c r="O197" s="118"/>
      <c r="P197" s="118"/>
      <c r="Q197" s="118"/>
      <c r="R197" s="118"/>
      <c r="S197" s="118"/>
      <c r="T197" s="118"/>
      <c r="U197" s="118"/>
      <c r="V197" s="118"/>
      <c r="W197" s="118"/>
      <c r="X197" s="118"/>
      <c r="Y197" s="118"/>
      <c r="Z197" s="118"/>
      <c r="AA197" s="118"/>
    </row>
    <row r="198" spans="1:27">
      <c r="A198" s="118"/>
      <c r="B198" s="118"/>
      <c r="C198" s="387"/>
      <c r="D198" s="390">
        <v>2018</v>
      </c>
      <c r="E198" s="389">
        <v>8.1180000000000002E-3</v>
      </c>
      <c r="F198" s="388">
        <v>1.5150000000000001E-3</v>
      </c>
      <c r="G198" s="118"/>
      <c r="H198" s="118"/>
      <c r="I198" s="118"/>
      <c r="J198" s="118"/>
      <c r="K198" s="118"/>
      <c r="L198" s="118"/>
      <c r="M198" s="118"/>
      <c r="N198" s="118"/>
      <c r="O198" s="118"/>
      <c r="P198" s="118"/>
      <c r="Q198" s="118"/>
      <c r="R198" s="118"/>
      <c r="S198" s="118"/>
      <c r="T198" s="118"/>
      <c r="U198" s="118"/>
      <c r="V198" s="118"/>
      <c r="W198" s="118"/>
      <c r="X198" s="118"/>
      <c r="Y198" s="118"/>
      <c r="Z198" s="118"/>
      <c r="AA198" s="118"/>
    </row>
    <row r="199" spans="1:27">
      <c r="A199" s="118"/>
      <c r="B199" s="118"/>
      <c r="C199" s="387"/>
      <c r="D199" s="383">
        <v>2019</v>
      </c>
      <c r="E199" s="389">
        <v>7.9880000000000003E-3</v>
      </c>
      <c r="F199" s="388">
        <v>1.3349999999999998E-3</v>
      </c>
      <c r="G199" s="118"/>
      <c r="H199" s="118"/>
      <c r="I199" s="118"/>
      <c r="J199" s="118"/>
      <c r="K199" s="118"/>
      <c r="L199" s="118"/>
      <c r="M199" s="118"/>
      <c r="N199" s="118"/>
      <c r="O199" s="118"/>
      <c r="P199" s="118"/>
      <c r="Q199" s="118"/>
      <c r="R199" s="118"/>
      <c r="S199" s="118"/>
      <c r="T199" s="118"/>
      <c r="U199" s="118"/>
      <c r="V199" s="118"/>
      <c r="W199" s="118"/>
      <c r="X199" s="118"/>
      <c r="Y199" s="118"/>
      <c r="Z199" s="118"/>
      <c r="AA199" s="118"/>
    </row>
    <row r="200" spans="1:27">
      <c r="A200" s="118"/>
      <c r="B200" s="118"/>
      <c r="C200" s="387"/>
      <c r="D200" s="383">
        <v>2020</v>
      </c>
      <c r="E200" s="389">
        <v>7.8499999999999993E-3</v>
      </c>
      <c r="F200" s="388">
        <v>1.1999999999999999E-3</v>
      </c>
      <c r="G200" s="118"/>
      <c r="H200" s="118"/>
      <c r="I200" s="118"/>
      <c r="J200" s="118"/>
      <c r="K200" s="118"/>
      <c r="L200" s="118"/>
      <c r="M200" s="118"/>
      <c r="N200" s="118"/>
      <c r="O200" s="118"/>
      <c r="P200" s="118"/>
      <c r="Q200" s="118"/>
      <c r="R200" s="118"/>
      <c r="S200" s="118"/>
      <c r="T200" s="118"/>
      <c r="U200" s="118"/>
      <c r="V200" s="118"/>
      <c r="W200" s="118"/>
      <c r="X200" s="118"/>
      <c r="Y200" s="118"/>
      <c r="Z200" s="118"/>
      <c r="AA200" s="118"/>
    </row>
    <row r="201" spans="1:27" ht="13.5" thickBot="1">
      <c r="A201" s="118"/>
      <c r="B201" s="118"/>
      <c r="C201" s="384"/>
      <c r="D201" s="383">
        <v>2021</v>
      </c>
      <c r="E201" s="382">
        <v>7.8499999999999993E-3</v>
      </c>
      <c r="F201" s="381">
        <v>1.1999999999999999E-3</v>
      </c>
      <c r="G201" s="118"/>
      <c r="H201" s="118"/>
      <c r="I201" s="118"/>
      <c r="J201" s="118"/>
      <c r="K201" s="118"/>
      <c r="L201" s="118"/>
      <c r="M201" s="118"/>
      <c r="N201" s="118"/>
      <c r="O201" s="118"/>
      <c r="P201" s="118"/>
      <c r="Q201" s="118"/>
      <c r="R201" s="118"/>
      <c r="S201" s="118"/>
      <c r="T201" s="118"/>
      <c r="U201" s="118"/>
      <c r="V201" s="118"/>
      <c r="W201" s="118"/>
      <c r="X201" s="118"/>
      <c r="Y201" s="118"/>
      <c r="Z201" s="118"/>
      <c r="AA201" s="118"/>
    </row>
    <row r="202" spans="1:27">
      <c r="A202" s="118"/>
      <c r="B202" s="118"/>
      <c r="C202" s="393" t="s">
        <v>3127</v>
      </c>
      <c r="D202" s="380" t="s">
        <v>3128</v>
      </c>
      <c r="E202" s="392">
        <v>0.46039999999999998</v>
      </c>
      <c r="F202" s="391">
        <v>4.9700000000000001E-2</v>
      </c>
      <c r="G202" s="118"/>
      <c r="H202" s="118"/>
      <c r="I202" s="118"/>
      <c r="J202" s="118"/>
      <c r="K202" s="118"/>
      <c r="L202" s="118"/>
      <c r="M202" s="118"/>
      <c r="N202" s="118"/>
      <c r="O202" s="118"/>
      <c r="P202" s="118"/>
      <c r="Q202" s="118"/>
      <c r="R202" s="118"/>
      <c r="S202" s="118"/>
      <c r="T202" s="118"/>
      <c r="U202" s="118"/>
      <c r="V202" s="118"/>
      <c r="W202" s="118"/>
      <c r="X202" s="118"/>
      <c r="Y202" s="118"/>
      <c r="Z202" s="118"/>
      <c r="AA202" s="118"/>
    </row>
    <row r="203" spans="1:27">
      <c r="A203" s="118"/>
      <c r="B203" s="118"/>
      <c r="C203" s="387"/>
      <c r="D203" s="390" t="s">
        <v>3129</v>
      </c>
      <c r="E203" s="363">
        <v>0.44915999999999995</v>
      </c>
      <c r="F203" s="365">
        <v>5.3800000000000001E-2</v>
      </c>
      <c r="G203" s="118"/>
      <c r="H203" s="118"/>
      <c r="I203" s="118"/>
      <c r="J203" s="118"/>
      <c r="K203" s="118"/>
      <c r="L203" s="118"/>
      <c r="M203" s="118"/>
      <c r="N203" s="118"/>
      <c r="O203" s="118"/>
      <c r="P203" s="118"/>
      <c r="Q203" s="118"/>
      <c r="R203" s="118"/>
      <c r="S203" s="118"/>
      <c r="T203" s="118"/>
      <c r="U203" s="118"/>
      <c r="V203" s="118"/>
      <c r="W203" s="118"/>
      <c r="X203" s="118"/>
      <c r="Y203" s="118"/>
      <c r="Z203" s="118"/>
      <c r="AA203" s="118"/>
    </row>
    <row r="204" spans="1:27">
      <c r="A204" s="118"/>
      <c r="B204" s="118"/>
      <c r="C204" s="387"/>
      <c r="D204" s="390" t="s">
        <v>3130</v>
      </c>
      <c r="E204" s="363">
        <v>0.40897500000000003</v>
      </c>
      <c r="F204" s="365">
        <v>5.1520000000000003E-2</v>
      </c>
      <c r="G204" s="118"/>
      <c r="H204" s="118"/>
      <c r="I204" s="118"/>
      <c r="J204" s="118"/>
      <c r="K204" s="118"/>
      <c r="L204" s="118"/>
      <c r="M204" s="118"/>
      <c r="N204" s="118"/>
      <c r="O204" s="118"/>
      <c r="P204" s="118"/>
      <c r="Q204" s="118"/>
      <c r="R204" s="118"/>
      <c r="S204" s="118"/>
      <c r="T204" s="118"/>
      <c r="U204" s="118"/>
      <c r="V204" s="118"/>
      <c r="W204" s="118"/>
      <c r="X204" s="118"/>
      <c r="Y204" s="118"/>
      <c r="Z204" s="118"/>
      <c r="AA204" s="118"/>
    </row>
    <row r="205" spans="1:27">
      <c r="A205" s="118"/>
      <c r="B205" s="118"/>
      <c r="C205" s="387"/>
      <c r="D205" s="390">
        <v>1987</v>
      </c>
      <c r="E205" s="363">
        <v>0.36745999999999995</v>
      </c>
      <c r="F205" s="365">
        <v>8.4889999999999993E-2</v>
      </c>
      <c r="G205" s="118"/>
      <c r="H205" s="118"/>
      <c r="I205" s="118"/>
      <c r="J205" s="118"/>
      <c r="K205" s="118"/>
      <c r="L205" s="118"/>
      <c r="M205" s="118"/>
      <c r="N205" s="118"/>
      <c r="O205" s="118"/>
      <c r="P205" s="118"/>
      <c r="Q205" s="118"/>
      <c r="R205" s="118"/>
      <c r="S205" s="118"/>
      <c r="T205" s="118"/>
      <c r="U205" s="118"/>
      <c r="V205" s="118"/>
      <c r="W205" s="118"/>
      <c r="X205" s="118"/>
      <c r="Y205" s="118"/>
      <c r="Z205" s="118"/>
      <c r="AA205" s="118"/>
    </row>
    <row r="206" spans="1:27">
      <c r="A206" s="118"/>
      <c r="B206" s="118"/>
      <c r="C206" s="387"/>
      <c r="D206" s="390" t="s">
        <v>3131</v>
      </c>
      <c r="E206" s="363">
        <v>0.34921000000000002</v>
      </c>
      <c r="F206" s="365">
        <v>9.3329999999999996E-2</v>
      </c>
      <c r="G206" s="118"/>
      <c r="H206" s="118"/>
      <c r="I206" s="118"/>
      <c r="J206" s="118"/>
      <c r="K206" s="118"/>
      <c r="L206" s="118"/>
      <c r="M206" s="118"/>
      <c r="N206" s="118"/>
      <c r="O206" s="118"/>
      <c r="P206" s="118"/>
      <c r="Q206" s="118"/>
      <c r="R206" s="118"/>
      <c r="S206" s="118"/>
      <c r="T206" s="118"/>
      <c r="U206" s="118"/>
      <c r="V206" s="118"/>
      <c r="W206" s="118"/>
      <c r="X206" s="118"/>
      <c r="Y206" s="118"/>
      <c r="Z206" s="118"/>
      <c r="AA206" s="118"/>
    </row>
    <row r="207" spans="1:27">
      <c r="A207" s="118"/>
      <c r="B207" s="118"/>
      <c r="C207" s="387"/>
      <c r="D207" s="390" t="s">
        <v>3132</v>
      </c>
      <c r="E207" s="363">
        <v>0.32457499999999995</v>
      </c>
      <c r="F207" s="365">
        <v>0.11416999999999999</v>
      </c>
      <c r="G207" s="118"/>
      <c r="H207" s="118"/>
      <c r="I207" s="118"/>
      <c r="J207" s="118"/>
      <c r="K207" s="118"/>
      <c r="L207" s="118"/>
      <c r="M207" s="118"/>
      <c r="N207" s="118"/>
      <c r="O207" s="118"/>
      <c r="P207" s="118"/>
      <c r="Q207" s="118"/>
      <c r="R207" s="118"/>
      <c r="S207" s="118"/>
      <c r="T207" s="118"/>
      <c r="U207" s="118"/>
      <c r="V207" s="118"/>
      <c r="W207" s="118"/>
      <c r="X207" s="118"/>
      <c r="Y207" s="118"/>
      <c r="Z207" s="118"/>
      <c r="AA207" s="118"/>
    </row>
    <row r="208" spans="1:27">
      <c r="A208" s="118"/>
      <c r="B208" s="118"/>
      <c r="C208" s="387"/>
      <c r="D208" s="390">
        <v>1996</v>
      </c>
      <c r="E208" s="363">
        <v>0.127775</v>
      </c>
      <c r="F208" s="365">
        <v>0.16802499999999998</v>
      </c>
      <c r="G208" s="118"/>
      <c r="H208" s="118"/>
      <c r="I208" s="118"/>
      <c r="J208" s="118"/>
      <c r="K208" s="118"/>
      <c r="L208" s="118"/>
      <c r="M208" s="118"/>
      <c r="N208" s="118"/>
      <c r="O208" s="118"/>
      <c r="P208" s="118"/>
      <c r="Q208" s="118"/>
      <c r="R208" s="118"/>
      <c r="S208" s="118"/>
      <c r="T208" s="118"/>
      <c r="U208" s="118"/>
      <c r="V208" s="118"/>
      <c r="W208" s="118"/>
      <c r="X208" s="118"/>
      <c r="Y208" s="118"/>
      <c r="Z208" s="118"/>
      <c r="AA208" s="118"/>
    </row>
    <row r="209" spans="1:27">
      <c r="A209" s="118"/>
      <c r="B209" s="118"/>
      <c r="C209" s="387"/>
      <c r="D209" s="390">
        <v>1997</v>
      </c>
      <c r="E209" s="363">
        <v>9.2385000000000009E-2</v>
      </c>
      <c r="F209" s="365">
        <v>0.172595</v>
      </c>
      <c r="G209" s="118"/>
      <c r="H209" s="118"/>
      <c r="I209" s="118"/>
      <c r="J209" s="118"/>
      <c r="K209" s="118"/>
      <c r="L209" s="118"/>
      <c r="M209" s="118"/>
      <c r="N209" s="118"/>
      <c r="O209" s="118"/>
      <c r="P209" s="118"/>
      <c r="Q209" s="118"/>
      <c r="R209" s="118"/>
      <c r="S209" s="118"/>
      <c r="T209" s="118"/>
      <c r="U209" s="118"/>
      <c r="V209" s="118"/>
      <c r="W209" s="118"/>
      <c r="X209" s="118"/>
      <c r="Y209" s="118"/>
      <c r="Z209" s="118"/>
      <c r="AA209" s="118"/>
    </row>
    <row r="210" spans="1:27">
      <c r="A210" s="118"/>
      <c r="B210" s="118"/>
      <c r="C210" s="387"/>
      <c r="D210" s="390">
        <v>1998</v>
      </c>
      <c r="E210" s="363">
        <v>6.5500000000000003E-2</v>
      </c>
      <c r="F210" s="365">
        <v>0.17499999999999999</v>
      </c>
      <c r="G210" s="118"/>
      <c r="H210" s="118"/>
      <c r="I210" s="118"/>
      <c r="J210" s="118"/>
      <c r="K210" s="118"/>
      <c r="L210" s="118"/>
      <c r="M210" s="118"/>
      <c r="N210" s="118"/>
      <c r="O210" s="118"/>
      <c r="P210" s="118"/>
      <c r="Q210" s="118"/>
      <c r="R210" s="118"/>
      <c r="S210" s="118"/>
      <c r="T210" s="118"/>
      <c r="U210" s="118"/>
      <c r="V210" s="118"/>
      <c r="W210" s="118"/>
      <c r="X210" s="118"/>
      <c r="Y210" s="118"/>
      <c r="Z210" s="118"/>
      <c r="AA210" s="118"/>
    </row>
    <row r="211" spans="1:27">
      <c r="A211" s="118"/>
      <c r="B211" s="118"/>
      <c r="C211" s="387"/>
      <c r="D211" s="390">
        <v>1999</v>
      </c>
      <c r="E211" s="363">
        <v>6.479E-2</v>
      </c>
      <c r="F211" s="365">
        <v>0.17243199999999997</v>
      </c>
      <c r="G211" s="118"/>
      <c r="H211" s="118"/>
      <c r="I211" s="118"/>
      <c r="J211" s="118"/>
      <c r="K211" s="118"/>
      <c r="L211" s="118"/>
      <c r="M211" s="118"/>
      <c r="N211" s="118"/>
      <c r="O211" s="118"/>
      <c r="P211" s="118"/>
      <c r="Q211" s="118"/>
      <c r="R211" s="118"/>
      <c r="S211" s="118"/>
      <c r="T211" s="118"/>
      <c r="U211" s="118"/>
      <c r="V211" s="118"/>
      <c r="W211" s="118"/>
      <c r="X211" s="118"/>
      <c r="Y211" s="118"/>
      <c r="Z211" s="118"/>
      <c r="AA211" s="118"/>
    </row>
    <row r="212" spans="1:27">
      <c r="A212" s="118"/>
      <c r="B212" s="118"/>
      <c r="C212" s="387"/>
      <c r="D212" s="390">
        <v>2000</v>
      </c>
      <c r="E212" s="363">
        <v>6.3015000000000002E-2</v>
      </c>
      <c r="F212" s="365">
        <v>0.16601199999999999</v>
      </c>
      <c r="G212" s="118"/>
      <c r="H212" s="118"/>
      <c r="I212" s="118"/>
      <c r="J212" s="118"/>
      <c r="K212" s="118"/>
      <c r="L212" s="118"/>
      <c r="M212" s="118"/>
      <c r="N212" s="118"/>
      <c r="O212" s="118"/>
      <c r="P212" s="118"/>
      <c r="Q212" s="118"/>
      <c r="R212" s="118"/>
      <c r="S212" s="118"/>
      <c r="T212" s="118"/>
      <c r="U212" s="118"/>
      <c r="V212" s="118"/>
      <c r="W212" s="118"/>
      <c r="X212" s="118"/>
      <c r="Y212" s="118"/>
      <c r="Z212" s="118"/>
      <c r="AA212" s="118"/>
    </row>
    <row r="213" spans="1:27">
      <c r="A213" s="118"/>
      <c r="B213" s="118"/>
      <c r="C213" s="387"/>
      <c r="D213" s="390">
        <v>2001</v>
      </c>
      <c r="E213" s="363">
        <v>5.7690000000000005E-2</v>
      </c>
      <c r="F213" s="365">
        <v>0.14675199999999999</v>
      </c>
      <c r="G213" s="118"/>
      <c r="H213" s="118"/>
      <c r="I213" s="118"/>
      <c r="J213" s="118"/>
      <c r="K213" s="118"/>
      <c r="L213" s="118"/>
      <c r="M213" s="118"/>
      <c r="N213" s="118"/>
      <c r="O213" s="118"/>
      <c r="P213" s="118"/>
      <c r="Q213" s="118"/>
      <c r="R213" s="118"/>
      <c r="S213" s="118"/>
      <c r="T213" s="118"/>
      <c r="U213" s="118"/>
      <c r="V213" s="118"/>
      <c r="W213" s="118"/>
      <c r="X213" s="118"/>
      <c r="Y213" s="118"/>
      <c r="Z213" s="118"/>
      <c r="AA213" s="118"/>
    </row>
    <row r="214" spans="1:27">
      <c r="A214" s="118"/>
      <c r="B214" s="118"/>
      <c r="C214" s="387"/>
      <c r="D214" s="390">
        <v>2002</v>
      </c>
      <c r="E214" s="363">
        <v>6.3369999999999996E-2</v>
      </c>
      <c r="F214" s="365">
        <v>0.16729599999999997</v>
      </c>
      <c r="G214" s="118"/>
      <c r="H214" s="118"/>
      <c r="I214" s="118"/>
      <c r="J214" s="118"/>
      <c r="K214" s="118"/>
      <c r="L214" s="118"/>
      <c r="M214" s="118"/>
      <c r="N214" s="118"/>
      <c r="O214" s="118"/>
      <c r="P214" s="118"/>
      <c r="Q214" s="118"/>
      <c r="R214" s="118"/>
      <c r="S214" s="118"/>
      <c r="T214" s="118"/>
      <c r="U214" s="118"/>
      <c r="V214" s="118"/>
      <c r="W214" s="118"/>
      <c r="X214" s="118"/>
      <c r="Y214" s="118"/>
      <c r="Z214" s="118"/>
      <c r="AA214" s="118"/>
    </row>
    <row r="215" spans="1:27">
      <c r="A215" s="118"/>
      <c r="B215" s="118"/>
      <c r="C215" s="387"/>
      <c r="D215" s="390">
        <v>2003</v>
      </c>
      <c r="E215" s="363">
        <v>6.0172000000000003E-2</v>
      </c>
      <c r="F215" s="365">
        <v>0.15528899999999998</v>
      </c>
      <c r="G215" s="118"/>
      <c r="H215" s="118"/>
      <c r="I215" s="118"/>
      <c r="J215" s="118"/>
      <c r="K215" s="118"/>
      <c r="L215" s="118"/>
      <c r="M215" s="118"/>
      <c r="N215" s="118"/>
      <c r="O215" s="118"/>
      <c r="P215" s="118"/>
      <c r="Q215" s="118"/>
      <c r="R215" s="118"/>
      <c r="S215" s="118"/>
      <c r="T215" s="118"/>
      <c r="U215" s="118"/>
      <c r="V215" s="118"/>
      <c r="W215" s="118"/>
      <c r="X215" s="118"/>
      <c r="Y215" s="118"/>
      <c r="Z215" s="118"/>
      <c r="AA215" s="118"/>
    </row>
    <row r="216" spans="1:27">
      <c r="A216" s="118"/>
      <c r="B216" s="118"/>
      <c r="C216" s="387"/>
      <c r="D216" s="390">
        <v>2004</v>
      </c>
      <c r="E216" s="363">
        <v>2.9798999999999999E-2</v>
      </c>
      <c r="F216" s="365">
        <v>1.6383000000000002E-2</v>
      </c>
      <c r="G216" s="118"/>
      <c r="H216" s="118"/>
      <c r="I216" s="118"/>
      <c r="J216" s="118"/>
      <c r="K216" s="118"/>
      <c r="L216" s="118"/>
      <c r="M216" s="118"/>
      <c r="N216" s="118"/>
      <c r="O216" s="118"/>
      <c r="P216" s="118"/>
      <c r="Q216" s="118"/>
      <c r="R216" s="118"/>
      <c r="S216" s="118"/>
      <c r="T216" s="118"/>
      <c r="U216" s="118"/>
      <c r="V216" s="118"/>
      <c r="W216" s="118"/>
      <c r="X216" s="118"/>
      <c r="Y216" s="118"/>
      <c r="Z216" s="118"/>
      <c r="AA216" s="118"/>
    </row>
    <row r="217" spans="1:27">
      <c r="A217" s="118"/>
      <c r="B217" s="118"/>
      <c r="C217" s="387"/>
      <c r="D217" s="390">
        <v>2005</v>
      </c>
      <c r="E217" s="363">
        <v>2.9745000000000001E-2</v>
      </c>
      <c r="F217" s="365">
        <v>8.2650000000000015E-3</v>
      </c>
      <c r="G217" s="118"/>
      <c r="H217" s="118"/>
      <c r="I217" s="118"/>
      <c r="J217" s="118"/>
      <c r="K217" s="118"/>
      <c r="L217" s="118"/>
      <c r="M217" s="118"/>
      <c r="N217" s="118"/>
      <c r="O217" s="118"/>
      <c r="P217" s="118"/>
      <c r="Q217" s="118"/>
      <c r="R217" s="118"/>
      <c r="S217" s="118"/>
      <c r="T217" s="118"/>
      <c r="U217" s="118"/>
      <c r="V217" s="118"/>
      <c r="W217" s="118"/>
      <c r="X217" s="118"/>
      <c r="Y217" s="118"/>
      <c r="Z217" s="118"/>
      <c r="AA217" s="118"/>
    </row>
    <row r="218" spans="1:27">
      <c r="A218" s="118"/>
      <c r="B218" s="118"/>
      <c r="C218" s="387"/>
      <c r="D218" s="390">
        <v>2006</v>
      </c>
      <c r="E218" s="363">
        <v>2.9850000000000002E-2</v>
      </c>
      <c r="F218" s="365">
        <v>2.4050000000000002E-2</v>
      </c>
      <c r="G218" s="118"/>
      <c r="H218" s="118"/>
      <c r="I218" s="118"/>
      <c r="J218" s="118"/>
      <c r="K218" s="118"/>
      <c r="L218" s="118"/>
      <c r="M218" s="118"/>
      <c r="N218" s="118"/>
      <c r="O218" s="118"/>
      <c r="P218" s="118"/>
      <c r="Q218" s="118"/>
      <c r="R218" s="118"/>
      <c r="S218" s="118"/>
      <c r="T218" s="118"/>
      <c r="U218" s="118"/>
      <c r="V218" s="118"/>
      <c r="W218" s="118"/>
      <c r="X218" s="118"/>
      <c r="Y218" s="118"/>
      <c r="Z218" s="118"/>
      <c r="AA218" s="118"/>
    </row>
    <row r="219" spans="1:27">
      <c r="A219" s="118"/>
      <c r="B219" s="118"/>
      <c r="C219" s="387"/>
      <c r="D219" s="390">
        <v>2007</v>
      </c>
      <c r="E219" s="363">
        <v>3.2238000000000003E-2</v>
      </c>
      <c r="F219" s="365">
        <v>1.5E-3</v>
      </c>
      <c r="G219" s="118"/>
      <c r="H219" s="118"/>
      <c r="I219" s="118"/>
      <c r="J219" s="118"/>
      <c r="K219" s="118"/>
      <c r="L219" s="118"/>
      <c r="M219" s="118"/>
      <c r="N219" s="118"/>
      <c r="O219" s="118"/>
      <c r="P219" s="118"/>
      <c r="Q219" s="118"/>
      <c r="R219" s="118"/>
      <c r="S219" s="118"/>
      <c r="T219" s="118"/>
      <c r="U219" s="118"/>
      <c r="V219" s="118"/>
      <c r="W219" s="118"/>
      <c r="X219" s="118"/>
      <c r="Y219" s="118"/>
      <c r="Z219" s="118"/>
      <c r="AA219" s="118"/>
    </row>
    <row r="220" spans="1:27">
      <c r="A220" s="118"/>
      <c r="B220" s="118"/>
      <c r="C220" s="387"/>
      <c r="D220" s="390">
        <v>2008</v>
      </c>
      <c r="E220" s="389">
        <v>3.4023999999999999E-2</v>
      </c>
      <c r="F220" s="388">
        <v>1.5E-3</v>
      </c>
      <c r="G220" s="118"/>
      <c r="H220" s="118"/>
      <c r="I220" s="118"/>
      <c r="J220" s="118"/>
      <c r="K220" s="118"/>
      <c r="L220" s="118"/>
      <c r="M220" s="118"/>
      <c r="N220" s="118"/>
      <c r="O220" s="118"/>
      <c r="P220" s="118"/>
      <c r="Q220" s="118"/>
      <c r="R220" s="118"/>
      <c r="S220" s="118"/>
      <c r="T220" s="118"/>
      <c r="U220" s="118"/>
      <c r="V220" s="118"/>
      <c r="W220" s="118"/>
      <c r="X220" s="118"/>
      <c r="Y220" s="118"/>
      <c r="Z220" s="118"/>
      <c r="AA220" s="118"/>
    </row>
    <row r="221" spans="1:27">
      <c r="A221" s="118"/>
      <c r="B221" s="118"/>
      <c r="C221" s="387"/>
      <c r="D221" s="390">
        <v>2009</v>
      </c>
      <c r="E221" s="389">
        <v>3.3930000000000002E-2</v>
      </c>
      <c r="F221" s="388">
        <v>1.5E-3</v>
      </c>
      <c r="G221" s="118"/>
      <c r="H221" s="118"/>
      <c r="I221" s="118"/>
      <c r="J221" s="118"/>
      <c r="K221" s="118"/>
      <c r="L221" s="118"/>
      <c r="M221" s="118"/>
      <c r="N221" s="118"/>
      <c r="O221" s="118"/>
      <c r="P221" s="118"/>
      <c r="Q221" s="118"/>
      <c r="R221" s="118"/>
      <c r="S221" s="118"/>
      <c r="T221" s="118"/>
      <c r="U221" s="118"/>
      <c r="V221" s="118"/>
      <c r="W221" s="118"/>
      <c r="X221" s="118"/>
      <c r="Y221" s="118"/>
      <c r="Z221" s="118"/>
      <c r="AA221" s="118"/>
    </row>
    <row r="222" spans="1:27">
      <c r="A222" s="118"/>
      <c r="B222" s="118"/>
      <c r="C222" s="387"/>
      <c r="D222" s="390">
        <v>2010</v>
      </c>
      <c r="E222" s="389">
        <v>3.1955999999999998E-2</v>
      </c>
      <c r="F222" s="388">
        <v>1.5E-3</v>
      </c>
      <c r="G222" s="118"/>
      <c r="H222" s="118"/>
      <c r="I222" s="118"/>
      <c r="J222" s="118"/>
      <c r="K222" s="118"/>
      <c r="L222" s="118"/>
      <c r="M222" s="118"/>
      <c r="N222" s="118"/>
      <c r="O222" s="118"/>
      <c r="P222" s="118"/>
      <c r="Q222" s="118"/>
      <c r="R222" s="118"/>
      <c r="S222" s="118"/>
      <c r="T222" s="118"/>
      <c r="U222" s="118"/>
      <c r="V222" s="118"/>
      <c r="W222" s="118"/>
      <c r="X222" s="118"/>
      <c r="Y222" s="118"/>
      <c r="Z222" s="118"/>
      <c r="AA222" s="118"/>
    </row>
    <row r="223" spans="1:27">
      <c r="A223" s="118"/>
      <c r="B223" s="118"/>
      <c r="C223" s="387"/>
      <c r="D223" s="390">
        <v>2011</v>
      </c>
      <c r="E223" s="389">
        <v>3.0358000000000003E-2</v>
      </c>
      <c r="F223" s="388">
        <v>1.5000000000000002E-3</v>
      </c>
      <c r="G223" s="118"/>
      <c r="H223" s="118"/>
      <c r="I223" s="118"/>
      <c r="J223" s="118"/>
      <c r="K223" s="118"/>
      <c r="L223" s="118"/>
      <c r="M223" s="118"/>
      <c r="N223" s="118"/>
      <c r="O223" s="118"/>
      <c r="P223" s="118"/>
      <c r="Q223" s="118"/>
      <c r="R223" s="118"/>
      <c r="S223" s="118"/>
      <c r="T223" s="118"/>
      <c r="U223" s="118"/>
      <c r="V223" s="118"/>
      <c r="W223" s="118"/>
      <c r="X223" s="118"/>
      <c r="Y223" s="118"/>
      <c r="Z223" s="118"/>
      <c r="AA223" s="118"/>
    </row>
    <row r="224" spans="1:27">
      <c r="A224" s="118"/>
      <c r="B224" s="118"/>
      <c r="C224" s="387"/>
      <c r="D224" s="390">
        <v>2012</v>
      </c>
      <c r="E224" s="389">
        <v>3.1297999999999999E-2</v>
      </c>
      <c r="F224" s="388">
        <v>1.5E-3</v>
      </c>
      <c r="G224" s="118"/>
      <c r="H224" s="118"/>
      <c r="I224" s="118"/>
      <c r="J224" s="118"/>
      <c r="K224" s="118"/>
      <c r="L224" s="118"/>
      <c r="M224" s="118"/>
      <c r="N224" s="118"/>
      <c r="O224" s="118"/>
      <c r="P224" s="118"/>
      <c r="Q224" s="118"/>
      <c r="R224" s="118"/>
      <c r="S224" s="118"/>
      <c r="T224" s="118"/>
      <c r="U224" s="118"/>
      <c r="V224" s="118"/>
      <c r="W224" s="118"/>
      <c r="X224" s="118"/>
      <c r="Y224" s="118"/>
      <c r="Z224" s="118"/>
      <c r="AA224" s="118"/>
    </row>
    <row r="225" spans="1:27">
      <c r="A225" s="118"/>
      <c r="B225" s="118"/>
      <c r="C225" s="387"/>
      <c r="D225" s="390">
        <v>2013</v>
      </c>
      <c r="E225" s="389">
        <v>3.1297999999999999E-2</v>
      </c>
      <c r="F225" s="388">
        <v>1.5E-3</v>
      </c>
      <c r="G225" s="118"/>
      <c r="H225" s="118"/>
      <c r="I225" s="118"/>
      <c r="J225" s="118"/>
      <c r="K225" s="118"/>
      <c r="L225" s="118"/>
      <c r="M225" s="118"/>
      <c r="N225" s="118"/>
      <c r="O225" s="118"/>
      <c r="P225" s="118"/>
      <c r="Q225" s="118"/>
      <c r="R225" s="118"/>
      <c r="S225" s="118"/>
      <c r="T225" s="118"/>
      <c r="U225" s="118"/>
      <c r="V225" s="118"/>
      <c r="W225" s="118"/>
      <c r="X225" s="118"/>
      <c r="Y225" s="118"/>
      <c r="Z225" s="118"/>
      <c r="AA225" s="118"/>
    </row>
    <row r="226" spans="1:27">
      <c r="A226" s="118"/>
      <c r="B226" s="118"/>
      <c r="C226" s="387"/>
      <c r="D226" s="390">
        <v>2014</v>
      </c>
      <c r="E226" s="389">
        <v>3.1486E-2</v>
      </c>
      <c r="F226" s="388">
        <v>1.5E-3</v>
      </c>
      <c r="G226" s="118"/>
      <c r="H226" s="118"/>
      <c r="I226" s="118"/>
      <c r="J226" s="118"/>
      <c r="K226" s="118"/>
      <c r="L226" s="118"/>
      <c r="M226" s="118"/>
      <c r="N226" s="118"/>
      <c r="O226" s="118"/>
      <c r="P226" s="118"/>
      <c r="Q226" s="118"/>
      <c r="R226" s="118"/>
      <c r="S226" s="118"/>
      <c r="T226" s="118"/>
      <c r="U226" s="118"/>
      <c r="V226" s="118"/>
      <c r="W226" s="118"/>
      <c r="X226" s="118"/>
      <c r="Y226" s="118"/>
      <c r="Z226" s="118"/>
      <c r="AA226" s="118"/>
    </row>
    <row r="227" spans="1:27">
      <c r="A227" s="118"/>
      <c r="B227" s="118"/>
      <c r="C227" s="387"/>
      <c r="D227" s="390">
        <v>2015</v>
      </c>
      <c r="E227" s="389">
        <v>3.3184000000000005E-2</v>
      </c>
      <c r="F227" s="388">
        <v>2.1050000000000001E-3</v>
      </c>
      <c r="G227" s="118"/>
      <c r="H227" s="118"/>
      <c r="I227" s="118"/>
      <c r="J227" s="118"/>
      <c r="K227" s="118"/>
      <c r="L227" s="118"/>
      <c r="M227" s="118"/>
      <c r="N227" s="118"/>
      <c r="O227" s="118"/>
      <c r="P227" s="118"/>
      <c r="Q227" s="118"/>
      <c r="R227" s="118"/>
      <c r="S227" s="118"/>
      <c r="T227" s="118"/>
      <c r="U227" s="118"/>
      <c r="V227" s="118"/>
      <c r="W227" s="118"/>
      <c r="X227" s="118"/>
      <c r="Y227" s="118"/>
      <c r="Z227" s="118"/>
      <c r="AA227" s="118"/>
    </row>
    <row r="228" spans="1:27">
      <c r="A228" s="118"/>
      <c r="B228" s="118"/>
      <c r="C228" s="387"/>
      <c r="D228" s="390">
        <v>2016</v>
      </c>
      <c r="E228" s="389">
        <v>3.2073000000000004E-2</v>
      </c>
      <c r="F228" s="388">
        <v>6.1379999999999994E-3</v>
      </c>
      <c r="G228" s="118"/>
      <c r="H228" s="118"/>
      <c r="I228" s="118"/>
      <c r="J228" s="118"/>
      <c r="K228" s="118"/>
      <c r="L228" s="118"/>
      <c r="M228" s="118"/>
      <c r="N228" s="118"/>
      <c r="O228" s="118"/>
      <c r="P228" s="118"/>
      <c r="Q228" s="118"/>
      <c r="R228" s="118"/>
      <c r="S228" s="118"/>
      <c r="T228" s="118"/>
      <c r="U228" s="118"/>
      <c r="V228" s="118"/>
      <c r="W228" s="118"/>
      <c r="X228" s="118"/>
      <c r="Y228" s="118"/>
      <c r="Z228" s="118"/>
      <c r="AA228" s="118"/>
    </row>
    <row r="229" spans="1:27">
      <c r="A229" s="118"/>
      <c r="B229" s="118"/>
      <c r="C229" s="387"/>
      <c r="D229" s="390">
        <v>2017</v>
      </c>
      <c r="E229" s="389">
        <v>3.2872999999999999E-2</v>
      </c>
      <c r="F229" s="388">
        <v>8.3789999999999993E-3</v>
      </c>
      <c r="G229" s="118"/>
      <c r="H229" s="118"/>
      <c r="I229" s="118"/>
      <c r="J229" s="118"/>
      <c r="K229" s="118"/>
      <c r="L229" s="118"/>
      <c r="M229" s="118"/>
      <c r="N229" s="118"/>
      <c r="O229" s="118"/>
      <c r="P229" s="118"/>
      <c r="Q229" s="118"/>
      <c r="R229" s="118"/>
      <c r="S229" s="118"/>
      <c r="T229" s="118"/>
      <c r="U229" s="118"/>
      <c r="V229" s="118"/>
      <c r="W229" s="118"/>
      <c r="X229" s="118"/>
      <c r="Y229" s="118"/>
      <c r="Z229" s="118"/>
      <c r="AA229" s="118"/>
    </row>
    <row r="230" spans="1:27">
      <c r="A230" s="118"/>
      <c r="B230" s="118"/>
      <c r="C230" s="387"/>
      <c r="D230" s="390">
        <v>2018</v>
      </c>
      <c r="E230" s="389">
        <v>3.2572000000000004E-2</v>
      </c>
      <c r="F230" s="388">
        <v>8.2309999999999987E-3</v>
      </c>
      <c r="G230" s="118"/>
      <c r="H230" s="118"/>
      <c r="I230" s="118"/>
      <c r="J230" s="118"/>
      <c r="K230" s="118"/>
      <c r="L230" s="118"/>
      <c r="M230" s="118"/>
      <c r="N230" s="118"/>
      <c r="O230" s="118"/>
      <c r="P230" s="118"/>
      <c r="Q230" s="118"/>
      <c r="R230" s="118"/>
      <c r="S230" s="118"/>
      <c r="T230" s="118"/>
      <c r="U230" s="118"/>
      <c r="V230" s="118"/>
      <c r="W230" s="118"/>
      <c r="X230" s="118"/>
      <c r="Y230" s="118"/>
      <c r="Z230" s="118"/>
      <c r="AA230" s="118"/>
    </row>
    <row r="231" spans="1:27">
      <c r="A231" s="118"/>
      <c r="B231" s="118"/>
      <c r="C231" s="387"/>
      <c r="D231" s="383">
        <v>2019</v>
      </c>
      <c r="E231" s="389">
        <v>3.295E-2</v>
      </c>
      <c r="F231" s="388">
        <v>9.0800000000000013E-3</v>
      </c>
      <c r="G231" s="118"/>
      <c r="H231" s="118"/>
      <c r="I231" s="118"/>
      <c r="J231" s="118"/>
      <c r="K231" s="118"/>
      <c r="L231" s="118"/>
      <c r="M231" s="118"/>
      <c r="N231" s="118"/>
      <c r="O231" s="118"/>
      <c r="P231" s="118"/>
      <c r="Q231" s="118"/>
      <c r="R231" s="118"/>
      <c r="S231" s="118"/>
      <c r="T231" s="118"/>
      <c r="U231" s="118"/>
      <c r="V231" s="118"/>
      <c r="W231" s="118"/>
      <c r="X231" s="118"/>
      <c r="Y231" s="118"/>
      <c r="Z231" s="118"/>
      <c r="AA231" s="118"/>
    </row>
    <row r="232" spans="1:27">
      <c r="A232" s="118"/>
      <c r="B232" s="118"/>
      <c r="C232" s="387"/>
      <c r="D232" s="383">
        <v>2020</v>
      </c>
      <c r="E232" s="386">
        <v>3.3149999999999999E-2</v>
      </c>
      <c r="F232" s="385">
        <v>9.9500000000000005E-3</v>
      </c>
      <c r="G232" s="118"/>
      <c r="H232" s="118"/>
      <c r="I232" s="118"/>
      <c r="J232" s="118"/>
      <c r="K232" s="118"/>
      <c r="L232" s="118"/>
      <c r="M232" s="118"/>
      <c r="N232" s="118"/>
      <c r="O232" s="118"/>
      <c r="P232" s="118"/>
      <c r="Q232" s="118"/>
      <c r="R232" s="118"/>
      <c r="S232" s="118"/>
      <c r="T232" s="118"/>
      <c r="U232" s="118"/>
      <c r="V232" s="118"/>
      <c r="W232" s="118"/>
      <c r="X232" s="118"/>
      <c r="Y232" s="118"/>
      <c r="Z232" s="118"/>
      <c r="AA232" s="118"/>
    </row>
    <row r="233" spans="1:27" ht="13.5" thickBot="1">
      <c r="A233" s="118"/>
      <c r="B233" s="118"/>
      <c r="C233" s="384"/>
      <c r="D233" s="383">
        <v>2021</v>
      </c>
      <c r="E233" s="382">
        <v>3.3149999999999999E-2</v>
      </c>
      <c r="F233" s="381">
        <v>9.9500000000000005E-3</v>
      </c>
      <c r="G233" s="118"/>
      <c r="H233" s="118"/>
      <c r="I233" s="118"/>
      <c r="J233" s="118"/>
      <c r="K233" s="118"/>
      <c r="L233" s="118"/>
      <c r="M233" s="118"/>
      <c r="N233" s="118"/>
      <c r="O233" s="118"/>
      <c r="P233" s="118"/>
      <c r="Q233" s="118"/>
      <c r="R233" s="118"/>
      <c r="S233" s="118"/>
      <c r="T233" s="118"/>
      <c r="U233" s="118"/>
      <c r="V233" s="118"/>
      <c r="W233" s="118"/>
      <c r="X233" s="118"/>
      <c r="Y233" s="118"/>
      <c r="Z233" s="118"/>
      <c r="AA233" s="118"/>
    </row>
    <row r="234" spans="1:27">
      <c r="A234" s="118"/>
      <c r="B234" s="118"/>
      <c r="C234" s="1186" t="s">
        <v>3133</v>
      </c>
      <c r="D234" s="380" t="s">
        <v>3134</v>
      </c>
      <c r="E234" s="379">
        <v>7.0000000000000001E-3</v>
      </c>
      <c r="F234" s="378">
        <v>8.3000000000000001E-3</v>
      </c>
      <c r="G234" s="118"/>
      <c r="H234" s="118"/>
      <c r="I234" s="118"/>
      <c r="J234" s="118"/>
      <c r="K234" s="118"/>
      <c r="L234" s="118"/>
      <c r="M234" s="118"/>
      <c r="N234" s="118"/>
      <c r="O234" s="118"/>
      <c r="P234" s="118"/>
      <c r="Q234" s="118"/>
      <c r="R234" s="118"/>
      <c r="S234" s="118"/>
      <c r="T234" s="118"/>
      <c r="U234" s="118"/>
      <c r="V234" s="118"/>
      <c r="W234" s="118"/>
      <c r="X234" s="118"/>
      <c r="Y234" s="118"/>
      <c r="Z234" s="118"/>
      <c r="AA234" s="118"/>
    </row>
    <row r="235" spans="1:27">
      <c r="A235" s="118"/>
      <c r="B235" s="118"/>
      <c r="C235" s="1187"/>
      <c r="D235" s="377" t="s">
        <v>3135</v>
      </c>
      <c r="E235" s="346" t="s">
        <v>3136</v>
      </c>
      <c r="F235" s="342" t="s">
        <v>3136</v>
      </c>
      <c r="G235" s="118"/>
      <c r="H235" s="118"/>
      <c r="I235" s="118"/>
      <c r="J235" s="118"/>
      <c r="K235" s="118"/>
      <c r="L235" s="118"/>
      <c r="M235" s="118"/>
      <c r="N235" s="118"/>
      <c r="O235" s="118"/>
      <c r="P235" s="118"/>
      <c r="Q235" s="118"/>
      <c r="R235" s="118"/>
      <c r="S235" s="118"/>
      <c r="T235" s="118"/>
      <c r="U235" s="118"/>
      <c r="V235" s="118"/>
      <c r="W235" s="118"/>
      <c r="X235" s="118"/>
      <c r="Y235" s="118"/>
      <c r="Z235" s="118"/>
      <c r="AA235" s="118"/>
    </row>
    <row r="236" spans="1:27" ht="13.5" thickBot="1">
      <c r="A236" s="118"/>
      <c r="B236" s="118"/>
      <c r="C236" s="1188"/>
      <c r="D236" s="376" t="s">
        <v>3137</v>
      </c>
      <c r="E236" s="375">
        <v>7.0000000000000001E-3</v>
      </c>
      <c r="F236" s="374">
        <v>8.3000000000000001E-3</v>
      </c>
      <c r="G236" s="118"/>
      <c r="H236" s="118"/>
      <c r="I236" s="118"/>
      <c r="J236" s="118"/>
      <c r="K236" s="118"/>
      <c r="L236" s="118"/>
      <c r="M236" s="118"/>
      <c r="N236" s="118"/>
      <c r="O236" s="118"/>
      <c r="P236" s="118"/>
      <c r="Q236" s="118"/>
      <c r="R236" s="118"/>
      <c r="S236" s="118"/>
      <c r="T236" s="118"/>
      <c r="U236" s="118"/>
      <c r="V236" s="118"/>
      <c r="W236" s="118"/>
      <c r="X236" s="118"/>
      <c r="Y236" s="118"/>
      <c r="Z236" s="118"/>
      <c r="AA236" s="118"/>
    </row>
    <row r="237" spans="1:27">
      <c r="A237" s="118"/>
      <c r="B237" s="170"/>
      <c r="C237" s="373" t="s">
        <v>3138</v>
      </c>
      <c r="I237" s="354"/>
      <c r="M237" s="118"/>
      <c r="N237" s="118"/>
      <c r="O237" s="118"/>
      <c r="P237" s="118"/>
      <c r="Q237" s="118"/>
      <c r="R237" s="118"/>
      <c r="S237" s="118"/>
      <c r="T237" s="118"/>
      <c r="U237" s="118"/>
      <c r="V237" s="118"/>
      <c r="W237" s="118"/>
      <c r="X237" s="118"/>
      <c r="Y237" s="118"/>
      <c r="Z237" s="118"/>
      <c r="AA237" s="118"/>
    </row>
    <row r="238" spans="1:27" ht="26.25" customHeight="1">
      <c r="A238" s="118"/>
      <c r="B238" s="170"/>
      <c r="C238" s="1177" t="s">
        <v>3139</v>
      </c>
      <c r="D238" s="1177"/>
      <c r="E238" s="1177"/>
      <c r="F238" s="1177"/>
      <c r="G238" s="1177"/>
      <c r="H238" s="1177"/>
      <c r="I238" s="1177"/>
      <c r="J238" s="1177"/>
      <c r="K238" s="1177"/>
      <c r="L238" s="1177"/>
      <c r="M238" s="118"/>
      <c r="N238" s="118"/>
      <c r="O238" s="118"/>
      <c r="P238" s="118"/>
      <c r="Q238" s="118"/>
      <c r="R238" s="118"/>
      <c r="S238" s="118"/>
      <c r="T238" s="118"/>
      <c r="U238" s="118"/>
      <c r="V238" s="118"/>
      <c r="W238" s="118"/>
      <c r="X238" s="118"/>
      <c r="Y238" s="118"/>
      <c r="Z238" s="118"/>
      <c r="AA238" s="118"/>
    </row>
    <row r="239" spans="1:27">
      <c r="A239" s="118"/>
      <c r="B239" s="170"/>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row>
    <row r="240" spans="1:27" ht="18.75">
      <c r="B240" s="155" t="s">
        <v>988</v>
      </c>
      <c r="C240" s="270" t="s">
        <v>3140</v>
      </c>
      <c r="D240" s="153"/>
      <c r="E240" s="153"/>
      <c r="F240" s="153"/>
      <c r="G240" s="153"/>
      <c r="H240" s="153"/>
      <c r="I240" s="153"/>
      <c r="J240" s="153"/>
      <c r="K240" s="153"/>
      <c r="L240" s="152"/>
      <c r="M240" s="118"/>
      <c r="N240" s="118"/>
      <c r="O240" s="118"/>
      <c r="P240" s="118"/>
      <c r="Q240" s="118"/>
      <c r="R240" s="118"/>
      <c r="S240" s="118"/>
      <c r="T240" s="118"/>
      <c r="U240" s="118"/>
      <c r="V240" s="118"/>
      <c r="W240" s="118"/>
      <c r="X240" s="118"/>
      <c r="Y240" s="118"/>
      <c r="Z240" s="118"/>
      <c r="AA240" s="118"/>
    </row>
    <row r="241" spans="1:27" ht="13.5" thickBot="1">
      <c r="A241" s="118"/>
      <c r="B241" s="118"/>
      <c r="C241" s="171"/>
      <c r="D241" s="171"/>
      <c r="E241" s="171"/>
      <c r="F241" s="171"/>
      <c r="G241" s="118"/>
      <c r="H241" s="118"/>
      <c r="I241" s="118"/>
      <c r="J241" s="118"/>
      <c r="K241" s="118"/>
      <c r="L241" s="118"/>
      <c r="M241" s="118"/>
      <c r="N241" s="118"/>
      <c r="O241" s="118"/>
      <c r="P241" s="118"/>
      <c r="Q241" s="118"/>
      <c r="R241" s="118"/>
      <c r="S241" s="118"/>
      <c r="T241" s="118"/>
      <c r="U241" s="118"/>
      <c r="V241" s="118"/>
      <c r="W241" s="118"/>
      <c r="X241" s="118"/>
      <c r="Y241" s="118"/>
      <c r="Z241" s="118"/>
      <c r="AA241" s="118"/>
    </row>
    <row r="242" spans="1:27" ht="29.25" thickBot="1">
      <c r="A242" s="118"/>
      <c r="B242" s="118"/>
      <c r="C242" s="372" t="s">
        <v>3113</v>
      </c>
      <c r="D242" s="168" t="s">
        <v>3000</v>
      </c>
      <c r="E242" s="168" t="s">
        <v>3114</v>
      </c>
      <c r="F242" s="168" t="s">
        <v>3141</v>
      </c>
      <c r="G242" s="215" t="s">
        <v>3116</v>
      </c>
      <c r="H242" s="210"/>
      <c r="I242" s="118"/>
      <c r="J242" s="118"/>
      <c r="K242" s="118"/>
      <c r="L242" s="118"/>
      <c r="M242" s="118"/>
      <c r="N242" s="118"/>
      <c r="O242" s="118"/>
      <c r="P242" s="118"/>
      <c r="Q242" s="118"/>
      <c r="R242" s="118"/>
      <c r="S242" s="118"/>
      <c r="T242" s="118"/>
      <c r="U242" s="118"/>
      <c r="V242" s="118"/>
      <c r="W242" s="118"/>
      <c r="X242" s="118"/>
      <c r="Y242" s="118"/>
      <c r="Z242" s="118"/>
      <c r="AA242" s="118"/>
    </row>
    <row r="243" spans="1:27">
      <c r="A243" s="118"/>
      <c r="B243" s="118"/>
      <c r="C243" s="1182" t="s">
        <v>3142</v>
      </c>
      <c r="D243" s="1191" t="s">
        <v>1211</v>
      </c>
      <c r="E243" s="371" t="s">
        <v>3143</v>
      </c>
      <c r="F243" s="363">
        <v>5.9999999999999995E-4</v>
      </c>
      <c r="G243" s="365">
        <v>1.1999999999999999E-3</v>
      </c>
      <c r="H243" s="210"/>
      <c r="I243" s="115"/>
      <c r="J243" s="118"/>
      <c r="K243" s="118"/>
      <c r="L243" s="118"/>
      <c r="M243" s="118"/>
      <c r="N243" s="118"/>
      <c r="O243" s="118"/>
      <c r="P243" s="118"/>
      <c r="Q243" s="118"/>
      <c r="R243" s="118"/>
      <c r="S243" s="118"/>
      <c r="T243" s="118"/>
      <c r="U243" s="118"/>
      <c r="V243" s="118"/>
      <c r="W243" s="118"/>
      <c r="X243" s="118"/>
      <c r="Y243" s="118"/>
      <c r="Z243" s="118"/>
      <c r="AA243" s="118"/>
    </row>
    <row r="244" spans="1:27">
      <c r="A244" s="118"/>
      <c r="B244" s="118"/>
      <c r="C244" s="1183"/>
      <c r="D244" s="1192"/>
      <c r="E244" s="367" t="s">
        <v>3144</v>
      </c>
      <c r="F244" s="363">
        <v>5.0000000000000001E-4</v>
      </c>
      <c r="G244" s="365">
        <v>1E-3</v>
      </c>
      <c r="H244" s="144"/>
      <c r="I244" s="118"/>
      <c r="J244" s="118"/>
      <c r="K244" s="118"/>
      <c r="L244" s="118"/>
      <c r="M244" s="118"/>
      <c r="N244" s="118"/>
      <c r="O244" s="118"/>
      <c r="P244" s="118"/>
      <c r="Q244" s="118"/>
      <c r="R244" s="118"/>
      <c r="S244" s="118"/>
      <c r="T244" s="118"/>
      <c r="U244" s="118"/>
      <c r="V244" s="118"/>
      <c r="W244" s="118"/>
      <c r="X244" s="118"/>
      <c r="Y244" s="118"/>
      <c r="Z244" s="118"/>
      <c r="AA244" s="118"/>
    </row>
    <row r="245" spans="1:27">
      <c r="A245" s="118"/>
      <c r="B245" s="118"/>
      <c r="C245" s="1184"/>
      <c r="D245" s="1193"/>
      <c r="E245" s="366" t="s">
        <v>3145</v>
      </c>
      <c r="F245" s="363">
        <v>3.0200000000000001E-2</v>
      </c>
      <c r="G245" s="365">
        <v>1.9199999999999998E-2</v>
      </c>
      <c r="H245" s="364"/>
      <c r="I245" s="144"/>
      <c r="J245" s="118"/>
      <c r="K245" s="118"/>
      <c r="L245" s="118"/>
      <c r="M245" s="118"/>
      <c r="N245" s="118"/>
      <c r="O245" s="118"/>
      <c r="P245" s="118"/>
      <c r="Q245" s="118"/>
      <c r="R245" s="118"/>
      <c r="S245" s="118"/>
      <c r="T245" s="118"/>
      <c r="U245" s="118"/>
      <c r="V245" s="118"/>
      <c r="W245" s="118"/>
      <c r="X245" s="118"/>
      <c r="Y245" s="118"/>
      <c r="Z245" s="118"/>
      <c r="AA245" s="118"/>
    </row>
    <row r="246" spans="1:27">
      <c r="A246" s="118"/>
      <c r="B246" s="370"/>
      <c r="C246" s="1185" t="s">
        <v>3146</v>
      </c>
      <c r="D246" s="1194" t="s">
        <v>1211</v>
      </c>
      <c r="E246" s="367" t="s">
        <v>3143</v>
      </c>
      <c r="F246" s="369">
        <v>1.1000000000000001E-3</v>
      </c>
      <c r="G246" s="368">
        <v>1.6999999999999999E-3</v>
      </c>
      <c r="H246" s="364"/>
      <c r="I246" s="144"/>
      <c r="J246" s="118"/>
      <c r="K246" s="118"/>
      <c r="L246" s="118"/>
      <c r="M246" s="118"/>
      <c r="N246" s="118"/>
      <c r="O246" s="118"/>
      <c r="P246" s="118"/>
      <c r="Q246" s="118"/>
      <c r="R246" s="118"/>
      <c r="S246" s="118"/>
      <c r="T246" s="118"/>
      <c r="U246" s="118"/>
      <c r="V246" s="118"/>
      <c r="W246" s="118"/>
      <c r="X246" s="118"/>
      <c r="Y246" s="118"/>
      <c r="Z246" s="118"/>
      <c r="AA246" s="118"/>
    </row>
    <row r="247" spans="1:27">
      <c r="A247" s="118"/>
      <c r="B247" s="370"/>
      <c r="C247" s="1183"/>
      <c r="D247" s="1192"/>
      <c r="E247" s="367" t="s">
        <v>3144</v>
      </c>
      <c r="F247" s="369">
        <v>8.9999999999999998E-4</v>
      </c>
      <c r="G247" s="368">
        <v>1.4E-3</v>
      </c>
      <c r="H247" s="144"/>
      <c r="I247" s="118"/>
      <c r="J247" s="118"/>
      <c r="K247" s="118"/>
      <c r="L247" s="118"/>
      <c r="M247" s="118"/>
      <c r="N247" s="118"/>
      <c r="O247" s="118"/>
      <c r="P247" s="118"/>
      <c r="Q247" s="118"/>
      <c r="R247" s="118"/>
      <c r="S247" s="118"/>
      <c r="T247" s="118"/>
      <c r="U247" s="118"/>
      <c r="V247" s="118"/>
      <c r="W247" s="118"/>
      <c r="X247" s="118"/>
      <c r="Y247" s="118"/>
      <c r="Z247" s="118"/>
      <c r="AA247" s="118"/>
    </row>
    <row r="248" spans="1:27">
      <c r="A248" s="118"/>
      <c r="B248" s="370"/>
      <c r="C248" s="1184"/>
      <c r="D248" s="1193"/>
      <c r="E248" s="366" t="s">
        <v>3145</v>
      </c>
      <c r="F248" s="369">
        <v>2.9000000000000001E-2</v>
      </c>
      <c r="G248" s="368">
        <v>2.1399999999999999E-2</v>
      </c>
      <c r="H248" s="364"/>
      <c r="I248" s="118"/>
      <c r="J248" s="118"/>
      <c r="K248" s="118"/>
      <c r="L248" s="118"/>
      <c r="M248" s="118"/>
      <c r="N248" s="118"/>
      <c r="O248" s="118"/>
      <c r="P248" s="118"/>
      <c r="Q248" s="118"/>
      <c r="R248" s="118"/>
      <c r="S248" s="118"/>
      <c r="T248" s="118"/>
      <c r="U248" s="118"/>
      <c r="V248" s="118"/>
      <c r="W248" s="118"/>
      <c r="X248" s="118"/>
      <c r="Y248" s="118"/>
      <c r="Z248" s="118"/>
      <c r="AA248" s="118"/>
    </row>
    <row r="249" spans="1:27">
      <c r="A249" s="118"/>
      <c r="B249" s="118"/>
      <c r="C249" s="1185" t="s">
        <v>3147</v>
      </c>
      <c r="D249" s="1194" t="s">
        <v>1211</v>
      </c>
      <c r="E249" s="367" t="s">
        <v>3148</v>
      </c>
      <c r="F249" s="363">
        <v>5.1000000000000004E-3</v>
      </c>
      <c r="G249" s="365">
        <v>4.7999999999999996E-3</v>
      </c>
      <c r="H249" s="364"/>
      <c r="I249" s="118"/>
      <c r="J249" s="118"/>
      <c r="K249" s="118"/>
      <c r="L249" s="118"/>
      <c r="M249" s="118"/>
      <c r="N249" s="118"/>
      <c r="O249" s="118"/>
      <c r="P249" s="118"/>
      <c r="Q249" s="118"/>
      <c r="R249" s="118"/>
      <c r="S249" s="118"/>
      <c r="T249" s="118"/>
      <c r="U249" s="118"/>
      <c r="V249" s="118"/>
      <c r="W249" s="118"/>
      <c r="X249" s="118"/>
      <c r="Y249" s="118"/>
      <c r="Z249" s="118"/>
      <c r="AA249" s="118"/>
    </row>
    <row r="250" spans="1:27">
      <c r="A250" s="118"/>
      <c r="B250" s="118"/>
      <c r="C250" s="1184"/>
      <c r="D250" s="1193"/>
      <c r="E250" s="366" t="s">
        <v>3145</v>
      </c>
      <c r="F250" s="363">
        <v>9.4999999999999998E-3</v>
      </c>
      <c r="G250" s="365">
        <v>4.3099999999999999E-2</v>
      </c>
      <c r="H250" s="364"/>
      <c r="I250" s="118"/>
      <c r="J250" s="118"/>
      <c r="K250" s="118"/>
      <c r="L250" s="118"/>
      <c r="M250" s="118"/>
      <c r="N250" s="118"/>
      <c r="O250" s="118"/>
      <c r="P250" s="118"/>
      <c r="Q250" s="118"/>
      <c r="R250" s="118"/>
      <c r="S250" s="118"/>
      <c r="T250" s="118"/>
      <c r="U250" s="118"/>
      <c r="V250" s="118"/>
      <c r="W250" s="118"/>
      <c r="X250" s="118"/>
      <c r="Y250" s="118"/>
      <c r="Z250" s="118"/>
      <c r="AA250" s="118"/>
    </row>
    <row r="251" spans="1:27">
      <c r="A251" s="118"/>
      <c r="B251" s="118"/>
      <c r="C251" s="1199" t="s">
        <v>3149</v>
      </c>
      <c r="D251" s="338" t="s">
        <v>3150</v>
      </c>
      <c r="E251" s="361"/>
      <c r="F251" s="360">
        <v>1.2999999999999999E-2</v>
      </c>
      <c r="G251" s="365">
        <v>4.0000000000000001E-3</v>
      </c>
      <c r="H251" s="364"/>
      <c r="I251" s="118"/>
      <c r="J251" s="118"/>
      <c r="K251" s="118"/>
      <c r="L251" s="118"/>
      <c r="M251" s="118"/>
      <c r="N251" s="118"/>
      <c r="O251" s="118"/>
      <c r="P251" s="118"/>
      <c r="Q251" s="118"/>
      <c r="R251" s="118"/>
      <c r="S251" s="118"/>
      <c r="T251" s="118"/>
      <c r="U251" s="118"/>
      <c r="V251" s="118"/>
      <c r="W251" s="118"/>
      <c r="X251" s="118"/>
      <c r="Y251" s="118"/>
      <c r="Z251" s="118"/>
      <c r="AA251" s="118"/>
    </row>
    <row r="252" spans="1:27">
      <c r="A252" s="118"/>
      <c r="B252" s="118"/>
      <c r="C252" s="1187"/>
      <c r="D252" s="338" t="s">
        <v>3151</v>
      </c>
      <c r="E252" s="361"/>
      <c r="F252" s="360">
        <v>1.2999999999999999E-2</v>
      </c>
      <c r="G252" s="365">
        <v>4.0000000000000001E-3</v>
      </c>
      <c r="H252" s="364"/>
      <c r="I252" s="118"/>
      <c r="J252" s="118"/>
      <c r="K252" s="118"/>
      <c r="L252" s="118"/>
      <c r="M252" s="118"/>
      <c r="N252" s="118"/>
      <c r="O252" s="118"/>
      <c r="P252" s="118"/>
      <c r="Q252" s="118"/>
      <c r="R252" s="118"/>
      <c r="S252" s="118"/>
      <c r="T252" s="118"/>
      <c r="U252" s="118"/>
      <c r="V252" s="118"/>
      <c r="W252" s="118"/>
      <c r="X252" s="118"/>
      <c r="Y252" s="118"/>
      <c r="Z252" s="118"/>
      <c r="AA252" s="118"/>
    </row>
    <row r="253" spans="1:27">
      <c r="A253" s="118"/>
      <c r="B253" s="118"/>
      <c r="C253" s="1187"/>
      <c r="D253" s="338" t="s">
        <v>3152</v>
      </c>
      <c r="E253" s="361"/>
      <c r="F253" s="360">
        <v>0.13300000000000001</v>
      </c>
      <c r="G253" s="365">
        <v>4.0000000000000001E-3</v>
      </c>
      <c r="H253" s="364"/>
      <c r="I253" s="118"/>
      <c r="J253" s="118"/>
      <c r="K253" s="118"/>
      <c r="L253" s="118"/>
      <c r="M253" s="118"/>
      <c r="N253" s="118"/>
      <c r="O253" s="118"/>
      <c r="P253" s="118"/>
      <c r="Q253" s="118"/>
      <c r="R253" s="118"/>
      <c r="S253" s="118"/>
      <c r="T253" s="118"/>
      <c r="U253" s="118"/>
      <c r="V253" s="118"/>
      <c r="W253" s="118"/>
      <c r="X253" s="118"/>
      <c r="Y253" s="118"/>
      <c r="Z253" s="118"/>
      <c r="AA253" s="118"/>
    </row>
    <row r="254" spans="1:27">
      <c r="A254" s="118"/>
      <c r="B254" s="118"/>
      <c r="C254" s="1187"/>
      <c r="D254" s="338" t="s">
        <v>3153</v>
      </c>
      <c r="E254" s="361"/>
      <c r="F254" s="360">
        <v>1.2999999999999999E-2</v>
      </c>
      <c r="G254" s="365">
        <v>4.0000000000000001E-3</v>
      </c>
      <c r="H254" s="364"/>
      <c r="I254" s="118"/>
      <c r="J254" s="118"/>
      <c r="K254" s="118"/>
      <c r="L254" s="118"/>
      <c r="M254" s="118"/>
      <c r="N254" s="118"/>
      <c r="O254" s="118"/>
      <c r="P254" s="118"/>
      <c r="Q254" s="118"/>
      <c r="R254" s="118"/>
      <c r="S254" s="118"/>
      <c r="T254" s="118"/>
      <c r="U254" s="118"/>
      <c r="V254" s="118"/>
      <c r="W254" s="118"/>
      <c r="X254" s="118"/>
      <c r="Y254" s="118"/>
      <c r="Z254" s="118"/>
      <c r="AA254" s="118"/>
    </row>
    <row r="255" spans="1:27">
      <c r="A255" s="118"/>
      <c r="B255" s="118"/>
      <c r="C255" s="1200"/>
      <c r="D255" s="338" t="s">
        <v>3154</v>
      </c>
      <c r="E255" s="361"/>
      <c r="F255" s="360">
        <v>3.5999999999999997E-2</v>
      </c>
      <c r="G255" s="359">
        <v>1E-3</v>
      </c>
      <c r="H255" s="364"/>
      <c r="I255" s="118"/>
      <c r="J255" s="118"/>
      <c r="K255" s="118"/>
      <c r="L255" s="118"/>
      <c r="M255" s="118"/>
      <c r="N255" s="118"/>
      <c r="O255" s="118"/>
      <c r="P255" s="118"/>
      <c r="Q255" s="118"/>
      <c r="R255" s="118"/>
      <c r="S255" s="118"/>
      <c r="T255" s="118"/>
      <c r="U255" s="118"/>
      <c r="V255" s="118"/>
      <c r="W255" s="118"/>
      <c r="X255" s="118"/>
      <c r="Y255" s="118"/>
      <c r="Z255" s="118"/>
      <c r="AA255" s="118"/>
    </row>
    <row r="256" spans="1:27">
      <c r="A256" s="118"/>
      <c r="B256" s="118"/>
      <c r="C256" s="1199" t="s">
        <v>3146</v>
      </c>
      <c r="D256" s="338" t="s">
        <v>3151</v>
      </c>
      <c r="E256" s="361"/>
      <c r="F256" s="360">
        <v>1.4E-2</v>
      </c>
      <c r="G256" s="365">
        <v>5.0000000000000001E-3</v>
      </c>
      <c r="H256" s="364"/>
      <c r="I256" s="118"/>
      <c r="J256" s="118"/>
      <c r="K256" s="118"/>
      <c r="L256" s="118"/>
      <c r="M256" s="118"/>
      <c r="N256" s="118"/>
      <c r="O256" s="118"/>
      <c r="P256" s="118"/>
      <c r="Q256" s="118"/>
      <c r="R256" s="118"/>
      <c r="S256" s="118"/>
      <c r="T256" s="118"/>
      <c r="U256" s="118"/>
      <c r="V256" s="118"/>
      <c r="W256" s="118"/>
      <c r="X256" s="118"/>
      <c r="Y256" s="118"/>
      <c r="Z256" s="118"/>
      <c r="AA256" s="118"/>
    </row>
    <row r="257" spans="1:27">
      <c r="A257" s="118"/>
      <c r="B257" s="118"/>
      <c r="C257" s="1187"/>
      <c r="D257" s="338" t="s">
        <v>3152</v>
      </c>
      <c r="E257" s="361"/>
      <c r="F257" s="360">
        <v>0.14399999999999999</v>
      </c>
      <c r="G257" s="365">
        <v>5.0000000000000001E-3</v>
      </c>
      <c r="H257" s="364"/>
      <c r="I257" s="118"/>
      <c r="J257" s="118"/>
      <c r="K257" s="118"/>
      <c r="L257" s="118"/>
      <c r="M257" s="118"/>
      <c r="N257" s="118"/>
      <c r="O257" s="118"/>
      <c r="P257" s="118"/>
      <c r="Q257" s="118"/>
      <c r="R257" s="118"/>
      <c r="S257" s="118"/>
      <c r="T257" s="118"/>
      <c r="U257" s="118"/>
      <c r="V257" s="118"/>
      <c r="W257" s="118"/>
      <c r="X257" s="118"/>
      <c r="Y257" s="118"/>
      <c r="Z257" s="118"/>
      <c r="AA257" s="118"/>
    </row>
    <row r="258" spans="1:27">
      <c r="A258" s="118"/>
      <c r="B258" s="118"/>
      <c r="C258" s="1187"/>
      <c r="D258" s="338" t="s">
        <v>3153</v>
      </c>
      <c r="E258" s="361"/>
      <c r="F258" s="360">
        <v>1.4E-2</v>
      </c>
      <c r="G258" s="365">
        <v>5.0000000000000001E-3</v>
      </c>
      <c r="H258" s="364"/>
      <c r="I258" s="118"/>
      <c r="J258" s="118"/>
      <c r="K258" s="118"/>
      <c r="L258" s="118"/>
      <c r="M258" s="118"/>
      <c r="N258" s="118"/>
      <c r="O258" s="118"/>
      <c r="P258" s="118"/>
      <c r="Q258" s="118"/>
      <c r="R258" s="118"/>
      <c r="S258" s="118"/>
      <c r="T258" s="118"/>
      <c r="U258" s="118"/>
      <c r="V258" s="118"/>
      <c r="W258" s="118"/>
      <c r="X258" s="118"/>
      <c r="Y258" s="118"/>
      <c r="Z258" s="118"/>
      <c r="AA258" s="118"/>
    </row>
    <row r="259" spans="1:27">
      <c r="A259" s="118"/>
      <c r="B259" s="118"/>
      <c r="C259" s="1187"/>
      <c r="D259" s="338" t="s">
        <v>3155</v>
      </c>
      <c r="E259" s="361"/>
      <c r="F259" s="360">
        <v>0.14399999999999999</v>
      </c>
      <c r="G259" s="365">
        <v>5.0000000000000001E-3</v>
      </c>
      <c r="H259" s="364"/>
      <c r="I259" s="118"/>
      <c r="J259" s="118"/>
      <c r="K259" s="118"/>
      <c r="L259" s="118"/>
      <c r="M259" s="118"/>
      <c r="N259" s="118"/>
      <c r="O259" s="118"/>
      <c r="P259" s="118"/>
      <c r="Q259" s="118"/>
      <c r="R259" s="118"/>
      <c r="S259" s="118"/>
      <c r="T259" s="118"/>
      <c r="U259" s="118"/>
      <c r="V259" s="118"/>
      <c r="W259" s="118"/>
      <c r="X259" s="118"/>
      <c r="Y259" s="118"/>
      <c r="Z259" s="118"/>
      <c r="AA259" s="118"/>
    </row>
    <row r="260" spans="1:27">
      <c r="A260" s="118"/>
      <c r="B260" s="118"/>
      <c r="C260" s="1200"/>
      <c r="D260" s="338" t="s">
        <v>3154</v>
      </c>
      <c r="E260" s="361"/>
      <c r="F260" s="360">
        <v>0.127</v>
      </c>
      <c r="G260" s="359">
        <v>1E-3</v>
      </c>
      <c r="H260" s="364"/>
      <c r="I260" s="118"/>
      <c r="J260" s="118"/>
      <c r="K260" s="118"/>
      <c r="L260" s="118"/>
      <c r="M260" s="118"/>
      <c r="N260" s="118"/>
      <c r="O260" s="118"/>
      <c r="P260" s="118"/>
      <c r="Q260" s="118"/>
      <c r="R260" s="118"/>
      <c r="S260" s="118"/>
      <c r="T260" s="118"/>
      <c r="U260" s="118"/>
      <c r="V260" s="118"/>
      <c r="W260" s="118"/>
      <c r="X260" s="118"/>
      <c r="Y260" s="118"/>
      <c r="Z260" s="118"/>
      <c r="AA260" s="118"/>
    </row>
    <row r="261" spans="1:27">
      <c r="A261" s="118"/>
      <c r="B261" s="118"/>
      <c r="C261" s="1199" t="s">
        <v>3156</v>
      </c>
      <c r="D261" s="338" t="s">
        <v>3152</v>
      </c>
      <c r="E261" s="361"/>
      <c r="F261" s="360">
        <v>1.8069999999999999</v>
      </c>
      <c r="G261" s="359">
        <v>3.4000000000000002E-2</v>
      </c>
      <c r="H261" s="364"/>
      <c r="I261" s="118"/>
      <c r="J261" s="118"/>
      <c r="K261" s="118"/>
      <c r="L261" s="118"/>
      <c r="M261" s="118"/>
      <c r="N261" s="118"/>
      <c r="O261" s="118"/>
      <c r="P261" s="118"/>
      <c r="Q261" s="118"/>
      <c r="R261" s="118"/>
      <c r="S261" s="118"/>
      <c r="T261" s="118"/>
      <c r="U261" s="118"/>
      <c r="V261" s="118"/>
      <c r="W261" s="118"/>
      <c r="X261" s="118"/>
      <c r="Y261" s="118"/>
      <c r="Z261" s="118"/>
      <c r="AA261" s="118"/>
    </row>
    <row r="262" spans="1:27">
      <c r="A262" s="118"/>
      <c r="B262" s="118"/>
      <c r="C262" s="1187"/>
      <c r="D262" s="338" t="s">
        <v>3153</v>
      </c>
      <c r="E262" s="361"/>
      <c r="F262" s="360">
        <v>0.18099999999999999</v>
      </c>
      <c r="G262" s="359">
        <v>3.4000000000000002E-2</v>
      </c>
      <c r="H262" s="364"/>
      <c r="I262" s="118"/>
      <c r="J262" s="118"/>
      <c r="K262" s="118"/>
      <c r="L262" s="118"/>
      <c r="M262" s="118"/>
      <c r="N262" s="118"/>
      <c r="O262" s="118"/>
      <c r="P262" s="118"/>
      <c r="Q262" s="118"/>
      <c r="R262" s="118"/>
      <c r="S262" s="118"/>
      <c r="T262" s="118"/>
      <c r="U262" s="118"/>
      <c r="V262" s="118"/>
      <c r="W262" s="118"/>
      <c r="X262" s="118"/>
      <c r="Y262" s="118"/>
      <c r="Z262" s="118"/>
      <c r="AA262" s="118"/>
    </row>
    <row r="263" spans="1:27">
      <c r="A263" s="118"/>
      <c r="B263" s="118"/>
      <c r="C263" s="1187"/>
      <c r="D263" s="338" t="s">
        <v>3155</v>
      </c>
      <c r="E263" s="361"/>
      <c r="F263" s="360">
        <v>1.8069999999999999</v>
      </c>
      <c r="G263" s="359">
        <v>3.4000000000000002E-2</v>
      </c>
      <c r="H263" s="364"/>
      <c r="I263" s="118"/>
      <c r="J263" s="118"/>
      <c r="K263" s="118"/>
      <c r="L263" s="118"/>
      <c r="M263" s="118"/>
      <c r="N263" s="118"/>
      <c r="O263" s="118"/>
      <c r="P263" s="118"/>
      <c r="Q263" s="118"/>
      <c r="R263" s="118"/>
      <c r="S263" s="118"/>
      <c r="T263" s="118"/>
      <c r="U263" s="118"/>
      <c r="V263" s="118"/>
      <c r="W263" s="118"/>
      <c r="X263" s="118"/>
      <c r="Y263" s="118"/>
      <c r="Z263" s="118"/>
      <c r="AA263" s="118"/>
    </row>
    <row r="264" spans="1:27">
      <c r="A264" s="118"/>
      <c r="B264" s="118"/>
      <c r="C264" s="1200"/>
      <c r="D264" s="338" t="s">
        <v>3154</v>
      </c>
      <c r="E264" s="361"/>
      <c r="F264" s="360">
        <v>0.04</v>
      </c>
      <c r="G264" s="359">
        <v>5.0000000000000001E-3</v>
      </c>
      <c r="H264" s="364"/>
      <c r="I264" s="118"/>
      <c r="J264" s="118"/>
      <c r="K264" s="118"/>
      <c r="L264" s="118"/>
      <c r="M264" s="118"/>
      <c r="N264" s="118"/>
      <c r="O264" s="118"/>
      <c r="P264" s="118"/>
      <c r="Q264" s="118"/>
      <c r="R264" s="118"/>
      <c r="S264" s="118"/>
      <c r="T264" s="118"/>
      <c r="U264" s="118"/>
      <c r="V264" s="118"/>
      <c r="W264" s="118"/>
      <c r="X264" s="118"/>
      <c r="Y264" s="118"/>
      <c r="Z264" s="118"/>
      <c r="AA264" s="118"/>
    </row>
    <row r="265" spans="1:27">
      <c r="A265" s="118"/>
      <c r="B265" s="118"/>
      <c r="C265" s="1199" t="s">
        <v>3157</v>
      </c>
      <c r="D265" s="338" t="s">
        <v>3150</v>
      </c>
      <c r="E265" s="361"/>
      <c r="F265" s="360">
        <v>7.2999999999999995E-2</v>
      </c>
      <c r="G265" s="359">
        <v>2.7E-2</v>
      </c>
      <c r="H265" s="364"/>
      <c r="I265" s="118"/>
      <c r="J265" s="118"/>
      <c r="K265" s="118"/>
      <c r="L265" s="118"/>
      <c r="M265" s="118"/>
      <c r="N265" s="118"/>
      <c r="O265" s="118"/>
      <c r="P265" s="118"/>
      <c r="Q265" s="118"/>
      <c r="R265" s="118"/>
      <c r="S265" s="118"/>
      <c r="T265" s="118"/>
      <c r="U265" s="118"/>
      <c r="V265" s="118"/>
      <c r="W265" s="118"/>
      <c r="X265" s="118"/>
      <c r="Y265" s="118"/>
      <c r="Z265" s="118"/>
      <c r="AA265" s="118"/>
    </row>
    <row r="266" spans="1:27">
      <c r="A266" s="118"/>
      <c r="B266" s="118"/>
      <c r="C266" s="1187"/>
      <c r="D266" s="338" t="s">
        <v>3151</v>
      </c>
      <c r="E266" s="361"/>
      <c r="F266" s="360">
        <v>7.2999999999999995E-2</v>
      </c>
      <c r="G266" s="359">
        <v>2.7E-2</v>
      </c>
      <c r="H266" s="364"/>
      <c r="I266" s="118"/>
      <c r="J266" s="118"/>
      <c r="K266" s="118"/>
      <c r="L266" s="118"/>
      <c r="M266" s="118"/>
      <c r="N266" s="118"/>
      <c r="O266" s="118"/>
      <c r="P266" s="118"/>
      <c r="Q266" s="118"/>
      <c r="R266" s="118"/>
      <c r="S266" s="118"/>
      <c r="T266" s="118"/>
      <c r="U266" s="118"/>
      <c r="V266" s="118"/>
      <c r="W266" s="118"/>
      <c r="X266" s="118"/>
      <c r="Y266" s="118"/>
      <c r="Z266" s="118"/>
      <c r="AA266" s="118"/>
    </row>
    <row r="267" spans="1:27">
      <c r="A267" s="118"/>
      <c r="B267" s="118"/>
      <c r="C267" s="1187"/>
      <c r="D267" s="338" t="s">
        <v>3152</v>
      </c>
      <c r="E267" s="361"/>
      <c r="F267" s="363">
        <v>0.92100000000000004</v>
      </c>
      <c r="G267" s="359">
        <v>1.7000000000000001E-2</v>
      </c>
      <c r="H267" s="364"/>
      <c r="I267" s="118"/>
      <c r="J267" s="118"/>
      <c r="K267" s="118"/>
      <c r="L267" s="118"/>
      <c r="M267" s="118"/>
      <c r="N267" s="118"/>
      <c r="O267" s="118"/>
      <c r="P267" s="118"/>
      <c r="Q267" s="118"/>
      <c r="R267" s="118"/>
      <c r="S267" s="118"/>
      <c r="T267" s="118"/>
      <c r="U267" s="118"/>
      <c r="V267" s="118"/>
      <c r="W267" s="118"/>
      <c r="X267" s="118"/>
      <c r="Y267" s="118"/>
      <c r="Z267" s="118"/>
      <c r="AA267" s="118"/>
    </row>
    <row r="268" spans="1:27">
      <c r="A268" s="118"/>
      <c r="B268" s="118"/>
      <c r="C268" s="1187"/>
      <c r="D268" s="338" t="s">
        <v>3153</v>
      </c>
      <c r="E268" s="361"/>
      <c r="F268" s="360">
        <v>9.1999999999999998E-2</v>
      </c>
      <c r="G268" s="359">
        <v>1.7000000000000001E-2</v>
      </c>
      <c r="H268" s="364"/>
      <c r="I268" s="118"/>
      <c r="J268" s="118"/>
      <c r="K268" s="118"/>
      <c r="L268" s="118"/>
      <c r="M268" s="118"/>
      <c r="N268" s="118"/>
      <c r="O268" s="118"/>
      <c r="P268" s="118"/>
      <c r="Q268" s="118"/>
      <c r="R268" s="118"/>
      <c r="S268" s="118"/>
      <c r="T268" s="118"/>
      <c r="U268" s="118"/>
      <c r="V268" s="118"/>
      <c r="W268" s="118"/>
      <c r="X268" s="118"/>
      <c r="Y268" s="118"/>
      <c r="Z268" s="118"/>
      <c r="AA268" s="118"/>
    </row>
    <row r="269" spans="1:27" s="282" customFormat="1">
      <c r="C269" s="1187"/>
      <c r="D269" s="338" t="s">
        <v>3155</v>
      </c>
      <c r="E269" s="361"/>
      <c r="F269" s="363">
        <v>0.92100000000000004</v>
      </c>
      <c r="G269" s="359">
        <v>1.7000000000000001E-2</v>
      </c>
      <c r="J269" s="118"/>
      <c r="K269" s="118"/>
      <c r="L269" s="118"/>
      <c r="M269" s="118"/>
    </row>
    <row r="270" spans="1:27" s="282" customFormat="1">
      <c r="C270" s="1200"/>
      <c r="D270" s="338" t="s">
        <v>3154</v>
      </c>
      <c r="E270" s="361"/>
      <c r="F270" s="360">
        <v>1.4E-2</v>
      </c>
      <c r="G270" s="359">
        <v>2E-3</v>
      </c>
      <c r="J270" s="118"/>
      <c r="K270" s="118"/>
      <c r="L270" s="118"/>
      <c r="M270" s="118"/>
    </row>
    <row r="271" spans="1:27" s="282" customFormat="1">
      <c r="C271" s="1199" t="s">
        <v>3158</v>
      </c>
      <c r="D271" s="338" t="s">
        <v>3150</v>
      </c>
      <c r="E271" s="361"/>
      <c r="F271" s="360">
        <v>0.193</v>
      </c>
      <c r="G271" s="359">
        <v>2.9000000000000001E-2</v>
      </c>
      <c r="J271" s="118"/>
      <c r="K271" s="118"/>
      <c r="L271" s="118"/>
      <c r="M271" s="118"/>
    </row>
    <row r="272" spans="1:27" s="282" customFormat="1">
      <c r="C272" s="1187"/>
      <c r="D272" s="362" t="s">
        <v>3151</v>
      </c>
      <c r="E272" s="361"/>
      <c r="F272" s="360">
        <v>0.193</v>
      </c>
      <c r="G272" s="359">
        <v>2.9000000000000001E-2</v>
      </c>
      <c r="J272" s="118"/>
      <c r="K272" s="118"/>
      <c r="L272" s="118"/>
      <c r="M272" s="118"/>
    </row>
    <row r="273" spans="1:27" s="282" customFormat="1">
      <c r="C273" s="1187"/>
      <c r="D273" s="362" t="s">
        <v>3152</v>
      </c>
      <c r="E273" s="361"/>
      <c r="F273" s="360">
        <v>2.7530000000000001</v>
      </c>
      <c r="G273" s="359">
        <v>1.7000000000000001E-2</v>
      </c>
      <c r="J273" s="118"/>
      <c r="K273" s="118"/>
      <c r="L273" s="118"/>
      <c r="M273" s="118"/>
    </row>
    <row r="274" spans="1:27" s="282" customFormat="1">
      <c r="C274" s="1187"/>
      <c r="D274" s="362" t="s">
        <v>3153</v>
      </c>
      <c r="E274" s="361"/>
      <c r="F274" s="360">
        <v>0.27500000000000002</v>
      </c>
      <c r="G274" s="359">
        <v>1.7000000000000001E-2</v>
      </c>
      <c r="J274" s="118"/>
      <c r="K274" s="118"/>
      <c r="L274" s="118"/>
      <c r="M274" s="118"/>
    </row>
    <row r="275" spans="1:27" s="282" customFormat="1">
      <c r="C275" s="1187"/>
      <c r="D275" s="362" t="s">
        <v>3155</v>
      </c>
      <c r="E275" s="361"/>
      <c r="F275" s="360">
        <v>2.7530000000000001</v>
      </c>
      <c r="G275" s="359">
        <v>1.7000000000000001E-2</v>
      </c>
      <c r="J275" s="118"/>
      <c r="K275" s="118"/>
      <c r="L275" s="118"/>
      <c r="M275" s="118"/>
    </row>
    <row r="276" spans="1:27" s="282" customFormat="1" ht="13.5" thickBot="1">
      <c r="C276" s="1188"/>
      <c r="D276" s="358" t="s">
        <v>3154</v>
      </c>
      <c r="E276" s="357"/>
      <c r="F276" s="356">
        <v>1.6E-2</v>
      </c>
      <c r="G276" s="355">
        <v>3.0000000000000001E-3</v>
      </c>
      <c r="J276" s="118"/>
      <c r="K276" s="118"/>
      <c r="L276" s="118"/>
      <c r="M276" s="118"/>
    </row>
    <row r="277" spans="1:27" s="282" customFormat="1">
      <c r="C277" s="332" t="s">
        <v>3159</v>
      </c>
      <c r="I277" s="354"/>
      <c r="L277" s="111"/>
      <c r="M277" s="118"/>
    </row>
    <row r="278" spans="1:27">
      <c r="A278" s="118"/>
      <c r="B278" s="118"/>
      <c r="C278" s="331" t="s">
        <v>3160</v>
      </c>
      <c r="D278" s="116"/>
      <c r="E278" s="116"/>
      <c r="F278" s="116"/>
      <c r="G278" s="353"/>
      <c r="H278" s="116"/>
      <c r="M278" s="118"/>
      <c r="N278" s="118"/>
      <c r="O278" s="118"/>
      <c r="P278" s="118"/>
      <c r="Q278" s="118"/>
      <c r="R278" s="118"/>
      <c r="S278" s="118"/>
      <c r="T278" s="118"/>
      <c r="U278" s="118"/>
      <c r="V278" s="118"/>
      <c r="W278" s="118"/>
      <c r="X278" s="118"/>
      <c r="Y278" s="118"/>
      <c r="Z278" s="118"/>
      <c r="AA278" s="118"/>
    </row>
    <row r="279" spans="1:27" ht="26.25" customHeight="1">
      <c r="A279" s="118"/>
      <c r="B279" s="170"/>
      <c r="C279" s="1177" t="s">
        <v>3139</v>
      </c>
      <c r="D279" s="1177"/>
      <c r="E279" s="1177"/>
      <c r="F279" s="1177"/>
      <c r="G279" s="1177"/>
      <c r="H279" s="1177"/>
      <c r="I279" s="1177"/>
      <c r="J279" s="1177"/>
      <c r="K279" s="1177"/>
      <c r="L279" s="1177"/>
      <c r="M279" s="118"/>
      <c r="N279" s="118"/>
      <c r="O279" s="118"/>
      <c r="P279" s="118"/>
      <c r="Q279" s="118"/>
      <c r="R279" s="118"/>
      <c r="S279" s="118"/>
      <c r="T279" s="118"/>
      <c r="U279" s="118"/>
      <c r="V279" s="118"/>
      <c r="W279" s="118"/>
      <c r="X279" s="118"/>
      <c r="Y279" s="118"/>
      <c r="Z279" s="118"/>
      <c r="AA279" s="118"/>
    </row>
    <row r="280" spans="1:27">
      <c r="A280" s="118"/>
      <c r="B280" s="118"/>
      <c r="C280" s="352"/>
      <c r="D280" s="156"/>
      <c r="E280" s="156"/>
      <c r="F280" s="156"/>
      <c r="G280" s="351"/>
      <c r="H280" s="156"/>
      <c r="I280" s="118"/>
      <c r="J280" s="118"/>
      <c r="K280" s="118"/>
      <c r="L280" s="118"/>
      <c r="M280" s="118"/>
      <c r="N280" s="118"/>
      <c r="O280" s="118"/>
      <c r="P280" s="118"/>
      <c r="Q280" s="118"/>
      <c r="R280" s="118"/>
      <c r="S280" s="118"/>
      <c r="T280" s="118"/>
      <c r="U280" s="118"/>
      <c r="V280" s="118"/>
      <c r="W280" s="118"/>
      <c r="X280" s="118"/>
      <c r="Y280" s="118"/>
      <c r="Z280" s="118"/>
      <c r="AA280" s="118"/>
    </row>
    <row r="281" spans="1:27" ht="18.75">
      <c r="B281" s="155" t="s">
        <v>3161</v>
      </c>
      <c r="C281" s="270" t="s">
        <v>3162</v>
      </c>
      <c r="D281" s="350"/>
      <c r="E281" s="350"/>
      <c r="F281" s="350"/>
      <c r="G281" s="153"/>
      <c r="H281" s="153"/>
      <c r="I281" s="153"/>
      <c r="J281" s="153"/>
      <c r="K281" s="153"/>
      <c r="L281" s="152"/>
      <c r="M281" s="118"/>
      <c r="N281" s="118"/>
      <c r="O281" s="118"/>
      <c r="P281" s="118"/>
      <c r="Q281" s="118"/>
      <c r="R281" s="118"/>
      <c r="S281" s="118"/>
      <c r="T281" s="118"/>
      <c r="U281" s="118"/>
      <c r="V281" s="118"/>
      <c r="W281" s="118"/>
      <c r="X281" s="118"/>
      <c r="Y281" s="118"/>
      <c r="Z281" s="118"/>
      <c r="AA281" s="118"/>
    </row>
    <row r="282" spans="1:27" ht="13.5" thickBot="1">
      <c r="A282" s="118"/>
      <c r="B282" s="118"/>
      <c r="C282" s="325"/>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row>
    <row r="283" spans="1:27" ht="29.25" thickBot="1">
      <c r="A283" s="118"/>
      <c r="B283" s="118"/>
      <c r="C283" s="216" t="s">
        <v>3113</v>
      </c>
      <c r="D283" s="168" t="s">
        <v>3000</v>
      </c>
      <c r="E283" s="168" t="s">
        <v>3163</v>
      </c>
      <c r="F283" s="215" t="s">
        <v>3164</v>
      </c>
      <c r="G283" s="210"/>
      <c r="H283" s="118"/>
      <c r="I283" s="118"/>
      <c r="J283" s="118"/>
      <c r="K283" s="118"/>
      <c r="L283" s="118"/>
      <c r="M283" s="118"/>
      <c r="N283" s="118"/>
      <c r="O283" s="118"/>
      <c r="P283" s="118"/>
      <c r="Q283" s="118"/>
      <c r="R283" s="118"/>
      <c r="S283" s="118"/>
      <c r="T283" s="118"/>
      <c r="U283" s="118"/>
      <c r="V283" s="118"/>
      <c r="W283" s="118"/>
      <c r="X283" s="118"/>
      <c r="Y283" s="118"/>
      <c r="Z283" s="118"/>
      <c r="AA283" s="118"/>
    </row>
    <row r="284" spans="1:27">
      <c r="A284" s="118"/>
      <c r="B284" s="118"/>
      <c r="C284" s="1186" t="s">
        <v>3165</v>
      </c>
      <c r="D284" s="349" t="s">
        <v>3106</v>
      </c>
      <c r="E284" s="348">
        <v>1.1045615526278512</v>
      </c>
      <c r="F284" s="347">
        <v>0.31456769136327156</v>
      </c>
      <c r="G284" s="210"/>
      <c r="H284" s="115"/>
      <c r="I284" s="118"/>
      <c r="J284" s="118"/>
      <c r="K284" s="118"/>
      <c r="L284" s="118"/>
      <c r="M284" s="118"/>
      <c r="N284" s="118"/>
      <c r="O284" s="118"/>
      <c r="P284" s="118"/>
      <c r="Q284" s="118"/>
      <c r="R284" s="118"/>
      <c r="S284" s="118"/>
      <c r="T284" s="118"/>
      <c r="U284" s="118"/>
      <c r="V284" s="118"/>
      <c r="W284" s="118"/>
      <c r="X284" s="118"/>
      <c r="Y284" s="118"/>
      <c r="Z284" s="118"/>
      <c r="AA284" s="118"/>
    </row>
    <row r="285" spans="1:27">
      <c r="A285" s="118"/>
      <c r="B285" s="118"/>
      <c r="C285" s="1187"/>
      <c r="D285" s="338" t="s">
        <v>3166</v>
      </c>
      <c r="E285" s="340">
        <v>4.6357988732892883</v>
      </c>
      <c r="F285" s="336">
        <v>7.814712128362436E-2</v>
      </c>
      <c r="G285" s="115"/>
      <c r="H285" s="115"/>
      <c r="I285" s="118"/>
      <c r="J285" s="118"/>
      <c r="K285" s="118"/>
      <c r="L285" s="118"/>
      <c r="M285" s="118"/>
      <c r="N285" s="118"/>
      <c r="O285" s="118"/>
      <c r="P285" s="118"/>
      <c r="Q285" s="118"/>
      <c r="R285" s="118"/>
      <c r="S285" s="118"/>
      <c r="T285" s="118"/>
      <c r="U285" s="118"/>
      <c r="V285" s="118"/>
      <c r="W285" s="118"/>
      <c r="X285" s="118"/>
      <c r="Y285" s="118"/>
      <c r="Z285" s="118"/>
      <c r="AA285" s="118"/>
    </row>
    <row r="286" spans="1:27">
      <c r="A286" s="118"/>
      <c r="B286" s="118"/>
      <c r="C286" s="1187"/>
      <c r="D286" s="338" t="s">
        <v>3167</v>
      </c>
      <c r="E286" s="340">
        <v>2.2551026427560172</v>
      </c>
      <c r="F286" s="336">
        <v>8.3729058518168965E-3</v>
      </c>
      <c r="G286" s="115"/>
      <c r="H286" s="115"/>
      <c r="I286" s="118"/>
      <c r="J286" s="118"/>
      <c r="K286" s="118"/>
      <c r="L286" s="118"/>
      <c r="M286" s="118"/>
      <c r="N286" s="118"/>
      <c r="O286" s="118"/>
      <c r="P286" s="118"/>
      <c r="Q286" s="118"/>
      <c r="R286" s="118"/>
      <c r="S286" s="118"/>
      <c r="T286" s="118"/>
      <c r="U286" s="118"/>
      <c r="V286" s="118"/>
      <c r="W286" s="118"/>
      <c r="X286" s="118"/>
      <c r="Y286" s="118"/>
      <c r="Z286" s="118"/>
      <c r="AA286" s="118"/>
    </row>
    <row r="287" spans="1:27">
      <c r="A287" s="118"/>
      <c r="B287" s="118"/>
      <c r="C287" s="1200"/>
      <c r="D287" s="338" t="s">
        <v>1211</v>
      </c>
      <c r="E287" s="337">
        <v>6.4081143974908104</v>
      </c>
      <c r="F287" s="336">
        <v>0.1723297696536373</v>
      </c>
      <c r="G287" s="115"/>
      <c r="H287" s="115"/>
      <c r="I287" s="118"/>
      <c r="J287" s="118"/>
      <c r="K287" s="118"/>
      <c r="L287" s="118"/>
      <c r="M287" s="118"/>
      <c r="N287" s="118"/>
      <c r="O287" s="118"/>
      <c r="P287" s="118"/>
      <c r="Q287" s="118"/>
      <c r="R287" s="118"/>
      <c r="S287" s="118"/>
      <c r="T287" s="118"/>
      <c r="U287" s="118"/>
      <c r="V287" s="118"/>
      <c r="W287" s="118"/>
      <c r="X287" s="118"/>
      <c r="Y287" s="118"/>
      <c r="Z287" s="118"/>
      <c r="AA287" s="118"/>
    </row>
    <row r="288" spans="1:27">
      <c r="A288" s="118"/>
      <c r="B288" s="118"/>
      <c r="C288" s="129" t="s">
        <v>3168</v>
      </c>
      <c r="D288" s="338" t="s">
        <v>1211</v>
      </c>
      <c r="E288" s="337">
        <v>0.79782300765572833</v>
      </c>
      <c r="F288" s="336">
        <v>0.25530336244983309</v>
      </c>
      <c r="G288" s="115"/>
      <c r="H288" s="115"/>
      <c r="I288" s="118"/>
      <c r="J288" s="118"/>
      <c r="K288" s="118"/>
      <c r="L288" s="118"/>
      <c r="M288" s="118"/>
      <c r="N288" s="118"/>
      <c r="O288" s="118"/>
      <c r="P288" s="118"/>
      <c r="Q288" s="118"/>
      <c r="R288" s="118"/>
      <c r="S288" s="118"/>
      <c r="T288" s="118"/>
      <c r="U288" s="118"/>
      <c r="V288" s="118"/>
      <c r="W288" s="118"/>
      <c r="X288" s="118"/>
      <c r="Y288" s="118"/>
      <c r="Z288" s="118"/>
      <c r="AA288" s="118"/>
    </row>
    <row r="289" spans="1:27">
      <c r="A289" s="118"/>
      <c r="B289" s="118"/>
      <c r="C289" s="1199" t="s">
        <v>3169</v>
      </c>
      <c r="D289" s="338" t="s">
        <v>3170</v>
      </c>
      <c r="E289" s="346" t="s">
        <v>3136</v>
      </c>
      <c r="F289" s="345">
        <v>0.30022526810076783</v>
      </c>
      <c r="G289" s="115"/>
      <c r="H289" s="115"/>
      <c r="I289" s="118"/>
      <c r="J289" s="118"/>
      <c r="K289" s="118"/>
      <c r="L289" s="118"/>
      <c r="M289" s="118"/>
      <c r="N289" s="118"/>
      <c r="O289" s="118"/>
      <c r="P289" s="118"/>
      <c r="Q289" s="118"/>
      <c r="R289" s="118"/>
      <c r="S289" s="118"/>
      <c r="T289" s="118"/>
      <c r="U289" s="118"/>
      <c r="V289" s="118"/>
      <c r="W289" s="118"/>
      <c r="X289" s="118"/>
      <c r="Y289" s="118"/>
      <c r="Z289" s="118"/>
      <c r="AA289" s="118"/>
    </row>
    <row r="290" spans="1:27">
      <c r="A290" s="118"/>
      <c r="B290" s="118"/>
      <c r="C290" s="1200"/>
      <c r="D290" s="338" t="s">
        <v>3050</v>
      </c>
      <c r="E290" s="337">
        <v>7.0617667844522982</v>
      </c>
      <c r="F290" s="336">
        <v>0.10699646643109542</v>
      </c>
      <c r="G290" s="115"/>
      <c r="H290" s="115"/>
      <c r="I290" s="118"/>
      <c r="J290" s="118"/>
      <c r="K290" s="118"/>
      <c r="L290" s="118"/>
      <c r="M290" s="118"/>
      <c r="N290" s="118"/>
      <c r="O290" s="118"/>
      <c r="P290" s="118"/>
      <c r="Q290" s="118"/>
      <c r="R290" s="118"/>
      <c r="S290" s="118"/>
      <c r="T290" s="118"/>
      <c r="U290" s="118"/>
      <c r="V290" s="118"/>
      <c r="W290" s="118"/>
      <c r="X290" s="118"/>
      <c r="Y290" s="118"/>
      <c r="Z290" s="118"/>
      <c r="AA290" s="118"/>
    </row>
    <row r="291" spans="1:27">
      <c r="A291" s="118"/>
      <c r="B291" s="118"/>
      <c r="C291" s="1199" t="s">
        <v>3171</v>
      </c>
      <c r="D291" s="338" t="s">
        <v>3166</v>
      </c>
      <c r="E291" s="337">
        <v>6.9216021708353006</v>
      </c>
      <c r="F291" s="336">
        <v>0.4744646649362908</v>
      </c>
      <c r="G291" s="115"/>
      <c r="H291" s="115"/>
      <c r="I291" s="118"/>
      <c r="J291" s="118"/>
      <c r="K291" s="118"/>
      <c r="L291" s="118"/>
      <c r="M291" s="118"/>
      <c r="N291" s="118"/>
      <c r="O291" s="118"/>
      <c r="P291" s="118"/>
      <c r="Q291" s="118"/>
      <c r="R291" s="118"/>
      <c r="S291" s="118"/>
      <c r="T291" s="118"/>
      <c r="U291" s="118"/>
      <c r="V291" s="118"/>
      <c r="W291" s="118"/>
      <c r="X291" s="118"/>
      <c r="Y291" s="118"/>
      <c r="Z291" s="118"/>
      <c r="AA291" s="118"/>
    </row>
    <row r="292" spans="1:27">
      <c r="A292" s="118"/>
      <c r="B292" s="118"/>
      <c r="C292" s="1187"/>
      <c r="D292" s="338" t="s">
        <v>3167</v>
      </c>
      <c r="E292" s="340">
        <v>1.9397231890042472</v>
      </c>
      <c r="F292" s="339">
        <v>1.2084894112789053</v>
      </c>
      <c r="G292" s="115"/>
      <c r="H292" s="115"/>
      <c r="I292" s="118"/>
      <c r="J292" s="118"/>
      <c r="K292" s="118"/>
      <c r="L292" s="118"/>
      <c r="M292" s="118"/>
      <c r="N292" s="118"/>
      <c r="O292" s="118"/>
      <c r="P292" s="118"/>
      <c r="Q292" s="118"/>
      <c r="R292" s="118"/>
      <c r="S292" s="118"/>
      <c r="T292" s="118"/>
      <c r="U292" s="118"/>
      <c r="V292" s="118"/>
      <c r="W292" s="118"/>
      <c r="X292" s="118"/>
      <c r="Y292" s="118"/>
      <c r="Z292" s="118"/>
      <c r="AA292" s="118"/>
    </row>
    <row r="293" spans="1:27">
      <c r="A293" s="118"/>
      <c r="B293" s="118"/>
      <c r="C293" s="1187"/>
      <c r="D293" s="338" t="s">
        <v>3172</v>
      </c>
      <c r="E293" s="340">
        <v>1.9397231890042472</v>
      </c>
      <c r="F293" s="336">
        <v>1.2001165054270884</v>
      </c>
      <c r="G293" s="115"/>
      <c r="H293" s="115"/>
      <c r="I293" s="118"/>
      <c r="J293" s="118"/>
      <c r="K293" s="118"/>
      <c r="L293" s="118"/>
      <c r="M293" s="118"/>
      <c r="N293" s="118"/>
      <c r="O293" s="118"/>
      <c r="P293" s="118"/>
      <c r="Q293" s="118"/>
      <c r="R293" s="118"/>
      <c r="S293" s="118"/>
      <c r="T293" s="118"/>
      <c r="U293" s="118"/>
      <c r="V293" s="118"/>
      <c r="W293" s="118"/>
      <c r="X293" s="118"/>
      <c r="Y293" s="118"/>
      <c r="Z293" s="118"/>
      <c r="AA293" s="118"/>
    </row>
    <row r="294" spans="1:27">
      <c r="A294" s="118"/>
      <c r="B294" s="118"/>
      <c r="C294" s="1187"/>
      <c r="D294" s="338" t="s">
        <v>3173</v>
      </c>
      <c r="E294" s="337">
        <v>1.2669429361572966</v>
      </c>
      <c r="F294" s="336">
        <v>1.0722741222892989</v>
      </c>
      <c r="G294" s="115"/>
      <c r="H294" s="115"/>
      <c r="I294" s="118"/>
      <c r="J294" s="118"/>
      <c r="K294" s="118"/>
      <c r="L294" s="118"/>
      <c r="M294" s="118"/>
      <c r="N294" s="118"/>
      <c r="O294" s="118"/>
      <c r="P294" s="118"/>
      <c r="Q294" s="118"/>
      <c r="R294" s="118"/>
      <c r="S294" s="118"/>
      <c r="T294" s="118"/>
      <c r="U294" s="118"/>
      <c r="V294" s="118"/>
      <c r="W294" s="118"/>
      <c r="X294" s="118"/>
      <c r="Y294" s="118"/>
      <c r="Z294" s="118"/>
      <c r="AA294" s="118"/>
    </row>
    <row r="295" spans="1:27">
      <c r="A295" s="118"/>
      <c r="B295" s="118"/>
      <c r="C295" s="1187"/>
      <c r="D295" s="338" t="s">
        <v>3174</v>
      </c>
      <c r="E295" s="337">
        <v>0.91270952075815315</v>
      </c>
      <c r="F295" s="336">
        <v>0.55528481332838686</v>
      </c>
      <c r="G295" s="115"/>
      <c r="H295" s="115"/>
      <c r="I295" s="118"/>
      <c r="J295" s="118"/>
      <c r="K295" s="118"/>
      <c r="L295" s="118"/>
      <c r="M295" s="118"/>
      <c r="N295" s="118"/>
      <c r="O295" s="118"/>
      <c r="P295" s="118"/>
      <c r="Q295" s="118"/>
      <c r="R295" s="118"/>
      <c r="S295" s="118"/>
      <c r="T295" s="118"/>
      <c r="U295" s="118"/>
      <c r="V295" s="118"/>
      <c r="W295" s="118"/>
      <c r="X295" s="118"/>
      <c r="Y295" s="118"/>
      <c r="Z295" s="118"/>
      <c r="AA295" s="118"/>
    </row>
    <row r="296" spans="1:27">
      <c r="A296" s="118"/>
      <c r="B296" s="118"/>
      <c r="C296" s="1200"/>
      <c r="D296" s="338" t="s">
        <v>3153</v>
      </c>
      <c r="E296" s="337">
        <v>0.32838086975382275</v>
      </c>
      <c r="F296" s="339">
        <v>0.94819976141416329</v>
      </c>
      <c r="G296" s="115"/>
      <c r="H296" s="115"/>
      <c r="I296" s="118"/>
      <c r="J296" s="118"/>
      <c r="K296" s="118"/>
      <c r="L296" s="118"/>
      <c r="M296" s="118"/>
      <c r="N296" s="118"/>
      <c r="O296" s="118"/>
      <c r="P296" s="118"/>
      <c r="Q296" s="118"/>
      <c r="R296" s="118"/>
      <c r="S296" s="118"/>
      <c r="T296" s="118"/>
      <c r="U296" s="118"/>
      <c r="V296" s="118"/>
      <c r="W296" s="118"/>
      <c r="X296" s="118"/>
      <c r="Y296" s="118"/>
      <c r="Z296" s="118"/>
      <c r="AA296" s="118"/>
    </row>
    <row r="297" spans="1:27">
      <c r="A297" s="118"/>
      <c r="B297" s="118"/>
      <c r="C297" s="1199" t="s">
        <v>3175</v>
      </c>
      <c r="D297" s="338" t="s">
        <v>3166</v>
      </c>
      <c r="E297" s="337">
        <v>7.9765883081642297</v>
      </c>
      <c r="F297" s="336">
        <v>0.11722068192543654</v>
      </c>
      <c r="G297" s="115"/>
      <c r="H297" s="115"/>
      <c r="I297" s="118"/>
      <c r="J297" s="118"/>
      <c r="K297" s="118"/>
      <c r="L297" s="118"/>
      <c r="M297" s="118"/>
      <c r="N297" s="118"/>
      <c r="O297" s="118"/>
      <c r="P297" s="118"/>
      <c r="Q297" s="118"/>
      <c r="R297" s="118"/>
      <c r="S297" s="118"/>
      <c r="T297" s="118"/>
      <c r="U297" s="118"/>
      <c r="V297" s="118"/>
      <c r="W297" s="118"/>
      <c r="X297" s="118"/>
      <c r="Y297" s="118"/>
      <c r="Z297" s="118"/>
      <c r="AA297" s="118"/>
    </row>
    <row r="298" spans="1:27">
      <c r="A298" s="118"/>
      <c r="B298" s="118"/>
      <c r="C298" s="1187"/>
      <c r="D298" s="338" t="s">
        <v>3167</v>
      </c>
      <c r="E298" s="337">
        <v>2.8523699268522891</v>
      </c>
      <c r="F298" s="336">
        <v>1.4736314299197737</v>
      </c>
      <c r="G298" s="115"/>
      <c r="H298" s="115"/>
      <c r="I298" s="118"/>
      <c r="J298" s="118"/>
      <c r="K298" s="118"/>
      <c r="L298" s="118"/>
      <c r="M298" s="118"/>
      <c r="N298" s="118"/>
      <c r="O298" s="118"/>
      <c r="P298" s="118"/>
      <c r="Q298" s="118"/>
      <c r="R298" s="118"/>
      <c r="S298" s="118"/>
      <c r="T298" s="118"/>
      <c r="U298" s="118"/>
      <c r="V298" s="118"/>
      <c r="W298" s="118"/>
      <c r="X298" s="118"/>
      <c r="Y298" s="118"/>
      <c r="Z298" s="118"/>
      <c r="AA298" s="118"/>
    </row>
    <row r="299" spans="1:27">
      <c r="A299" s="118"/>
      <c r="B299" s="118"/>
      <c r="C299" s="1187"/>
      <c r="D299" s="338" t="s">
        <v>3172</v>
      </c>
      <c r="E299" s="337">
        <v>2.8523699268522891</v>
      </c>
      <c r="F299" s="339">
        <v>1.4736314299197737</v>
      </c>
      <c r="G299" s="115"/>
      <c r="H299" s="115"/>
      <c r="I299" s="118"/>
      <c r="J299" s="118"/>
      <c r="K299" s="118"/>
      <c r="L299" s="118"/>
      <c r="M299" s="118"/>
      <c r="N299" s="118"/>
      <c r="O299" s="118"/>
      <c r="P299" s="118"/>
      <c r="Q299" s="118"/>
      <c r="R299" s="118"/>
      <c r="S299" s="118"/>
      <c r="T299" s="118"/>
      <c r="U299" s="118"/>
      <c r="V299" s="118"/>
      <c r="W299" s="118"/>
      <c r="X299" s="118"/>
      <c r="Y299" s="118"/>
      <c r="Z299" s="118"/>
      <c r="AA299" s="118"/>
    </row>
    <row r="300" spans="1:27">
      <c r="A300" s="118"/>
      <c r="B300" s="118"/>
      <c r="C300" s="1187"/>
      <c r="D300" s="338" t="s">
        <v>3173</v>
      </c>
      <c r="E300" s="337">
        <v>1.0116395737074635</v>
      </c>
      <c r="F300" s="336">
        <v>0.94143114903375935</v>
      </c>
      <c r="G300" s="115"/>
      <c r="H300" s="115"/>
      <c r="I300" s="118"/>
      <c r="J300" s="118"/>
      <c r="K300" s="118"/>
      <c r="L300" s="118"/>
      <c r="M300" s="118"/>
      <c r="N300" s="118"/>
      <c r="O300" s="118"/>
      <c r="P300" s="118"/>
      <c r="Q300" s="118"/>
      <c r="R300" s="118"/>
      <c r="S300" s="118"/>
      <c r="T300" s="118"/>
      <c r="U300" s="118"/>
      <c r="V300" s="118"/>
      <c r="W300" s="118"/>
      <c r="X300" s="118"/>
      <c r="Y300" s="118"/>
      <c r="Z300" s="118"/>
      <c r="AA300" s="118"/>
    </row>
    <row r="301" spans="1:27">
      <c r="A301" s="118"/>
      <c r="B301" s="118"/>
      <c r="C301" s="1187"/>
      <c r="D301" s="338" t="s">
        <v>3174</v>
      </c>
      <c r="E301" s="337">
        <v>0.91270952075815315</v>
      </c>
      <c r="F301" s="336">
        <v>0.55528481332838686</v>
      </c>
      <c r="G301" s="115"/>
      <c r="H301" s="115"/>
      <c r="I301" s="118"/>
      <c r="J301" s="118"/>
      <c r="K301" s="118"/>
      <c r="L301" s="118"/>
      <c r="M301" s="118"/>
      <c r="N301" s="118"/>
      <c r="O301" s="118"/>
      <c r="P301" s="118"/>
      <c r="Q301" s="118"/>
      <c r="R301" s="118"/>
      <c r="S301" s="118"/>
      <c r="T301" s="118"/>
      <c r="U301" s="118"/>
      <c r="V301" s="118"/>
      <c r="W301" s="118"/>
      <c r="X301" s="118"/>
      <c r="Y301" s="118"/>
      <c r="Z301" s="118"/>
      <c r="AA301" s="118"/>
    </row>
    <row r="302" spans="1:27">
      <c r="A302" s="118"/>
      <c r="B302" s="118"/>
      <c r="C302" s="1200"/>
      <c r="D302" s="344" t="s">
        <v>3153</v>
      </c>
      <c r="E302" s="337">
        <v>0.59108556555688085</v>
      </c>
      <c r="F302" s="336">
        <v>0.49872844593861831</v>
      </c>
      <c r="G302" s="115"/>
      <c r="H302" s="115"/>
      <c r="I302" s="118"/>
      <c r="J302" s="118"/>
      <c r="K302" s="118"/>
      <c r="L302" s="118"/>
      <c r="M302" s="118"/>
      <c r="N302" s="118"/>
      <c r="O302" s="118"/>
      <c r="P302" s="118"/>
      <c r="Q302" s="118"/>
      <c r="R302" s="118"/>
      <c r="S302" s="118"/>
      <c r="T302" s="118"/>
      <c r="U302" s="118"/>
      <c r="V302" s="118"/>
      <c r="W302" s="118"/>
      <c r="X302" s="118"/>
      <c r="Y302" s="118"/>
      <c r="Z302" s="118"/>
      <c r="AA302" s="118"/>
    </row>
    <row r="303" spans="1:27">
      <c r="A303" s="118"/>
      <c r="B303" s="118"/>
      <c r="C303" s="1199" t="s">
        <v>3176</v>
      </c>
      <c r="D303" s="338" t="s">
        <v>3166</v>
      </c>
      <c r="E303" s="340">
        <v>7.2872190596979722</v>
      </c>
      <c r="F303" s="336">
        <v>0.30700654789995285</v>
      </c>
      <c r="G303" s="115"/>
      <c r="H303" s="115"/>
      <c r="I303" s="118"/>
      <c r="J303" s="118"/>
      <c r="K303" s="118"/>
      <c r="L303" s="118"/>
      <c r="M303" s="118"/>
      <c r="N303" s="118"/>
      <c r="O303" s="118"/>
      <c r="P303" s="118"/>
      <c r="Q303" s="118"/>
      <c r="R303" s="118"/>
      <c r="S303" s="118"/>
      <c r="T303" s="118"/>
      <c r="U303" s="118"/>
      <c r="V303" s="118"/>
      <c r="W303" s="118"/>
      <c r="X303" s="118"/>
      <c r="Y303" s="118"/>
      <c r="Z303" s="118"/>
      <c r="AA303" s="118"/>
    </row>
    <row r="304" spans="1:27">
      <c r="A304" s="118"/>
      <c r="B304" s="118"/>
      <c r="C304" s="1187"/>
      <c r="D304" s="338" t="s">
        <v>3167</v>
      </c>
      <c r="E304" s="340">
        <v>2.9975002949504486</v>
      </c>
      <c r="F304" s="336">
        <v>1.4931682102406798</v>
      </c>
      <c r="G304" s="115"/>
      <c r="H304" s="115"/>
      <c r="I304" s="118"/>
      <c r="J304" s="118"/>
      <c r="K304" s="118"/>
      <c r="L304" s="118"/>
      <c r="M304" s="118"/>
      <c r="N304" s="118"/>
      <c r="O304" s="118"/>
      <c r="P304" s="118"/>
      <c r="Q304" s="118"/>
      <c r="R304" s="118"/>
      <c r="S304" s="118"/>
      <c r="T304" s="118"/>
      <c r="U304" s="118"/>
      <c r="V304" s="118"/>
      <c r="W304" s="118"/>
      <c r="X304" s="118"/>
      <c r="Y304" s="118"/>
      <c r="Z304" s="118"/>
      <c r="AA304" s="118"/>
    </row>
    <row r="305" spans="1:27">
      <c r="A305" s="118"/>
      <c r="B305" s="118"/>
      <c r="C305" s="1187"/>
      <c r="D305" s="338" t="s">
        <v>1211</v>
      </c>
      <c r="E305" s="340">
        <v>0.66378874236956598</v>
      </c>
      <c r="F305" s="336">
        <v>0.48826768068530574</v>
      </c>
      <c r="G305" s="115"/>
      <c r="H305" s="115"/>
      <c r="I305" s="118"/>
      <c r="J305" s="118"/>
      <c r="K305" s="118"/>
      <c r="L305" s="118"/>
      <c r="M305" s="118"/>
      <c r="N305" s="118"/>
      <c r="O305" s="118"/>
      <c r="P305" s="118"/>
      <c r="Q305" s="118"/>
      <c r="R305" s="118"/>
      <c r="S305" s="118"/>
      <c r="T305" s="118"/>
      <c r="U305" s="118"/>
      <c r="V305" s="118"/>
      <c r="W305" s="118"/>
      <c r="X305" s="118"/>
      <c r="Y305" s="118"/>
      <c r="Z305" s="118"/>
      <c r="AA305" s="118"/>
    </row>
    <row r="306" spans="1:27">
      <c r="A306" s="118"/>
      <c r="B306" s="118"/>
      <c r="C306" s="1200"/>
      <c r="D306" s="343" t="s">
        <v>3153</v>
      </c>
      <c r="E306" s="337">
        <v>0.41458084806420126</v>
      </c>
      <c r="F306" s="336">
        <v>0.62802841340418603</v>
      </c>
      <c r="G306" s="115"/>
      <c r="H306" s="115"/>
      <c r="I306" s="118"/>
      <c r="J306" s="118"/>
      <c r="K306" s="118"/>
      <c r="L306" s="118"/>
      <c r="M306" s="118"/>
      <c r="N306" s="118"/>
      <c r="O306" s="118"/>
      <c r="P306" s="118"/>
      <c r="Q306" s="118"/>
      <c r="R306" s="118"/>
      <c r="S306" s="118"/>
      <c r="T306" s="118"/>
      <c r="U306" s="118"/>
      <c r="V306" s="118"/>
      <c r="W306" s="118"/>
      <c r="X306" s="118"/>
      <c r="Y306" s="118"/>
      <c r="Z306" s="118"/>
      <c r="AA306" s="118"/>
    </row>
    <row r="307" spans="1:27">
      <c r="A307" s="118"/>
      <c r="B307" s="118"/>
      <c r="C307" s="1199" t="s">
        <v>3177</v>
      </c>
      <c r="D307" s="338" t="s">
        <v>3178</v>
      </c>
      <c r="E307" s="340">
        <v>1.0242854825389336</v>
      </c>
      <c r="F307" s="336">
        <v>1.0689409804152903</v>
      </c>
      <c r="G307" s="115"/>
      <c r="H307" s="115"/>
      <c r="I307" s="118"/>
      <c r="J307" s="118"/>
      <c r="K307" s="118"/>
      <c r="L307" s="118"/>
      <c r="M307" s="118"/>
      <c r="N307" s="118"/>
      <c r="O307" s="118"/>
      <c r="P307" s="118"/>
      <c r="Q307" s="118"/>
      <c r="R307" s="118"/>
      <c r="S307" s="118"/>
      <c r="T307" s="118"/>
      <c r="U307" s="118"/>
      <c r="V307" s="118"/>
      <c r="W307" s="118"/>
      <c r="X307" s="118"/>
      <c r="Y307" s="118"/>
      <c r="Z307" s="118"/>
      <c r="AA307" s="118"/>
    </row>
    <row r="308" spans="1:27">
      <c r="A308" s="118"/>
      <c r="B308" s="118"/>
      <c r="C308" s="1187"/>
      <c r="D308" s="338" t="s">
        <v>1211</v>
      </c>
      <c r="E308" s="340">
        <v>1.8924361741593876</v>
      </c>
      <c r="F308" s="336">
        <v>1.1616302991467404</v>
      </c>
      <c r="G308" s="115"/>
      <c r="H308" s="115"/>
      <c r="I308" s="118"/>
      <c r="J308" s="118"/>
      <c r="K308" s="118"/>
      <c r="L308" s="118"/>
      <c r="M308" s="118"/>
      <c r="N308" s="118"/>
      <c r="O308" s="118"/>
      <c r="P308" s="118"/>
      <c r="Q308" s="118"/>
      <c r="R308" s="118"/>
      <c r="S308" s="118"/>
      <c r="T308" s="118"/>
      <c r="U308" s="118"/>
      <c r="V308" s="118"/>
      <c r="W308" s="118"/>
      <c r="X308" s="118"/>
      <c r="Y308" s="118"/>
      <c r="Z308" s="118"/>
      <c r="AA308" s="118"/>
    </row>
    <row r="309" spans="1:27">
      <c r="A309" s="118"/>
      <c r="B309" s="118"/>
      <c r="C309" s="1200"/>
      <c r="D309" s="338" t="s">
        <v>3153</v>
      </c>
      <c r="E309" s="337">
        <v>0.35095705454939807</v>
      </c>
      <c r="F309" s="336">
        <v>0.88662834833532145</v>
      </c>
      <c r="G309" s="115"/>
      <c r="H309" s="115"/>
      <c r="I309" s="118"/>
      <c r="J309" s="118"/>
      <c r="K309" s="118"/>
      <c r="L309" s="118"/>
      <c r="M309" s="118"/>
      <c r="N309" s="118"/>
      <c r="O309" s="118"/>
      <c r="P309" s="118"/>
      <c r="Q309" s="118"/>
      <c r="R309" s="118"/>
      <c r="S309" s="118"/>
      <c r="T309" s="118"/>
      <c r="U309" s="118"/>
      <c r="V309" s="118"/>
      <c r="W309" s="118"/>
      <c r="X309" s="118"/>
      <c r="Y309" s="118"/>
      <c r="Z309" s="118"/>
      <c r="AA309" s="118"/>
    </row>
    <row r="310" spans="1:27">
      <c r="A310" s="118"/>
      <c r="B310" s="118"/>
      <c r="C310" s="1199" t="s">
        <v>3179</v>
      </c>
      <c r="D310" s="338" t="s">
        <v>3166</v>
      </c>
      <c r="E310" s="340">
        <v>7.1309248171307233</v>
      </c>
      <c r="F310" s="336">
        <v>0.4967924138744691</v>
      </c>
      <c r="G310" s="115"/>
      <c r="H310" s="115"/>
      <c r="I310" s="118"/>
      <c r="J310" s="118"/>
      <c r="K310" s="118"/>
      <c r="L310" s="118"/>
      <c r="M310" s="118"/>
      <c r="N310" s="118"/>
      <c r="O310" s="118"/>
      <c r="P310" s="118"/>
      <c r="Q310" s="118"/>
      <c r="R310" s="118"/>
      <c r="S310" s="118"/>
      <c r="T310" s="118"/>
      <c r="U310" s="118"/>
      <c r="V310" s="118"/>
      <c r="W310" s="118"/>
      <c r="X310" s="118"/>
      <c r="Y310" s="118"/>
      <c r="Z310" s="118"/>
      <c r="AA310" s="118"/>
    </row>
    <row r="311" spans="1:27">
      <c r="A311" s="118"/>
      <c r="B311" s="118"/>
      <c r="C311" s="1187"/>
      <c r="D311" s="338" t="s">
        <v>3167</v>
      </c>
      <c r="E311" s="337">
        <v>2.7435221507786696</v>
      </c>
      <c r="F311" s="336">
        <v>1.5350327394997643</v>
      </c>
      <c r="G311" s="115"/>
      <c r="H311" s="115"/>
      <c r="I311" s="118"/>
      <c r="J311" s="118"/>
      <c r="K311" s="118"/>
      <c r="L311" s="118"/>
      <c r="M311" s="118"/>
      <c r="N311" s="118"/>
      <c r="O311" s="118"/>
      <c r="P311" s="118"/>
      <c r="Q311" s="118"/>
      <c r="R311" s="118"/>
      <c r="S311" s="118"/>
      <c r="T311" s="118"/>
      <c r="U311" s="118"/>
      <c r="V311" s="118"/>
      <c r="W311" s="118"/>
      <c r="X311" s="118"/>
      <c r="Y311" s="118"/>
      <c r="Z311" s="118"/>
      <c r="AA311" s="118"/>
    </row>
    <row r="312" spans="1:27">
      <c r="A312" s="118"/>
      <c r="B312" s="118"/>
      <c r="C312" s="1187"/>
      <c r="D312" s="338" t="s">
        <v>1211</v>
      </c>
      <c r="E312" s="340">
        <v>0.42125054804222456</v>
      </c>
      <c r="F312" s="336">
        <v>0.60315419378773061</v>
      </c>
      <c r="G312" s="115"/>
      <c r="H312" s="115"/>
      <c r="I312" s="118"/>
      <c r="J312" s="118"/>
      <c r="K312" s="118"/>
      <c r="L312" s="118"/>
      <c r="M312" s="118"/>
      <c r="N312" s="118"/>
      <c r="O312" s="118"/>
      <c r="P312" s="118"/>
      <c r="Q312" s="118"/>
      <c r="R312" s="118"/>
      <c r="S312" s="118"/>
      <c r="T312" s="118"/>
      <c r="U312" s="118"/>
      <c r="V312" s="118"/>
      <c r="W312" s="118"/>
      <c r="X312" s="118"/>
      <c r="Y312" s="118"/>
      <c r="Z312" s="118"/>
      <c r="AA312" s="118"/>
    </row>
    <row r="313" spans="1:27">
      <c r="A313" s="118"/>
      <c r="B313" s="118"/>
      <c r="C313" s="1200"/>
      <c r="D313" s="338" t="s">
        <v>3153</v>
      </c>
      <c r="E313" s="340">
        <v>0.44331417416766072</v>
      </c>
      <c r="F313" s="336">
        <v>0.64034269601995442</v>
      </c>
      <c r="G313" s="115"/>
      <c r="H313" s="115"/>
      <c r="I313" s="118"/>
      <c r="J313" s="118"/>
      <c r="K313" s="118"/>
      <c r="L313" s="118"/>
      <c r="M313" s="118"/>
      <c r="N313" s="118"/>
      <c r="O313" s="118"/>
      <c r="P313" s="118"/>
      <c r="Q313" s="118"/>
      <c r="R313" s="118"/>
      <c r="S313" s="118"/>
      <c r="T313" s="118"/>
      <c r="U313" s="118"/>
      <c r="V313" s="118"/>
      <c r="W313" s="118"/>
      <c r="X313" s="118"/>
      <c r="Y313" s="118"/>
      <c r="Z313" s="118"/>
      <c r="AA313" s="118"/>
    </row>
    <row r="314" spans="1:27">
      <c r="A314" s="118"/>
      <c r="B314" s="118"/>
      <c r="C314" s="1199" t="s">
        <v>3180</v>
      </c>
      <c r="D314" s="338" t="s">
        <v>3166</v>
      </c>
      <c r="E314" s="337">
        <v>9.6790791647003314</v>
      </c>
      <c r="F314" s="342" t="s">
        <v>3136</v>
      </c>
      <c r="G314" s="115"/>
      <c r="H314" s="115"/>
      <c r="I314" s="118"/>
      <c r="J314" s="118"/>
      <c r="K314" s="118"/>
      <c r="L314" s="118"/>
      <c r="M314" s="118"/>
      <c r="N314" s="118"/>
      <c r="O314" s="118"/>
      <c r="P314" s="118"/>
      <c r="Q314" s="118"/>
      <c r="R314" s="118"/>
      <c r="S314" s="118"/>
      <c r="T314" s="118"/>
      <c r="U314" s="118"/>
      <c r="V314" s="118"/>
      <c r="W314" s="118"/>
      <c r="X314" s="118"/>
      <c r="Y314" s="118"/>
      <c r="Z314" s="118"/>
      <c r="AA314" s="118"/>
    </row>
    <row r="315" spans="1:27">
      <c r="A315" s="118"/>
      <c r="B315" s="118"/>
      <c r="C315" s="1187"/>
      <c r="D315" s="338" t="s">
        <v>3167</v>
      </c>
      <c r="E315" s="337">
        <v>3.2403145646531386</v>
      </c>
      <c r="F315" s="341">
        <v>2.0569438709296839</v>
      </c>
      <c r="G315" s="115"/>
      <c r="H315" s="115"/>
      <c r="I315" s="118"/>
      <c r="J315" s="118"/>
      <c r="K315" s="118"/>
      <c r="L315" s="118"/>
      <c r="M315" s="118"/>
      <c r="N315" s="118"/>
      <c r="O315" s="118"/>
      <c r="P315" s="118"/>
      <c r="Q315" s="118"/>
      <c r="R315" s="118"/>
      <c r="S315" s="118"/>
      <c r="T315" s="118"/>
      <c r="U315" s="118"/>
      <c r="V315" s="118"/>
      <c r="W315" s="118"/>
      <c r="X315" s="118"/>
      <c r="Y315" s="118"/>
      <c r="Z315" s="118"/>
      <c r="AA315" s="118"/>
    </row>
    <row r="316" spans="1:27">
      <c r="A316" s="118"/>
      <c r="B316" s="118"/>
      <c r="C316" s="1200"/>
      <c r="D316" s="338" t="s">
        <v>1211</v>
      </c>
      <c r="E316" s="340">
        <v>0.48826768068530574</v>
      </c>
      <c r="F316" s="336">
        <v>1.2701342281879195</v>
      </c>
      <c r="G316" s="115"/>
      <c r="H316" s="115"/>
      <c r="I316" s="118"/>
      <c r="J316" s="118"/>
      <c r="K316" s="118"/>
      <c r="L316" s="118"/>
      <c r="M316" s="118"/>
      <c r="N316" s="118"/>
      <c r="O316" s="118"/>
      <c r="P316" s="118"/>
      <c r="Q316" s="118"/>
      <c r="R316" s="118"/>
      <c r="S316" s="118"/>
      <c r="T316" s="118"/>
      <c r="U316" s="118"/>
      <c r="V316" s="118"/>
      <c r="W316" s="118"/>
      <c r="X316" s="118"/>
      <c r="Y316" s="118"/>
      <c r="Z316" s="118"/>
      <c r="AA316" s="118"/>
    </row>
    <row r="317" spans="1:27">
      <c r="A317" s="118"/>
      <c r="B317" s="118"/>
      <c r="C317" s="1199" t="s">
        <v>3181</v>
      </c>
      <c r="D317" s="338" t="s">
        <v>3178</v>
      </c>
      <c r="E317" s="337">
        <v>3.2375235960358659</v>
      </c>
      <c r="F317" s="336">
        <v>1.8141296012269941</v>
      </c>
      <c r="G317" s="115"/>
      <c r="H317" s="115"/>
      <c r="I317" s="118"/>
      <c r="J317" s="118"/>
      <c r="K317" s="118"/>
      <c r="L317" s="118"/>
      <c r="M317" s="118"/>
      <c r="N317" s="118"/>
      <c r="O317" s="118"/>
      <c r="P317" s="118"/>
      <c r="Q317" s="118"/>
      <c r="R317" s="118"/>
      <c r="S317" s="118"/>
      <c r="T317" s="118"/>
      <c r="U317" s="118"/>
      <c r="V317" s="118"/>
      <c r="W317" s="118"/>
      <c r="X317" s="118"/>
      <c r="Y317" s="118"/>
      <c r="Z317" s="118"/>
      <c r="AA317" s="118"/>
    </row>
    <row r="318" spans="1:27">
      <c r="A318" s="118"/>
      <c r="B318" s="118"/>
      <c r="C318" s="1187"/>
      <c r="D318" s="338" t="s">
        <v>1211</v>
      </c>
      <c r="E318" s="340">
        <v>0.39891150382786417</v>
      </c>
      <c r="F318" s="336">
        <v>0.94781373309500516</v>
      </c>
      <c r="G318" s="115"/>
      <c r="H318" s="115"/>
      <c r="I318" s="118"/>
      <c r="J318" s="118"/>
      <c r="K318" s="118"/>
      <c r="L318" s="118"/>
      <c r="M318" s="118"/>
      <c r="N318" s="118"/>
      <c r="O318" s="118"/>
      <c r="P318" s="118"/>
      <c r="Q318" s="118"/>
      <c r="R318" s="118"/>
      <c r="S318" s="118"/>
      <c r="T318" s="118"/>
      <c r="U318" s="118"/>
      <c r="V318" s="118"/>
      <c r="W318" s="118"/>
      <c r="X318" s="118"/>
      <c r="Y318" s="118"/>
      <c r="Z318" s="118"/>
      <c r="AA318" s="118"/>
    </row>
    <row r="319" spans="1:27">
      <c r="A319" s="118"/>
      <c r="B319" s="118"/>
      <c r="C319" s="1200"/>
      <c r="D319" s="338" t="s">
        <v>3153</v>
      </c>
      <c r="E319" s="340">
        <v>1.9969661641904346</v>
      </c>
      <c r="F319" s="336">
        <v>8.2095217438455693E-3</v>
      </c>
      <c r="G319" s="115"/>
      <c r="H319" s="115"/>
      <c r="I319" s="118"/>
      <c r="J319" s="118"/>
      <c r="K319" s="118"/>
      <c r="L319" s="118"/>
      <c r="M319" s="118"/>
      <c r="N319" s="118"/>
      <c r="O319" s="118"/>
      <c r="P319" s="118"/>
      <c r="Q319" s="118"/>
      <c r="R319" s="118"/>
      <c r="S319" s="118"/>
      <c r="T319" s="118"/>
      <c r="U319" s="118"/>
      <c r="V319" s="118"/>
      <c r="W319" s="118"/>
      <c r="X319" s="118"/>
      <c r="Y319" s="118"/>
      <c r="Z319" s="118"/>
      <c r="AA319" s="118"/>
    </row>
    <row r="320" spans="1:27">
      <c r="A320" s="118"/>
      <c r="B320" s="118"/>
      <c r="C320" s="1199" t="s">
        <v>3182</v>
      </c>
      <c r="D320" s="338" t="s">
        <v>3166</v>
      </c>
      <c r="E320" s="340">
        <v>9.796299846625768</v>
      </c>
      <c r="F320" s="336">
        <v>0.10884777607361965</v>
      </c>
      <c r="G320" s="115"/>
      <c r="H320" s="115"/>
      <c r="I320" s="118"/>
      <c r="J320" s="118"/>
      <c r="K320" s="118"/>
      <c r="L320" s="118"/>
      <c r="M320" s="118"/>
      <c r="N320" s="118"/>
      <c r="O320" s="118"/>
      <c r="P320" s="118"/>
      <c r="Q320" s="118"/>
      <c r="R320" s="118"/>
      <c r="S320" s="118"/>
      <c r="T320" s="118"/>
      <c r="U320" s="118"/>
      <c r="V320" s="118"/>
      <c r="W320" s="118"/>
      <c r="X320" s="118"/>
      <c r="Y320" s="118"/>
      <c r="Z320" s="118"/>
      <c r="AA320" s="118"/>
    </row>
    <row r="321" spans="1:27">
      <c r="A321" s="118"/>
      <c r="B321" s="118"/>
      <c r="C321" s="1187"/>
      <c r="D321" s="338" t="s">
        <v>3167</v>
      </c>
      <c r="E321" s="340">
        <v>2.7211944018404908</v>
      </c>
      <c r="F321" s="339">
        <v>1.4820043357715906</v>
      </c>
      <c r="G321" s="115"/>
      <c r="H321" s="115"/>
      <c r="I321" s="118"/>
      <c r="J321" s="118"/>
      <c r="K321" s="118"/>
      <c r="L321" s="118"/>
      <c r="M321" s="118"/>
      <c r="N321" s="118"/>
      <c r="O321" s="118"/>
      <c r="P321" s="118"/>
      <c r="Q321" s="118"/>
      <c r="R321" s="118"/>
      <c r="S321" s="118"/>
      <c r="T321" s="118"/>
      <c r="U321" s="118"/>
      <c r="V321" s="118"/>
      <c r="W321" s="118"/>
      <c r="X321" s="118"/>
      <c r="Y321" s="118"/>
      <c r="Z321" s="118"/>
      <c r="AA321" s="118"/>
    </row>
    <row r="322" spans="1:27">
      <c r="A322" s="118"/>
      <c r="B322" s="118"/>
      <c r="C322" s="1187"/>
      <c r="D322" s="338" t="s">
        <v>1211</v>
      </c>
      <c r="E322" s="337">
        <v>0.7276145829820243</v>
      </c>
      <c r="F322" s="336">
        <v>0.66059745033894302</v>
      </c>
      <c r="G322" s="115"/>
      <c r="H322" s="115"/>
      <c r="I322" s="118"/>
      <c r="J322" s="118"/>
      <c r="K322" s="118"/>
      <c r="L322" s="118"/>
      <c r="M322" s="118"/>
      <c r="N322" s="118"/>
      <c r="O322" s="118"/>
      <c r="P322" s="118"/>
      <c r="Q322" s="118"/>
      <c r="R322" s="118"/>
      <c r="S322" s="118"/>
      <c r="T322" s="118"/>
      <c r="U322" s="118"/>
      <c r="V322" s="118"/>
      <c r="W322" s="118"/>
      <c r="X322" s="118"/>
      <c r="Y322" s="118"/>
      <c r="Z322" s="118"/>
      <c r="AA322" s="118"/>
    </row>
    <row r="323" spans="1:27" ht="13.5" thickBot="1">
      <c r="A323" s="118"/>
      <c r="B323" s="118"/>
      <c r="C323" s="1188"/>
      <c r="D323" s="335" t="s">
        <v>3153</v>
      </c>
      <c r="E323" s="334">
        <v>0.43305227198785373</v>
      </c>
      <c r="F323" s="333">
        <v>0.6054522286086107</v>
      </c>
      <c r="G323" s="115"/>
      <c r="H323" s="115"/>
      <c r="I323" s="118"/>
      <c r="J323" s="118"/>
      <c r="K323" s="118"/>
      <c r="L323" s="118"/>
      <c r="M323" s="118"/>
      <c r="N323" s="118"/>
      <c r="O323" s="118"/>
      <c r="P323" s="118"/>
      <c r="Q323" s="118"/>
      <c r="R323" s="118"/>
      <c r="S323" s="118"/>
      <c r="T323" s="118"/>
      <c r="U323" s="118"/>
      <c r="V323" s="118"/>
      <c r="W323" s="118"/>
      <c r="X323" s="118"/>
      <c r="Y323" s="118"/>
      <c r="Z323" s="118"/>
      <c r="AA323" s="118"/>
    </row>
    <row r="324" spans="1:27">
      <c r="A324" s="118"/>
      <c r="B324" s="118"/>
      <c r="C324" s="332" t="s">
        <v>3183</v>
      </c>
      <c r="D324" s="116"/>
      <c r="E324" s="116"/>
      <c r="F324" s="116"/>
      <c r="G324" s="222"/>
      <c r="H324" s="222"/>
      <c r="I324" s="118"/>
      <c r="J324" s="118"/>
      <c r="K324" s="118"/>
      <c r="L324" s="118"/>
      <c r="M324" s="118"/>
      <c r="N324" s="118"/>
      <c r="O324" s="118"/>
      <c r="P324" s="118"/>
      <c r="Q324" s="118"/>
      <c r="R324" s="118"/>
      <c r="S324" s="118"/>
      <c r="T324" s="118"/>
      <c r="U324" s="118"/>
      <c r="V324" s="118"/>
      <c r="W324" s="118"/>
      <c r="X324" s="118"/>
      <c r="Y324" s="118"/>
      <c r="Z324" s="118"/>
      <c r="AA324" s="118"/>
    </row>
    <row r="325" spans="1:27">
      <c r="A325" s="118"/>
      <c r="B325" s="118"/>
      <c r="C325" s="331" t="s">
        <v>3160</v>
      </c>
      <c r="D325" s="116"/>
      <c r="E325" s="116"/>
      <c r="F325" s="116"/>
      <c r="G325" s="222"/>
      <c r="H325" s="222"/>
      <c r="I325" s="118"/>
      <c r="J325" s="118"/>
      <c r="K325" s="118"/>
      <c r="L325" s="118"/>
      <c r="M325" s="118"/>
      <c r="N325" s="118"/>
      <c r="O325" s="118"/>
      <c r="P325" s="118"/>
      <c r="Q325" s="118"/>
      <c r="R325" s="118"/>
      <c r="S325" s="118"/>
      <c r="T325" s="118"/>
      <c r="U325" s="118"/>
      <c r="V325" s="118"/>
      <c r="W325" s="118"/>
      <c r="X325" s="118"/>
      <c r="Y325" s="118"/>
      <c r="Z325" s="118"/>
      <c r="AA325" s="118"/>
    </row>
    <row r="326" spans="1:27" ht="54.95" customHeight="1">
      <c r="A326" s="118"/>
      <c r="B326" s="330"/>
      <c r="C326" s="1177" t="s">
        <v>3184</v>
      </c>
      <c r="D326" s="1177"/>
      <c r="E326" s="1177"/>
      <c r="F326" s="1177"/>
      <c r="G326" s="1177"/>
      <c r="H326" s="1177"/>
      <c r="I326" s="118"/>
      <c r="J326" s="118"/>
      <c r="K326" s="118"/>
      <c r="L326" s="118"/>
      <c r="M326" s="118"/>
      <c r="N326" s="118"/>
      <c r="O326" s="118"/>
      <c r="P326" s="118"/>
      <c r="Q326" s="118"/>
      <c r="R326" s="118"/>
      <c r="S326" s="118"/>
      <c r="T326" s="118"/>
      <c r="U326" s="118"/>
      <c r="V326" s="118"/>
      <c r="W326" s="118"/>
      <c r="X326" s="118"/>
      <c r="Y326" s="118"/>
      <c r="Z326" s="118"/>
      <c r="AA326" s="118"/>
    </row>
    <row r="327" spans="1:27">
      <c r="A327" s="118"/>
      <c r="B327" s="170"/>
      <c r="C327" s="116"/>
      <c r="D327" s="116"/>
      <c r="E327" s="116"/>
      <c r="F327" s="116"/>
      <c r="G327" s="116"/>
      <c r="H327" s="116"/>
      <c r="I327" s="116"/>
      <c r="J327" s="116"/>
      <c r="K327" s="116"/>
      <c r="L327" s="171"/>
      <c r="M327" s="171"/>
      <c r="N327" s="118"/>
      <c r="O327" s="118"/>
      <c r="P327" s="118"/>
      <c r="Q327" s="118"/>
      <c r="R327" s="118"/>
      <c r="S327" s="118"/>
      <c r="T327" s="118"/>
      <c r="U327" s="118"/>
      <c r="V327" s="118"/>
      <c r="W327" s="118"/>
      <c r="X327" s="118"/>
      <c r="Y327" s="118"/>
      <c r="Z327" s="118"/>
      <c r="AA327" s="118"/>
    </row>
    <row r="328" spans="1:27" s="113" customFormat="1" ht="15.75">
      <c r="A328" s="114"/>
      <c r="B328" s="329" t="s">
        <v>3185</v>
      </c>
      <c r="C328" s="328" t="s">
        <v>3186</v>
      </c>
      <c r="D328" s="327"/>
      <c r="E328" s="327"/>
      <c r="F328" s="326"/>
      <c r="G328" s="153"/>
      <c r="H328" s="153"/>
      <c r="I328" s="153"/>
      <c r="J328" s="153"/>
      <c r="K328" s="153"/>
      <c r="L328" s="152"/>
      <c r="M328" s="118"/>
      <c r="N328" s="114"/>
      <c r="O328" s="114"/>
      <c r="P328" s="114"/>
      <c r="Q328" s="114"/>
      <c r="R328" s="114"/>
      <c r="S328" s="114"/>
      <c r="T328" s="114"/>
      <c r="U328" s="114"/>
      <c r="V328" s="114"/>
      <c r="W328" s="114"/>
      <c r="X328" s="114"/>
      <c r="Y328" s="114"/>
      <c r="Z328" s="114"/>
      <c r="AA328" s="114"/>
    </row>
    <row r="329" spans="1:27" ht="13.5" thickBot="1">
      <c r="A329" s="118"/>
      <c r="B329" s="170"/>
      <c r="C329" s="325"/>
      <c r="D329" s="325"/>
      <c r="E329" s="325"/>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row>
    <row r="330" spans="1:27" ht="13.5" customHeight="1">
      <c r="A330" s="118"/>
      <c r="B330" s="170"/>
      <c r="C330" s="324"/>
      <c r="D330" s="323"/>
      <c r="E330" s="322" t="s">
        <v>3187</v>
      </c>
      <c r="F330" s="321"/>
      <c r="G330" s="320"/>
      <c r="H330" s="1196" t="s">
        <v>3188</v>
      </c>
      <c r="I330" s="1197"/>
      <c r="J330" s="1198"/>
      <c r="K330" s="144"/>
      <c r="L330" s="118"/>
      <c r="M330" s="118"/>
      <c r="N330" s="118"/>
      <c r="O330" s="118"/>
      <c r="P330" s="118"/>
      <c r="Q330" s="118"/>
      <c r="R330" s="118"/>
      <c r="S330" s="118"/>
      <c r="T330" s="118"/>
      <c r="U330" s="118"/>
      <c r="V330" s="118"/>
      <c r="W330" s="118"/>
      <c r="X330" s="118"/>
      <c r="Y330" s="118"/>
      <c r="Z330" s="118"/>
      <c r="AA330" s="118"/>
    </row>
    <row r="331" spans="1:27" ht="14.25">
      <c r="A331" s="118"/>
      <c r="B331" s="170"/>
      <c r="C331" s="319" t="s">
        <v>3189</v>
      </c>
      <c r="D331" s="318" t="s">
        <v>3190</v>
      </c>
      <c r="E331" s="317" t="s">
        <v>3002</v>
      </c>
      <c r="F331" s="316" t="s">
        <v>3003</v>
      </c>
      <c r="G331" s="315" t="s">
        <v>3004</v>
      </c>
      <c r="H331" s="317" t="s">
        <v>3002</v>
      </c>
      <c r="I331" s="316" t="s">
        <v>3003</v>
      </c>
      <c r="J331" s="315" t="s">
        <v>3004</v>
      </c>
      <c r="K331" s="118"/>
      <c r="L331" s="118"/>
      <c r="M331" s="118"/>
      <c r="N331" s="118"/>
      <c r="O331" s="118"/>
      <c r="P331" s="118"/>
      <c r="Q331" s="118"/>
      <c r="R331" s="118"/>
      <c r="S331" s="118"/>
      <c r="T331" s="118"/>
      <c r="U331" s="118"/>
      <c r="V331" s="118"/>
      <c r="W331" s="118"/>
      <c r="X331" s="118"/>
      <c r="Y331" s="118"/>
      <c r="Z331" s="118"/>
      <c r="AA331" s="118"/>
    </row>
    <row r="332" spans="1:27" ht="15" thickBot="1">
      <c r="A332" s="118"/>
      <c r="B332" s="170"/>
      <c r="C332" s="314"/>
      <c r="D332" s="313"/>
      <c r="E332" s="312" t="s">
        <v>3191</v>
      </c>
      <c r="F332" s="311" t="s">
        <v>3192</v>
      </c>
      <c r="G332" s="310" t="s">
        <v>3193</v>
      </c>
      <c r="H332" s="312" t="s">
        <v>3191</v>
      </c>
      <c r="I332" s="311" t="s">
        <v>3192</v>
      </c>
      <c r="J332" s="310" t="s">
        <v>3193</v>
      </c>
      <c r="K332" s="282"/>
      <c r="L332" s="118"/>
      <c r="M332" s="118"/>
      <c r="N332" s="118"/>
      <c r="O332" s="118"/>
      <c r="P332" s="118"/>
      <c r="Q332" s="118"/>
      <c r="R332" s="118"/>
      <c r="S332" s="118"/>
      <c r="T332" s="118"/>
      <c r="U332" s="118"/>
      <c r="V332" s="118"/>
      <c r="W332" s="118"/>
      <c r="X332" s="118"/>
      <c r="Y332" s="118"/>
      <c r="Z332" s="118"/>
      <c r="AA332" s="118"/>
    </row>
    <row r="333" spans="1:27">
      <c r="A333" s="118"/>
      <c r="B333" s="118"/>
      <c r="C333" s="309" t="s">
        <v>3194</v>
      </c>
      <c r="D333" s="308" t="s">
        <v>3195</v>
      </c>
      <c r="E333" s="306">
        <v>1052.114</v>
      </c>
      <c r="F333" s="305">
        <v>8.7999999999999995E-2</v>
      </c>
      <c r="G333" s="307">
        <v>1.2E-2</v>
      </c>
      <c r="H333" s="306">
        <v>1224.498</v>
      </c>
      <c r="I333" s="305">
        <v>0.123</v>
      </c>
      <c r="J333" s="304">
        <v>1.7000000000000001E-2</v>
      </c>
      <c r="K333" s="118"/>
      <c r="L333" s="118"/>
      <c r="M333" s="118"/>
      <c r="N333" s="282"/>
      <c r="O333" s="282"/>
      <c r="P333" s="282"/>
      <c r="Q333" s="118"/>
      <c r="R333" s="118"/>
      <c r="S333" s="118"/>
      <c r="T333" s="118"/>
      <c r="U333" s="118"/>
      <c r="V333" s="118"/>
      <c r="W333" s="118"/>
      <c r="X333" s="118"/>
      <c r="Y333" s="118"/>
      <c r="Z333" s="118"/>
      <c r="AA333" s="118"/>
    </row>
    <row r="334" spans="1:27">
      <c r="A334" s="118"/>
      <c r="B334" s="118"/>
      <c r="C334" s="303" t="s">
        <v>3196</v>
      </c>
      <c r="D334" s="302" t="s">
        <v>3197</v>
      </c>
      <c r="E334" s="300">
        <v>495.77199999999999</v>
      </c>
      <c r="F334" s="299">
        <v>2.3E-2</v>
      </c>
      <c r="G334" s="301">
        <v>4.0000000000000001E-3</v>
      </c>
      <c r="H334" s="300">
        <v>1587.893</v>
      </c>
      <c r="I334" s="299">
        <v>6.9000000000000006E-2</v>
      </c>
      <c r="J334" s="298">
        <v>1.2E-2</v>
      </c>
      <c r="K334" s="118"/>
      <c r="L334" s="118"/>
      <c r="M334" s="118"/>
      <c r="N334" s="282"/>
      <c r="O334" s="282"/>
      <c r="P334" s="282"/>
      <c r="Q334" s="118"/>
      <c r="R334" s="118"/>
      <c r="S334" s="118"/>
      <c r="T334" s="118"/>
      <c r="U334" s="118"/>
      <c r="V334" s="118"/>
      <c r="W334" s="118"/>
      <c r="X334" s="118"/>
      <c r="Y334" s="118"/>
      <c r="Z334" s="118"/>
      <c r="AA334" s="118"/>
    </row>
    <row r="335" spans="1:27">
      <c r="A335" s="118"/>
      <c r="B335" s="118"/>
      <c r="C335" s="303" t="s">
        <v>3198</v>
      </c>
      <c r="D335" s="302" t="s">
        <v>3199</v>
      </c>
      <c r="E335" s="300">
        <v>776.03599999999994</v>
      </c>
      <c r="F335" s="299">
        <v>5.0999999999999997E-2</v>
      </c>
      <c r="G335" s="301">
        <v>7.0000000000000001E-3</v>
      </c>
      <c r="H335" s="300">
        <v>1205.221</v>
      </c>
      <c r="I335" s="299">
        <v>6.5000000000000002E-2</v>
      </c>
      <c r="J335" s="298">
        <v>8.9999999999999993E-3</v>
      </c>
      <c r="K335" s="118"/>
      <c r="L335" s="118"/>
      <c r="M335" s="118"/>
      <c r="N335" s="282"/>
      <c r="O335" s="282"/>
      <c r="P335" s="282"/>
      <c r="Q335" s="118"/>
      <c r="R335" s="118"/>
      <c r="S335" s="118"/>
      <c r="T335" s="118"/>
      <c r="U335" s="118"/>
      <c r="V335" s="118"/>
      <c r="W335" s="118"/>
      <c r="X335" s="118"/>
      <c r="Y335" s="118"/>
      <c r="Z335" s="118"/>
      <c r="AA335" s="118"/>
    </row>
    <row r="336" spans="1:27">
      <c r="A336" s="118"/>
      <c r="B336" s="118"/>
      <c r="C336" s="303" t="s">
        <v>3200</v>
      </c>
      <c r="D336" s="302" t="s">
        <v>3201</v>
      </c>
      <c r="E336" s="300">
        <v>497.44299999999998</v>
      </c>
      <c r="F336" s="299">
        <v>0.03</v>
      </c>
      <c r="G336" s="301">
        <v>4.0000000000000001E-3</v>
      </c>
      <c r="H336" s="300">
        <v>1054.982</v>
      </c>
      <c r="I336" s="299">
        <v>4.9000000000000002E-2</v>
      </c>
      <c r="J336" s="298">
        <v>6.0000000000000001E-3</v>
      </c>
      <c r="K336" s="118"/>
      <c r="L336" s="118"/>
      <c r="M336" s="118"/>
      <c r="N336" s="282"/>
      <c r="O336" s="282"/>
      <c r="P336" s="282"/>
      <c r="Q336" s="118"/>
      <c r="R336" s="118"/>
      <c r="S336" s="118"/>
      <c r="T336" s="118"/>
      <c r="U336" s="118"/>
      <c r="V336" s="118"/>
      <c r="W336" s="118"/>
      <c r="X336" s="118"/>
      <c r="Y336" s="118"/>
      <c r="Z336" s="118"/>
      <c r="AA336" s="118"/>
    </row>
    <row r="337" spans="1:27">
      <c r="A337" s="118"/>
      <c r="B337" s="118"/>
      <c r="C337" s="303" t="s">
        <v>3202</v>
      </c>
      <c r="D337" s="302" t="s">
        <v>3203</v>
      </c>
      <c r="E337" s="300">
        <v>771.08299999999997</v>
      </c>
      <c r="F337" s="299">
        <v>4.9000000000000002E-2</v>
      </c>
      <c r="G337" s="301">
        <v>7.0000000000000001E-3</v>
      </c>
      <c r="H337" s="300">
        <v>1194.876</v>
      </c>
      <c r="I337" s="299">
        <v>6.7000000000000004E-2</v>
      </c>
      <c r="J337" s="298">
        <v>8.9999999999999993E-3</v>
      </c>
      <c r="K337" s="118"/>
      <c r="L337" s="118"/>
      <c r="M337" s="118"/>
      <c r="N337" s="282"/>
      <c r="O337" s="282"/>
      <c r="P337" s="282"/>
      <c r="Q337" s="118"/>
      <c r="R337" s="118"/>
      <c r="S337" s="118"/>
      <c r="T337" s="118"/>
      <c r="U337" s="118"/>
      <c r="V337" s="118"/>
      <c r="W337" s="118"/>
      <c r="X337" s="118"/>
      <c r="Y337" s="118"/>
      <c r="Z337" s="118"/>
      <c r="AA337" s="118"/>
    </row>
    <row r="338" spans="1:27">
      <c r="A338" s="118"/>
      <c r="B338" s="118"/>
      <c r="C338" s="303" t="s">
        <v>3204</v>
      </c>
      <c r="D338" s="302" t="s">
        <v>3205</v>
      </c>
      <c r="E338" s="300">
        <v>813.846</v>
      </c>
      <c r="F338" s="299">
        <v>4.8000000000000001E-2</v>
      </c>
      <c r="G338" s="301">
        <v>6.0000000000000001E-3</v>
      </c>
      <c r="H338" s="300">
        <v>1044.441</v>
      </c>
      <c r="I338" s="299">
        <v>5.6000000000000001E-2</v>
      </c>
      <c r="J338" s="298">
        <v>7.0000000000000001E-3</v>
      </c>
      <c r="K338" s="118"/>
      <c r="L338" s="118"/>
      <c r="M338" s="118"/>
      <c r="N338" s="282"/>
      <c r="O338" s="282"/>
      <c r="P338" s="282"/>
      <c r="Q338" s="118"/>
      <c r="R338" s="118"/>
      <c r="S338" s="118"/>
      <c r="T338" s="118"/>
      <c r="U338" s="118"/>
      <c r="V338" s="118"/>
      <c r="W338" s="118"/>
      <c r="X338" s="118"/>
      <c r="Y338" s="118"/>
      <c r="Z338" s="118"/>
      <c r="AA338" s="118"/>
    </row>
    <row r="339" spans="1:27">
      <c r="A339" s="118"/>
      <c r="B339" s="118"/>
      <c r="C339" s="303" t="s">
        <v>3206</v>
      </c>
      <c r="D339" s="302" t="s">
        <v>3207</v>
      </c>
      <c r="E339" s="300">
        <v>1155.4860000000001</v>
      </c>
      <c r="F339" s="299">
        <v>0.124</v>
      </c>
      <c r="G339" s="301">
        <v>1.9E-2</v>
      </c>
      <c r="H339" s="300">
        <v>1619.21</v>
      </c>
      <c r="I339" s="299">
        <v>0.157</v>
      </c>
      <c r="J339" s="298">
        <v>2.5000000000000001E-2</v>
      </c>
      <c r="K339" s="118"/>
      <c r="L339" s="118"/>
      <c r="M339" s="118"/>
      <c r="N339" s="282"/>
      <c r="O339" s="282"/>
      <c r="P339" s="282"/>
      <c r="Q339" s="118"/>
      <c r="R339" s="118"/>
      <c r="S339" s="118"/>
      <c r="T339" s="118"/>
      <c r="U339" s="118"/>
      <c r="V339" s="118"/>
      <c r="W339" s="118"/>
      <c r="X339" s="118"/>
      <c r="Y339" s="118"/>
      <c r="Z339" s="118"/>
      <c r="AA339" s="118"/>
    </row>
    <row r="340" spans="1:27">
      <c r="A340" s="118"/>
      <c r="B340" s="118"/>
      <c r="C340" s="303" t="s">
        <v>3208</v>
      </c>
      <c r="D340" s="302" t="s">
        <v>3209</v>
      </c>
      <c r="E340" s="300">
        <v>1575.4069999999999</v>
      </c>
      <c r="F340" s="299">
        <v>0.16300000000000001</v>
      </c>
      <c r="G340" s="301">
        <v>2.5000000000000001E-2</v>
      </c>
      <c r="H340" s="300">
        <v>1810.29</v>
      </c>
      <c r="I340" s="299">
        <v>0.17699999999999999</v>
      </c>
      <c r="J340" s="298">
        <v>2.8000000000000001E-2</v>
      </c>
      <c r="K340" s="118"/>
      <c r="L340" s="118"/>
      <c r="M340" s="118"/>
      <c r="N340" s="282"/>
      <c r="O340" s="282"/>
      <c r="P340" s="282"/>
      <c r="Q340" s="118"/>
      <c r="R340" s="118"/>
      <c r="S340" s="118"/>
      <c r="T340" s="118"/>
      <c r="U340" s="118"/>
      <c r="V340" s="118"/>
      <c r="W340" s="118"/>
      <c r="X340" s="118"/>
      <c r="Y340" s="118"/>
      <c r="Z340" s="118"/>
      <c r="AA340" s="118"/>
    </row>
    <row r="341" spans="1:27">
      <c r="A341" s="118"/>
      <c r="B341" s="118"/>
      <c r="C341" s="303" t="s">
        <v>3210</v>
      </c>
      <c r="D341" s="302" t="s">
        <v>3211</v>
      </c>
      <c r="E341" s="300">
        <v>1479.6210000000001</v>
      </c>
      <c r="F341" s="299">
        <v>0.13300000000000001</v>
      </c>
      <c r="G341" s="301">
        <v>1.9E-2</v>
      </c>
      <c r="H341" s="300">
        <v>1672.86</v>
      </c>
      <c r="I341" s="299">
        <v>0.14699999999999999</v>
      </c>
      <c r="J341" s="298">
        <v>2.1000000000000001E-2</v>
      </c>
      <c r="K341" s="118"/>
      <c r="L341" s="118"/>
      <c r="M341" s="118"/>
      <c r="N341" s="282"/>
      <c r="O341" s="282"/>
      <c r="P341" s="282"/>
      <c r="Q341" s="118"/>
      <c r="R341" s="118"/>
      <c r="S341" s="118"/>
      <c r="T341" s="118"/>
      <c r="U341" s="118"/>
      <c r="V341" s="118"/>
      <c r="W341" s="118"/>
      <c r="X341" s="118"/>
      <c r="Y341" s="118"/>
      <c r="Z341" s="118"/>
      <c r="AA341" s="118"/>
    </row>
    <row r="342" spans="1:27">
      <c r="A342" s="118"/>
      <c r="B342" s="118"/>
      <c r="C342" s="303" t="s">
        <v>3212</v>
      </c>
      <c r="D342" s="302" t="s">
        <v>3213</v>
      </c>
      <c r="E342" s="300">
        <v>936.48500000000001</v>
      </c>
      <c r="F342" s="299">
        <v>0.10199999999999999</v>
      </c>
      <c r="G342" s="301">
        <v>1.4999999999999999E-2</v>
      </c>
      <c r="H342" s="300">
        <v>1794.6659999999999</v>
      </c>
      <c r="I342" s="299">
        <v>0.183</v>
      </c>
      <c r="J342" s="298">
        <v>2.5999999999999999E-2</v>
      </c>
      <c r="K342" s="118"/>
      <c r="L342" s="118"/>
      <c r="M342" s="118"/>
      <c r="N342" s="282"/>
      <c r="O342" s="282"/>
      <c r="P342" s="282"/>
      <c r="Q342" s="118"/>
      <c r="R342" s="118"/>
      <c r="S342" s="118"/>
      <c r="T342" s="118"/>
      <c r="U342" s="118"/>
      <c r="V342" s="118"/>
      <c r="W342" s="118"/>
      <c r="X342" s="118"/>
      <c r="Y342" s="118"/>
      <c r="Z342" s="118"/>
      <c r="AA342" s="118"/>
    </row>
    <row r="343" spans="1:27">
      <c r="A343" s="118"/>
      <c r="B343" s="118"/>
      <c r="C343" s="303" t="s">
        <v>3214</v>
      </c>
      <c r="D343" s="302" t="s">
        <v>3215</v>
      </c>
      <c r="E343" s="300">
        <v>536.428</v>
      </c>
      <c r="F343" s="299">
        <v>6.3E-2</v>
      </c>
      <c r="G343" s="301">
        <v>8.0000000000000002E-3</v>
      </c>
      <c r="H343" s="300">
        <v>923.34799999999996</v>
      </c>
      <c r="I343" s="299">
        <v>7.2999999999999995E-2</v>
      </c>
      <c r="J343" s="298">
        <v>0.01</v>
      </c>
      <c r="K343" s="118"/>
      <c r="L343" s="118"/>
      <c r="M343" s="118"/>
      <c r="N343" s="282"/>
      <c r="O343" s="282"/>
      <c r="P343" s="282"/>
      <c r="Q343" s="118"/>
      <c r="R343" s="118"/>
      <c r="S343" s="118"/>
      <c r="T343" s="118"/>
      <c r="U343" s="118"/>
      <c r="V343" s="118"/>
      <c r="W343" s="118"/>
      <c r="X343" s="118"/>
      <c r="Y343" s="118"/>
      <c r="Z343" s="118"/>
      <c r="AA343" s="118"/>
    </row>
    <row r="344" spans="1:27">
      <c r="A344" s="118"/>
      <c r="B344" s="118"/>
      <c r="C344" s="303" t="s">
        <v>3216</v>
      </c>
      <c r="D344" s="302" t="s">
        <v>3217</v>
      </c>
      <c r="E344" s="300">
        <v>602.08799999999997</v>
      </c>
      <c r="F344" s="299">
        <v>5.6000000000000001E-2</v>
      </c>
      <c r="G344" s="301">
        <v>8.0000000000000002E-3</v>
      </c>
      <c r="H344" s="300">
        <v>1515.6759999999999</v>
      </c>
      <c r="I344" s="299">
        <v>0.13400000000000001</v>
      </c>
      <c r="J344" s="298">
        <v>1.9E-2</v>
      </c>
      <c r="K344" s="118"/>
      <c r="L344" s="118"/>
      <c r="M344" s="118"/>
      <c r="N344" s="282"/>
      <c r="O344" s="282"/>
      <c r="P344" s="282"/>
      <c r="Q344" s="118"/>
      <c r="R344" s="118"/>
      <c r="S344" s="118"/>
      <c r="T344" s="118"/>
      <c r="U344" s="118"/>
      <c r="V344" s="118"/>
      <c r="W344" s="118"/>
      <c r="X344" s="118"/>
      <c r="Y344" s="118"/>
      <c r="Z344" s="118"/>
      <c r="AA344" s="118"/>
    </row>
    <row r="345" spans="1:27">
      <c r="A345" s="118"/>
      <c r="B345" s="118"/>
      <c r="C345" s="303" t="s">
        <v>3218</v>
      </c>
      <c r="D345" s="302" t="s">
        <v>3219</v>
      </c>
      <c r="E345" s="300">
        <v>885.23299999999995</v>
      </c>
      <c r="F345" s="299">
        <v>2.3E-2</v>
      </c>
      <c r="G345" s="301">
        <v>3.0000000000000001E-3</v>
      </c>
      <c r="H345" s="300">
        <v>971.78</v>
      </c>
      <c r="I345" s="299">
        <v>2.1000000000000001E-2</v>
      </c>
      <c r="J345" s="298">
        <v>2E-3</v>
      </c>
      <c r="K345" s="118"/>
      <c r="L345" s="118"/>
      <c r="M345" s="118"/>
      <c r="N345" s="282"/>
      <c r="O345" s="282"/>
      <c r="P345" s="282"/>
      <c r="Q345" s="118"/>
      <c r="R345" s="118"/>
      <c r="S345" s="118"/>
      <c r="T345" s="118"/>
      <c r="U345" s="118"/>
      <c r="V345" s="118"/>
      <c r="W345" s="118"/>
      <c r="X345" s="118"/>
      <c r="Y345" s="118"/>
      <c r="Z345" s="118"/>
      <c r="AA345" s="118"/>
    </row>
    <row r="346" spans="1:27">
      <c r="A346" s="118"/>
      <c r="B346" s="118"/>
      <c r="C346" s="303" t="s">
        <v>3220</v>
      </c>
      <c r="D346" s="302" t="s">
        <v>3221</v>
      </c>
      <c r="E346" s="300">
        <v>1200.7080000000001</v>
      </c>
      <c r="F346" s="299">
        <v>0.13500000000000001</v>
      </c>
      <c r="G346" s="301">
        <v>1.7999999999999999E-2</v>
      </c>
      <c r="H346" s="300">
        <v>1316.653</v>
      </c>
      <c r="I346" s="299">
        <v>3.9E-2</v>
      </c>
      <c r="J346" s="298">
        <v>5.0000000000000001E-3</v>
      </c>
      <c r="K346" s="118"/>
      <c r="L346" s="118"/>
      <c r="M346" s="118"/>
      <c r="N346" s="282"/>
      <c r="O346" s="282"/>
      <c r="P346" s="282"/>
      <c r="Q346" s="118"/>
      <c r="R346" s="118"/>
      <c r="S346" s="118"/>
      <c r="T346" s="118"/>
      <c r="U346" s="118"/>
      <c r="V346" s="118"/>
      <c r="W346" s="118"/>
      <c r="X346" s="118"/>
      <c r="Y346" s="118"/>
      <c r="Z346" s="118"/>
      <c r="AA346" s="118"/>
    </row>
    <row r="347" spans="1:27">
      <c r="A347" s="118"/>
      <c r="B347" s="118"/>
      <c r="C347" s="303" t="s">
        <v>3222</v>
      </c>
      <c r="D347" s="302" t="s">
        <v>3223</v>
      </c>
      <c r="E347" s="300">
        <v>274.55900000000003</v>
      </c>
      <c r="F347" s="299">
        <v>1.4999999999999999E-2</v>
      </c>
      <c r="G347" s="301">
        <v>2E-3</v>
      </c>
      <c r="H347" s="300">
        <v>920.11500000000001</v>
      </c>
      <c r="I347" s="299">
        <v>4.2999999999999997E-2</v>
      </c>
      <c r="J347" s="298">
        <v>5.0000000000000001E-3</v>
      </c>
      <c r="K347" s="118"/>
      <c r="L347" s="118"/>
      <c r="M347" s="118"/>
      <c r="N347" s="282"/>
      <c r="O347" s="282"/>
      <c r="P347" s="282"/>
      <c r="Q347" s="118"/>
      <c r="R347" s="118"/>
      <c r="S347" s="118"/>
      <c r="T347" s="118"/>
      <c r="U347" s="118"/>
      <c r="V347" s="118"/>
      <c r="W347" s="118"/>
      <c r="X347" s="118"/>
      <c r="Y347" s="118"/>
      <c r="Z347" s="118"/>
      <c r="AA347" s="118"/>
    </row>
    <row r="348" spans="1:27">
      <c r="A348" s="118"/>
      <c r="B348" s="118"/>
      <c r="C348" s="303" t="s">
        <v>3224</v>
      </c>
      <c r="D348" s="302" t="s">
        <v>3225</v>
      </c>
      <c r="E348" s="300">
        <v>1593.481</v>
      </c>
      <c r="F348" s="299">
        <v>8.6999999999999994E-2</v>
      </c>
      <c r="G348" s="301">
        <v>1.4E-2</v>
      </c>
      <c r="H348" s="300">
        <v>1670.902</v>
      </c>
      <c r="I348" s="299">
        <v>7.3999999999999996E-2</v>
      </c>
      <c r="J348" s="298">
        <v>1.2999999999999999E-2</v>
      </c>
      <c r="K348" s="118"/>
      <c r="L348" s="118"/>
      <c r="M348" s="118"/>
      <c r="N348" s="282"/>
      <c r="O348" s="282"/>
      <c r="P348" s="282"/>
      <c r="Q348" s="118"/>
      <c r="R348" s="118"/>
      <c r="S348" s="118"/>
      <c r="T348" s="118"/>
      <c r="U348" s="118"/>
      <c r="V348" s="118"/>
      <c r="W348" s="118"/>
      <c r="X348" s="118"/>
      <c r="Y348" s="118"/>
      <c r="Z348" s="118"/>
      <c r="AA348" s="118"/>
    </row>
    <row r="349" spans="1:27">
      <c r="A349" s="118"/>
      <c r="B349" s="118"/>
      <c r="C349" s="303" t="s">
        <v>3226</v>
      </c>
      <c r="D349" s="302" t="s">
        <v>3227</v>
      </c>
      <c r="E349" s="300">
        <v>657.38599999999997</v>
      </c>
      <c r="F349" s="299">
        <v>4.4999999999999998E-2</v>
      </c>
      <c r="G349" s="301">
        <v>6.0000000000000001E-3</v>
      </c>
      <c r="H349" s="300">
        <v>1278.704</v>
      </c>
      <c r="I349" s="299">
        <v>9.7000000000000003E-2</v>
      </c>
      <c r="J349" s="298">
        <v>1.2999999999999999E-2</v>
      </c>
      <c r="K349" s="118"/>
      <c r="L349" s="118"/>
      <c r="M349" s="118"/>
      <c r="N349" s="282"/>
      <c r="O349" s="282"/>
      <c r="P349" s="282"/>
      <c r="Q349" s="118"/>
      <c r="R349" s="118"/>
      <c r="S349" s="118"/>
      <c r="T349" s="118"/>
      <c r="U349" s="118"/>
      <c r="V349" s="118"/>
      <c r="W349" s="118"/>
      <c r="X349" s="118"/>
      <c r="Y349" s="118"/>
      <c r="Z349" s="118"/>
      <c r="AA349" s="118"/>
    </row>
    <row r="350" spans="1:27">
      <c r="A350" s="118"/>
      <c r="B350" s="118"/>
      <c r="C350" s="303" t="s">
        <v>3228</v>
      </c>
      <c r="D350" s="302" t="s">
        <v>3229</v>
      </c>
      <c r="E350" s="300">
        <v>1216.404</v>
      </c>
      <c r="F350" s="299">
        <v>0.11600000000000001</v>
      </c>
      <c r="G350" s="301">
        <v>1.6E-2</v>
      </c>
      <c r="H350" s="300">
        <v>1597.326</v>
      </c>
      <c r="I350" s="299">
        <v>0.14899999999999999</v>
      </c>
      <c r="J350" s="298">
        <v>2.1000000000000001E-2</v>
      </c>
      <c r="K350" s="118"/>
      <c r="L350" s="118"/>
      <c r="M350" s="118"/>
      <c r="N350" s="282"/>
      <c r="O350" s="282"/>
      <c r="P350" s="282"/>
      <c r="Q350" s="118"/>
      <c r="R350" s="118"/>
      <c r="S350" s="118"/>
      <c r="T350" s="118"/>
      <c r="U350" s="118"/>
      <c r="V350" s="118"/>
      <c r="W350" s="118"/>
      <c r="X350" s="118"/>
      <c r="Y350" s="118"/>
      <c r="Z350" s="118"/>
      <c r="AA350" s="118"/>
    </row>
    <row r="351" spans="1:27">
      <c r="A351" s="118"/>
      <c r="B351" s="118"/>
      <c r="C351" s="303" t="s">
        <v>3230</v>
      </c>
      <c r="D351" s="302" t="s">
        <v>3231</v>
      </c>
      <c r="E351" s="300">
        <v>1000.053</v>
      </c>
      <c r="F351" s="299">
        <v>8.6999999999999994E-2</v>
      </c>
      <c r="G351" s="301">
        <v>1.2E-2</v>
      </c>
      <c r="H351" s="300">
        <v>1843.5909999999999</v>
      </c>
      <c r="I351" s="299">
        <v>0.17799999999999999</v>
      </c>
      <c r="J351" s="298">
        <v>2.5999999999999999E-2</v>
      </c>
      <c r="K351" s="118"/>
      <c r="L351" s="118"/>
      <c r="M351" s="118"/>
      <c r="N351" s="282"/>
      <c r="O351" s="282"/>
      <c r="P351" s="282"/>
      <c r="Q351" s="118"/>
      <c r="R351" s="118"/>
      <c r="S351" s="118"/>
      <c r="T351" s="118"/>
      <c r="U351" s="118"/>
      <c r="V351" s="118"/>
      <c r="W351" s="118"/>
      <c r="X351" s="118"/>
      <c r="Y351" s="118"/>
      <c r="Z351" s="118"/>
      <c r="AA351" s="118"/>
    </row>
    <row r="352" spans="1:27">
      <c r="A352" s="118"/>
      <c r="B352" s="118"/>
      <c r="C352" s="303" t="s">
        <v>3232</v>
      </c>
      <c r="D352" s="302" t="s">
        <v>3233</v>
      </c>
      <c r="E352" s="300">
        <v>1124.8869999999999</v>
      </c>
      <c r="F352" s="299">
        <v>0.10100000000000001</v>
      </c>
      <c r="G352" s="301">
        <v>1.4E-2</v>
      </c>
      <c r="H352" s="300">
        <v>1676.39</v>
      </c>
      <c r="I352" s="299">
        <v>0.129</v>
      </c>
      <c r="J352" s="298">
        <v>1.7999999999999999E-2</v>
      </c>
      <c r="K352" s="118"/>
      <c r="L352" s="118"/>
      <c r="M352" s="118"/>
      <c r="N352" s="282"/>
      <c r="O352" s="282"/>
      <c r="P352" s="282"/>
      <c r="Q352" s="118"/>
      <c r="R352" s="118"/>
      <c r="S352" s="118"/>
      <c r="T352" s="118"/>
      <c r="U352" s="118"/>
      <c r="V352" s="118"/>
      <c r="W352" s="118"/>
      <c r="X352" s="118"/>
      <c r="Y352" s="118"/>
      <c r="Z352" s="118"/>
      <c r="AA352" s="118"/>
    </row>
    <row r="353" spans="1:27">
      <c r="A353" s="118"/>
      <c r="B353" s="118"/>
      <c r="C353" s="303" t="s">
        <v>3234</v>
      </c>
      <c r="D353" s="302" t="s">
        <v>3235</v>
      </c>
      <c r="E353" s="300">
        <v>952.57500000000005</v>
      </c>
      <c r="F353" s="299">
        <v>0.1</v>
      </c>
      <c r="G353" s="301">
        <v>1.4E-2</v>
      </c>
      <c r="H353" s="300">
        <v>1942.9760000000001</v>
      </c>
      <c r="I353" s="299">
        <v>0.19800000000000001</v>
      </c>
      <c r="J353" s="298">
        <v>2.9000000000000001E-2</v>
      </c>
      <c r="K353" s="118"/>
      <c r="L353" s="118"/>
      <c r="M353" s="118"/>
      <c r="N353" s="282"/>
      <c r="O353" s="282"/>
      <c r="P353" s="282"/>
      <c r="Q353" s="118"/>
      <c r="R353" s="118"/>
      <c r="S353" s="118"/>
      <c r="T353" s="118"/>
      <c r="U353" s="118"/>
      <c r="V353" s="118"/>
      <c r="W353" s="118"/>
      <c r="X353" s="118"/>
      <c r="Y353" s="118"/>
      <c r="Z353" s="118"/>
      <c r="AA353" s="118"/>
    </row>
    <row r="354" spans="1:27">
      <c r="A354" s="118"/>
      <c r="B354" s="118"/>
      <c r="C354" s="303" t="s">
        <v>3236</v>
      </c>
      <c r="D354" s="302" t="s">
        <v>3237</v>
      </c>
      <c r="E354" s="300">
        <v>970.39800000000002</v>
      </c>
      <c r="F354" s="299">
        <v>7.1999999999999995E-2</v>
      </c>
      <c r="G354" s="301">
        <v>0.01</v>
      </c>
      <c r="H354" s="300">
        <v>1528.1679999999999</v>
      </c>
      <c r="I354" s="299">
        <v>0.105</v>
      </c>
      <c r="J354" s="298">
        <v>1.4999999999999999E-2</v>
      </c>
      <c r="K354" s="118"/>
      <c r="L354" s="118"/>
      <c r="M354" s="118"/>
      <c r="N354" s="282"/>
      <c r="O354" s="282"/>
      <c r="P354" s="282"/>
      <c r="Q354" s="118"/>
      <c r="R354" s="118"/>
      <c r="S354" s="118"/>
      <c r="T354" s="118"/>
      <c r="U354" s="118"/>
      <c r="V354" s="118"/>
      <c r="W354" s="118"/>
      <c r="X354" s="118"/>
      <c r="Y354" s="118"/>
      <c r="Z354" s="118"/>
      <c r="AA354" s="118"/>
    </row>
    <row r="355" spans="1:27">
      <c r="A355" s="118"/>
      <c r="B355" s="118"/>
      <c r="C355" s="303" t="s">
        <v>3238</v>
      </c>
      <c r="D355" s="302" t="s">
        <v>3239</v>
      </c>
      <c r="E355" s="300">
        <v>801.01499999999999</v>
      </c>
      <c r="F355" s="299">
        <v>0.04</v>
      </c>
      <c r="G355" s="301">
        <v>6.0000000000000001E-3</v>
      </c>
      <c r="H355" s="300">
        <v>1220.7380000000001</v>
      </c>
      <c r="I355" s="299">
        <v>7.2999999999999995E-2</v>
      </c>
      <c r="J355" s="298">
        <v>0.01</v>
      </c>
      <c r="K355" s="118"/>
      <c r="L355" s="118"/>
      <c r="M355" s="118"/>
      <c r="N355" s="282"/>
      <c r="O355" s="282"/>
      <c r="P355" s="282"/>
      <c r="Q355" s="118"/>
      <c r="R355" s="118"/>
      <c r="S355" s="118"/>
      <c r="T355" s="118"/>
      <c r="U355" s="118"/>
      <c r="V355" s="118"/>
      <c r="W355" s="118"/>
      <c r="X355" s="118"/>
      <c r="Y355" s="118"/>
      <c r="Z355" s="118"/>
      <c r="AA355" s="118"/>
    </row>
    <row r="356" spans="1:27">
      <c r="A356" s="118"/>
      <c r="B356" s="118"/>
      <c r="C356" s="303" t="s">
        <v>3240</v>
      </c>
      <c r="D356" s="302" t="s">
        <v>3241</v>
      </c>
      <c r="E356" s="300">
        <v>1369.8869999999999</v>
      </c>
      <c r="F356" s="299">
        <v>0.151</v>
      </c>
      <c r="G356" s="301">
        <v>2.1999999999999999E-2</v>
      </c>
      <c r="H356" s="300">
        <v>1808.6210000000001</v>
      </c>
      <c r="I356" s="299">
        <v>0.186</v>
      </c>
      <c r="J356" s="298">
        <v>2.7E-2</v>
      </c>
      <c r="K356" s="118"/>
      <c r="L356" s="118"/>
      <c r="M356" s="118"/>
      <c r="N356" s="282"/>
      <c r="O356" s="282"/>
      <c r="P356" s="282"/>
      <c r="Q356" s="118"/>
      <c r="R356" s="118"/>
      <c r="S356" s="118"/>
      <c r="T356" s="118"/>
      <c r="U356" s="118"/>
      <c r="V356" s="118"/>
      <c r="W356" s="118"/>
      <c r="X356" s="118"/>
      <c r="Y356" s="118"/>
      <c r="Z356" s="118"/>
      <c r="AA356" s="118"/>
    </row>
    <row r="357" spans="1:27">
      <c r="A357" s="118"/>
      <c r="B357" s="118"/>
      <c r="C357" s="303" t="s">
        <v>3242</v>
      </c>
      <c r="D357" s="302" t="s">
        <v>3243</v>
      </c>
      <c r="E357" s="300">
        <v>893.29</v>
      </c>
      <c r="F357" s="299">
        <v>6.4000000000000001E-2</v>
      </c>
      <c r="G357" s="301">
        <v>8.9999999999999993E-3</v>
      </c>
      <c r="H357" s="300">
        <v>1354.798</v>
      </c>
      <c r="I357" s="299">
        <v>9.1999999999999998E-2</v>
      </c>
      <c r="J357" s="298">
        <v>1.2999999999999999E-2</v>
      </c>
      <c r="K357" s="118"/>
      <c r="L357" s="118"/>
      <c r="M357" s="118"/>
      <c r="N357" s="282"/>
      <c r="O357" s="282"/>
      <c r="P357" s="282"/>
      <c r="Q357" s="118"/>
      <c r="R357" s="118"/>
      <c r="S357" s="118"/>
      <c r="T357" s="118"/>
      <c r="U357" s="118"/>
      <c r="V357" s="118"/>
      <c r="W357" s="118"/>
      <c r="X357" s="118"/>
      <c r="Y357" s="118"/>
      <c r="Z357" s="118"/>
      <c r="AA357" s="118"/>
    </row>
    <row r="358" spans="1:27">
      <c r="A358" s="118"/>
      <c r="B358" s="118"/>
      <c r="C358" s="303" t="s">
        <v>3244</v>
      </c>
      <c r="D358" s="302" t="s">
        <v>3245</v>
      </c>
      <c r="E358" s="300">
        <v>933.06700000000001</v>
      </c>
      <c r="F358" s="299">
        <v>8.2000000000000003E-2</v>
      </c>
      <c r="G358" s="301">
        <v>1.2E-2</v>
      </c>
      <c r="H358" s="300">
        <v>1671.028</v>
      </c>
      <c r="I358" s="299">
        <v>0.152</v>
      </c>
      <c r="J358" s="298">
        <v>2.1999999999999999E-2</v>
      </c>
      <c r="K358" s="118"/>
      <c r="L358" s="118"/>
      <c r="M358" s="118"/>
      <c r="N358" s="282"/>
      <c r="O358" s="282"/>
      <c r="P358" s="282"/>
      <c r="Q358" s="118"/>
      <c r="R358" s="118"/>
      <c r="S358" s="118"/>
      <c r="T358" s="118"/>
      <c r="U358" s="118"/>
      <c r="V358" s="118"/>
      <c r="W358" s="118"/>
      <c r="X358" s="118"/>
      <c r="Y358" s="118"/>
      <c r="Z358" s="118"/>
      <c r="AA358" s="118"/>
    </row>
    <row r="359" spans="1:27">
      <c r="A359" s="118"/>
      <c r="B359" s="118"/>
      <c r="C359" s="303" t="s">
        <v>3246</v>
      </c>
      <c r="D359" s="302" t="s">
        <v>3247</v>
      </c>
      <c r="E359" s="300">
        <v>622.98699999999997</v>
      </c>
      <c r="F359" s="299">
        <v>4.7E-2</v>
      </c>
      <c r="G359" s="301">
        <v>7.0000000000000001E-3</v>
      </c>
      <c r="H359" s="300">
        <v>1308.837</v>
      </c>
      <c r="I359" s="299">
        <v>9.9000000000000005E-2</v>
      </c>
      <c r="J359" s="298">
        <v>1.4E-2</v>
      </c>
      <c r="K359" s="118"/>
      <c r="L359" s="118"/>
      <c r="M359" s="118"/>
      <c r="N359" s="282"/>
      <c r="O359" s="282"/>
      <c r="P359" s="282"/>
      <c r="Q359" s="118"/>
      <c r="R359" s="118"/>
      <c r="S359" s="118"/>
      <c r="T359" s="118"/>
      <c r="U359" s="118"/>
      <c r="V359" s="118"/>
      <c r="W359" s="118"/>
      <c r="X359" s="118"/>
      <c r="Y359" s="118"/>
      <c r="Z359" s="118"/>
      <c r="AA359" s="118"/>
    </row>
    <row r="360" spans="1:27" ht="13.5" thickBot="1">
      <c r="A360" s="118"/>
      <c r="B360" s="118"/>
      <c r="C360" s="297" t="s">
        <v>3248</v>
      </c>
      <c r="D360" s="296" t="s">
        <v>3248</v>
      </c>
      <c r="E360" s="294">
        <v>823.149</v>
      </c>
      <c r="F360" s="293">
        <v>6.6000000000000003E-2</v>
      </c>
      <c r="G360" s="295">
        <v>8.9999999999999993E-3</v>
      </c>
      <c r="H360" s="294">
        <v>1405.3219999999999</v>
      </c>
      <c r="I360" s="293">
        <v>0.107</v>
      </c>
      <c r="J360" s="292">
        <v>1.4999999999999999E-2</v>
      </c>
      <c r="K360" s="118"/>
      <c r="L360" s="118"/>
      <c r="M360" s="118"/>
      <c r="N360" s="282"/>
      <c r="O360" s="282"/>
      <c r="P360" s="282"/>
      <c r="Q360" s="118"/>
      <c r="R360" s="118"/>
      <c r="S360" s="118"/>
      <c r="T360" s="118"/>
      <c r="U360" s="118"/>
      <c r="V360" s="118"/>
      <c r="W360" s="118"/>
      <c r="X360" s="118"/>
      <c r="Y360" s="118"/>
      <c r="Z360" s="118"/>
      <c r="AA360" s="118"/>
    </row>
    <row r="361" spans="1:27">
      <c r="A361" s="118"/>
      <c r="B361" s="170"/>
      <c r="C361" s="291" t="s">
        <v>3249</v>
      </c>
      <c r="D361" s="290"/>
      <c r="E361" s="290"/>
      <c r="F361" s="289"/>
      <c r="G361" s="116"/>
      <c r="H361" s="116"/>
      <c r="I361" s="116"/>
      <c r="J361" s="118"/>
      <c r="K361" s="288"/>
      <c r="L361" s="288"/>
      <c r="M361" s="118"/>
      <c r="N361" s="118"/>
      <c r="O361" s="118"/>
      <c r="P361" s="118"/>
      <c r="Q361" s="118"/>
      <c r="R361" s="118"/>
      <c r="S361" s="118"/>
      <c r="T361" s="118"/>
      <c r="U361" s="118"/>
      <c r="V361" s="118"/>
      <c r="W361" s="118"/>
      <c r="X361" s="118"/>
      <c r="Y361" s="118"/>
      <c r="Z361" s="118"/>
      <c r="AA361" s="118"/>
    </row>
    <row r="362" spans="1:27" s="285" customFormat="1" ht="12">
      <c r="A362" s="157"/>
      <c r="B362" s="173"/>
      <c r="C362" s="284" t="s">
        <v>3250</v>
      </c>
      <c r="D362" s="116"/>
      <c r="E362" s="116"/>
      <c r="F362" s="116"/>
      <c r="G362" s="116"/>
      <c r="H362" s="116"/>
      <c r="I362" s="116"/>
      <c r="J362" s="157"/>
      <c r="K362" s="287"/>
      <c r="L362" s="286"/>
      <c r="M362" s="157"/>
      <c r="N362" s="157"/>
      <c r="O362" s="157"/>
      <c r="P362" s="157"/>
      <c r="Q362" s="157"/>
      <c r="R362" s="157"/>
      <c r="S362" s="157"/>
      <c r="T362" s="157"/>
      <c r="U362" s="157"/>
      <c r="V362" s="157"/>
      <c r="W362" s="157"/>
      <c r="X362" s="157"/>
      <c r="Y362" s="157"/>
      <c r="Z362" s="157"/>
      <c r="AA362" s="157"/>
    </row>
    <row r="363" spans="1:27">
      <c r="A363" s="118"/>
      <c r="B363" s="170"/>
      <c r="C363" s="1161" t="s">
        <v>3251</v>
      </c>
      <c r="D363" s="1162"/>
      <c r="E363" s="1162"/>
      <c r="F363" s="1162"/>
      <c r="G363" s="1162"/>
      <c r="H363" s="1162"/>
      <c r="I363" s="1162"/>
      <c r="J363" s="1162"/>
      <c r="K363" s="144"/>
      <c r="L363" s="118"/>
      <c r="M363" s="118"/>
      <c r="N363" s="118"/>
      <c r="O363" s="118"/>
      <c r="P363" s="118"/>
      <c r="Q363" s="118"/>
      <c r="R363" s="118"/>
      <c r="S363" s="118"/>
      <c r="T363" s="118"/>
      <c r="U363" s="118"/>
      <c r="V363" s="118"/>
      <c r="W363" s="118"/>
      <c r="X363" s="118"/>
      <c r="Y363" s="118"/>
      <c r="Z363" s="118"/>
      <c r="AA363" s="118"/>
    </row>
    <row r="364" spans="1:27" ht="36.75" customHeight="1">
      <c r="A364" s="118"/>
      <c r="B364" s="170"/>
      <c r="C364" s="1162" t="s">
        <v>3252</v>
      </c>
      <c r="D364" s="1162"/>
      <c r="E364" s="1162"/>
      <c r="F364" s="1162"/>
      <c r="G364" s="1162"/>
      <c r="H364" s="1162"/>
      <c r="I364" s="1162"/>
      <c r="J364" s="1162"/>
      <c r="K364" s="144"/>
      <c r="L364" s="118"/>
      <c r="M364" s="118"/>
      <c r="N364" s="118"/>
      <c r="O364" s="118"/>
      <c r="P364" s="118"/>
      <c r="Q364" s="118"/>
      <c r="R364" s="118"/>
      <c r="S364" s="118"/>
      <c r="T364" s="118"/>
      <c r="U364" s="118"/>
      <c r="V364" s="118"/>
      <c r="W364" s="118"/>
      <c r="X364" s="118"/>
      <c r="Y364" s="118"/>
      <c r="Z364" s="118"/>
      <c r="AA364" s="118"/>
    </row>
    <row r="365" spans="1:27">
      <c r="A365" s="118"/>
      <c r="B365" s="170"/>
      <c r="C365" s="284" t="s">
        <v>3253</v>
      </c>
      <c r="D365" s="220"/>
      <c r="E365" s="220"/>
      <c r="F365" s="220"/>
      <c r="G365" s="220"/>
      <c r="H365" s="220"/>
      <c r="I365" s="220"/>
      <c r="J365" s="220"/>
      <c r="K365" s="144"/>
      <c r="L365" s="118"/>
      <c r="M365" s="118"/>
      <c r="N365" s="118"/>
      <c r="O365" s="118"/>
      <c r="P365" s="118"/>
      <c r="Q365" s="118"/>
      <c r="R365" s="118"/>
      <c r="S365" s="118"/>
      <c r="T365" s="118"/>
      <c r="U365" s="118"/>
      <c r="V365" s="118"/>
      <c r="W365" s="118"/>
      <c r="X365" s="118"/>
      <c r="Y365" s="118"/>
      <c r="Z365" s="118"/>
      <c r="AA365" s="118"/>
    </row>
    <row r="366" spans="1:27">
      <c r="A366" s="118"/>
      <c r="B366" s="170"/>
      <c r="C366" s="172" t="s">
        <v>3110</v>
      </c>
      <c r="D366" s="116"/>
      <c r="E366" s="116"/>
      <c r="F366" s="116"/>
      <c r="G366" s="116"/>
      <c r="H366" s="116"/>
      <c r="I366" s="116"/>
      <c r="J366" s="116"/>
      <c r="K366" s="116"/>
      <c r="L366" s="171"/>
      <c r="M366" s="171"/>
      <c r="N366" s="118"/>
      <c r="O366" s="118"/>
      <c r="P366" s="118"/>
      <c r="Q366" s="118"/>
      <c r="R366" s="118"/>
      <c r="S366" s="118"/>
      <c r="T366" s="118"/>
      <c r="U366" s="118"/>
      <c r="V366" s="118"/>
      <c r="W366" s="118"/>
      <c r="X366" s="118"/>
      <c r="Y366" s="118"/>
      <c r="Z366" s="118"/>
      <c r="AA366" s="118"/>
    </row>
    <row r="367" spans="1:27">
      <c r="A367" s="118"/>
      <c r="B367" s="170"/>
      <c r="C367" s="281"/>
      <c r="D367" s="281"/>
      <c r="E367" s="281"/>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row>
    <row r="368" spans="1:27">
      <c r="A368" s="118"/>
      <c r="B368" s="170"/>
      <c r="C368" s="281"/>
      <c r="D368" s="281"/>
      <c r="E368" s="281"/>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row>
    <row r="369" spans="1:27">
      <c r="A369" s="118"/>
      <c r="B369" s="170"/>
      <c r="C369" s="281"/>
      <c r="D369" s="281"/>
      <c r="E369" s="281"/>
      <c r="F369" s="118"/>
      <c r="G369" s="118"/>
      <c r="H369" s="118"/>
      <c r="I369" s="283"/>
      <c r="J369" s="118"/>
      <c r="K369" s="118"/>
      <c r="L369" s="118"/>
      <c r="M369" s="118"/>
      <c r="N369" s="118"/>
      <c r="O369" s="118"/>
      <c r="P369" s="118"/>
      <c r="Q369" s="118"/>
      <c r="R369" s="118"/>
      <c r="S369" s="118"/>
      <c r="T369" s="118"/>
      <c r="U369" s="118"/>
      <c r="V369" s="118"/>
      <c r="W369" s="118"/>
      <c r="X369" s="118"/>
      <c r="Y369" s="118"/>
      <c r="Z369" s="118"/>
      <c r="AA369" s="118"/>
    </row>
    <row r="370" spans="1:27">
      <c r="A370" s="118"/>
      <c r="B370" s="170"/>
      <c r="C370" s="281"/>
      <c r="D370" s="281"/>
      <c r="E370" s="281"/>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row>
    <row r="371" spans="1:27">
      <c r="A371" s="118"/>
      <c r="B371" s="170"/>
      <c r="C371" s="281"/>
      <c r="D371" s="281"/>
      <c r="E371" s="281"/>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row>
    <row r="372" spans="1:27">
      <c r="A372" s="118"/>
      <c r="B372" s="170"/>
      <c r="C372" s="281"/>
      <c r="D372" s="281"/>
      <c r="E372" s="281"/>
      <c r="F372" s="118"/>
      <c r="G372" s="118"/>
      <c r="H372" s="118"/>
      <c r="I372" s="118"/>
      <c r="J372" s="118"/>
      <c r="K372" s="282"/>
      <c r="L372" s="118"/>
      <c r="M372" s="118"/>
      <c r="N372" s="118"/>
      <c r="O372" s="118"/>
      <c r="P372" s="118"/>
      <c r="Q372" s="118"/>
      <c r="R372" s="118"/>
      <c r="S372" s="118"/>
      <c r="T372" s="118"/>
      <c r="U372" s="118"/>
      <c r="V372" s="118"/>
      <c r="W372" s="118"/>
      <c r="X372" s="118"/>
      <c r="Y372" s="118"/>
      <c r="Z372" s="118"/>
      <c r="AA372" s="118"/>
    </row>
    <row r="373" spans="1:27">
      <c r="A373" s="118"/>
      <c r="B373" s="170"/>
      <c r="C373" s="281"/>
      <c r="D373" s="281"/>
      <c r="E373" s="281"/>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row>
    <row r="374" spans="1:27">
      <c r="A374" s="118"/>
      <c r="B374" s="170"/>
      <c r="C374" s="281"/>
      <c r="D374" s="281"/>
      <c r="E374" s="281"/>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row>
    <row r="375" spans="1:27">
      <c r="A375" s="118"/>
      <c r="B375" s="170"/>
      <c r="C375" s="281"/>
      <c r="D375" s="281"/>
      <c r="E375" s="281"/>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row>
    <row r="376" spans="1:27">
      <c r="A376" s="118"/>
      <c r="B376" s="170"/>
      <c r="C376" s="281"/>
      <c r="D376" s="281"/>
      <c r="E376" s="281"/>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row>
    <row r="377" spans="1:27">
      <c r="A377" s="118"/>
      <c r="B377" s="170"/>
      <c r="C377" s="281"/>
      <c r="D377" s="281"/>
      <c r="E377" s="281"/>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row>
    <row r="378" spans="1:27">
      <c r="A378" s="118"/>
      <c r="B378" s="170"/>
      <c r="C378" s="281"/>
      <c r="D378" s="281"/>
      <c r="E378" s="281"/>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row>
    <row r="379" spans="1:27">
      <c r="A379" s="118"/>
      <c r="B379" s="170"/>
      <c r="C379" s="281"/>
      <c r="D379" s="281"/>
      <c r="E379" s="281"/>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row>
    <row r="380" spans="1:27">
      <c r="A380" s="118"/>
      <c r="B380" s="170"/>
      <c r="C380" s="281"/>
      <c r="D380" s="281"/>
      <c r="E380" s="281"/>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row>
    <row r="381" spans="1:27">
      <c r="A381" s="118"/>
      <c r="B381" s="170"/>
      <c r="C381" s="281"/>
      <c r="D381" s="281"/>
      <c r="E381" s="281"/>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row>
    <row r="382" spans="1:27">
      <c r="A382" s="118"/>
      <c r="B382" s="170"/>
      <c r="C382" s="281"/>
      <c r="D382" s="281"/>
      <c r="E382" s="281"/>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row>
    <row r="383" spans="1:27">
      <c r="A383" s="118"/>
      <c r="B383" s="170"/>
      <c r="C383" s="281"/>
      <c r="D383" s="281"/>
      <c r="E383" s="281"/>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row>
    <row r="384" spans="1:27">
      <c r="A384" s="118"/>
      <c r="B384" s="170"/>
      <c r="C384" s="281"/>
      <c r="D384" s="281"/>
      <c r="E384" s="281"/>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row>
    <row r="385" spans="1:27">
      <c r="A385" s="118"/>
      <c r="B385" s="170"/>
      <c r="C385" s="281"/>
      <c r="D385" s="281"/>
      <c r="E385" s="281"/>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row>
    <row r="386" spans="1:27">
      <c r="A386" s="118"/>
      <c r="B386" s="170"/>
      <c r="C386" s="281"/>
      <c r="D386" s="281"/>
      <c r="E386" s="281"/>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row>
    <row r="387" spans="1:27">
      <c r="A387" s="118"/>
      <c r="B387" s="170"/>
      <c r="C387" s="281"/>
      <c r="D387" s="281"/>
      <c r="E387" s="281"/>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row>
    <row r="388" spans="1:27">
      <c r="A388" s="118"/>
      <c r="B388" s="170"/>
      <c r="C388" s="281"/>
      <c r="D388" s="281"/>
      <c r="E388" s="281"/>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row>
    <row r="389" spans="1:27">
      <c r="A389" s="118"/>
      <c r="B389" s="170"/>
      <c r="C389" s="281"/>
      <c r="D389" s="281"/>
      <c r="E389" s="281"/>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row>
    <row r="390" spans="1:27">
      <c r="A390" s="118"/>
      <c r="B390" s="170"/>
      <c r="C390" s="281"/>
      <c r="D390" s="281"/>
      <c r="E390" s="281"/>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row>
    <row r="391" spans="1:27">
      <c r="A391" s="118"/>
      <c r="B391" s="170"/>
      <c r="C391" s="281"/>
      <c r="D391" s="281"/>
      <c r="E391" s="281"/>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row>
    <row r="392" spans="1:27">
      <c r="A392" s="118"/>
      <c r="B392" s="170"/>
      <c r="C392" s="281"/>
      <c r="D392" s="281"/>
      <c r="E392" s="281"/>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row>
    <row r="393" spans="1:27">
      <c r="A393" s="118"/>
      <c r="B393" s="170"/>
      <c r="C393" s="281"/>
      <c r="D393" s="281"/>
      <c r="E393" s="281"/>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row>
    <row r="394" spans="1:27">
      <c r="A394" s="118"/>
      <c r="B394" s="170"/>
      <c r="C394" s="281"/>
      <c r="D394" s="281"/>
      <c r="E394" s="281"/>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row>
    <row r="395" spans="1:27">
      <c r="A395" s="118"/>
      <c r="B395" s="170"/>
      <c r="C395" s="281"/>
      <c r="D395" s="281"/>
      <c r="E395" s="281"/>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row>
    <row r="396" spans="1:27">
      <c r="A396" s="118"/>
      <c r="B396" s="170"/>
      <c r="C396" s="281"/>
      <c r="D396" s="281"/>
      <c r="E396" s="281"/>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row>
    <row r="397" spans="1:27">
      <c r="A397" s="118"/>
      <c r="B397" s="170"/>
      <c r="C397" s="281"/>
      <c r="D397" s="281"/>
      <c r="E397" s="281"/>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row>
    <row r="398" spans="1:27">
      <c r="A398" s="118"/>
      <c r="B398" s="170"/>
      <c r="C398" s="281"/>
      <c r="D398" s="281"/>
      <c r="E398" s="281"/>
      <c r="F398" s="118"/>
      <c r="G398" s="118"/>
      <c r="H398" s="118"/>
      <c r="I398" s="171"/>
      <c r="J398" s="171"/>
      <c r="K398" s="118"/>
      <c r="L398" s="118"/>
      <c r="M398" s="118"/>
      <c r="N398" s="118"/>
      <c r="O398" s="118"/>
      <c r="P398" s="118"/>
      <c r="Q398" s="118"/>
      <c r="R398" s="118"/>
      <c r="S398" s="118"/>
      <c r="T398" s="118"/>
      <c r="U398" s="118"/>
      <c r="V398" s="118"/>
      <c r="W398" s="118"/>
      <c r="X398" s="118"/>
      <c r="Y398" s="118"/>
      <c r="Z398" s="118"/>
      <c r="AA398" s="118"/>
    </row>
    <row r="399" spans="1:27" ht="15.75">
      <c r="A399" s="118"/>
      <c r="B399" s="155" t="s">
        <v>3254</v>
      </c>
      <c r="C399" s="270" t="s">
        <v>3255</v>
      </c>
      <c r="D399" s="269"/>
      <c r="E399" s="280"/>
      <c r="F399" s="153"/>
      <c r="G399" s="153"/>
      <c r="H399" s="153"/>
      <c r="I399" s="153"/>
      <c r="J399" s="153"/>
      <c r="K399" s="153"/>
      <c r="L399" s="152"/>
      <c r="M399" s="118"/>
      <c r="N399" s="118"/>
      <c r="O399" s="118"/>
      <c r="P399" s="118"/>
      <c r="Q399" s="118"/>
      <c r="R399" s="118"/>
      <c r="S399" s="118"/>
      <c r="T399" s="118"/>
      <c r="U399" s="118"/>
      <c r="V399" s="118"/>
      <c r="W399" s="118"/>
      <c r="X399" s="118"/>
      <c r="Y399" s="118"/>
      <c r="Z399" s="118"/>
      <c r="AA399" s="118"/>
    </row>
    <row r="400" spans="1:27" ht="13.5" thickBot="1">
      <c r="A400" s="118"/>
      <c r="B400" s="170"/>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row>
    <row r="401" spans="1:27" ht="29.25" thickBot="1">
      <c r="A401" s="118"/>
      <c r="B401" s="170"/>
      <c r="C401" s="216"/>
      <c r="D401" s="279" t="s">
        <v>3256</v>
      </c>
      <c r="E401" s="168" t="s">
        <v>3257</v>
      </c>
      <c r="F401" s="215" t="s">
        <v>3258</v>
      </c>
      <c r="G401" s="144"/>
      <c r="H401" s="275"/>
      <c r="I401" s="118"/>
      <c r="J401" s="118"/>
      <c r="K401" s="118"/>
      <c r="L401" s="118"/>
      <c r="M401" s="118"/>
      <c r="N401" s="118"/>
      <c r="O401" s="118"/>
      <c r="P401" s="118"/>
      <c r="Q401" s="118"/>
      <c r="R401" s="118"/>
      <c r="S401" s="118"/>
      <c r="T401" s="118"/>
      <c r="U401" s="118"/>
      <c r="V401" s="118"/>
      <c r="W401" s="118"/>
      <c r="X401" s="118"/>
      <c r="Y401" s="118"/>
      <c r="Z401" s="118"/>
      <c r="AA401" s="118"/>
    </row>
    <row r="402" spans="1:27" ht="13.5" thickBot="1">
      <c r="A402" s="118"/>
      <c r="B402" s="170"/>
      <c r="C402" s="278" t="s">
        <v>3255</v>
      </c>
      <c r="D402" s="277">
        <v>66.33</v>
      </c>
      <c r="E402" s="178">
        <v>1.25</v>
      </c>
      <c r="F402" s="276">
        <v>0.125</v>
      </c>
      <c r="G402" s="118"/>
      <c r="H402" s="275"/>
      <c r="I402" s="118"/>
      <c r="J402" s="118"/>
      <c r="L402" s="118"/>
      <c r="M402" s="118"/>
      <c r="N402" s="118"/>
      <c r="O402" s="118"/>
      <c r="P402" s="118"/>
      <c r="Q402" s="118"/>
      <c r="R402" s="118"/>
      <c r="S402" s="118"/>
      <c r="T402" s="118"/>
      <c r="U402" s="118"/>
      <c r="V402" s="118"/>
      <c r="W402" s="118"/>
      <c r="X402" s="118"/>
      <c r="Y402" s="118"/>
      <c r="Z402" s="118"/>
      <c r="AA402" s="118"/>
    </row>
    <row r="403" spans="1:27">
      <c r="A403" s="118"/>
      <c r="B403" s="170"/>
      <c r="C403" s="274" t="s">
        <v>3251</v>
      </c>
      <c r="D403" s="114"/>
      <c r="E403" s="272"/>
      <c r="F403" s="272"/>
      <c r="G403" s="272"/>
      <c r="H403" s="114"/>
      <c r="I403" s="114"/>
      <c r="J403" s="114"/>
      <c r="K403" s="114"/>
      <c r="L403" s="118"/>
      <c r="M403" s="118"/>
      <c r="N403" s="118"/>
      <c r="O403" s="118"/>
      <c r="P403" s="118"/>
      <c r="Q403" s="118"/>
      <c r="R403" s="118"/>
      <c r="S403" s="118"/>
      <c r="T403" s="118"/>
      <c r="U403" s="118"/>
      <c r="V403" s="118"/>
      <c r="W403" s="118"/>
      <c r="X403" s="118"/>
      <c r="Y403" s="118"/>
      <c r="Z403" s="118"/>
      <c r="AA403" s="118"/>
    </row>
    <row r="404" spans="1:27">
      <c r="A404" s="118"/>
      <c r="B404" s="170"/>
      <c r="C404" s="273" t="s">
        <v>3259</v>
      </c>
      <c r="D404" s="114"/>
      <c r="E404" s="272"/>
      <c r="F404" s="272"/>
      <c r="G404" s="272"/>
      <c r="H404" s="114"/>
      <c r="I404" s="114"/>
      <c r="J404" s="114"/>
      <c r="K404" s="114"/>
      <c r="L404" s="118"/>
      <c r="M404" s="118"/>
      <c r="N404" s="118"/>
      <c r="O404" s="118"/>
      <c r="P404" s="118"/>
      <c r="Q404" s="118"/>
      <c r="R404" s="118"/>
      <c r="S404" s="118"/>
      <c r="T404" s="118"/>
      <c r="U404" s="118"/>
      <c r="V404" s="118"/>
      <c r="W404" s="118"/>
      <c r="X404" s="118"/>
      <c r="Y404" s="118"/>
      <c r="Z404" s="118"/>
      <c r="AA404" s="118"/>
    </row>
    <row r="405" spans="1:27">
      <c r="A405" s="118"/>
      <c r="B405" s="170"/>
      <c r="C405" s="172" t="s">
        <v>3110</v>
      </c>
      <c r="D405" s="116"/>
      <c r="E405" s="116"/>
      <c r="F405" s="116"/>
      <c r="G405" s="116"/>
      <c r="H405" s="116"/>
      <c r="I405" s="116"/>
      <c r="J405" s="116"/>
      <c r="K405" s="116"/>
      <c r="L405" s="171"/>
      <c r="M405" s="171"/>
      <c r="N405" s="118"/>
      <c r="O405" s="118"/>
      <c r="P405" s="118"/>
      <c r="Q405" s="118"/>
      <c r="R405" s="118"/>
      <c r="S405" s="118"/>
      <c r="T405" s="118"/>
      <c r="U405" s="118"/>
      <c r="V405" s="118"/>
      <c r="W405" s="118"/>
      <c r="X405" s="118"/>
      <c r="Y405" s="118"/>
      <c r="Z405" s="118"/>
      <c r="AA405" s="118"/>
    </row>
    <row r="406" spans="1:27">
      <c r="A406" s="118"/>
      <c r="B406" s="170"/>
      <c r="C406" s="271"/>
      <c r="D406" s="271"/>
      <c r="E406" s="271"/>
      <c r="F406" s="271"/>
      <c r="G406" s="271"/>
      <c r="H406" s="271"/>
      <c r="I406" s="271"/>
      <c r="J406" s="271"/>
      <c r="K406" s="271"/>
      <c r="L406" s="118"/>
      <c r="M406" s="118"/>
      <c r="N406" s="118"/>
      <c r="O406" s="118"/>
      <c r="P406" s="118"/>
      <c r="Q406" s="118"/>
      <c r="R406" s="118"/>
      <c r="S406" s="118"/>
      <c r="T406" s="118"/>
      <c r="U406" s="118"/>
      <c r="V406" s="118"/>
      <c r="W406" s="118"/>
      <c r="X406" s="118"/>
      <c r="Y406" s="118"/>
      <c r="Z406" s="118"/>
      <c r="AA406" s="118"/>
    </row>
    <row r="407" spans="1:27" ht="15.75">
      <c r="A407" s="118"/>
      <c r="B407" s="1163" t="s">
        <v>3260</v>
      </c>
      <c r="C407" s="1164"/>
      <c r="D407" s="1164"/>
      <c r="E407" s="1164"/>
      <c r="F407" s="1164"/>
      <c r="G407" s="1164"/>
      <c r="H407" s="1164"/>
      <c r="I407" s="1164"/>
      <c r="J407" s="1164"/>
      <c r="K407" s="1164"/>
      <c r="L407" s="1165"/>
      <c r="M407" s="118"/>
      <c r="N407" s="118"/>
      <c r="O407" s="118"/>
      <c r="P407" s="118"/>
      <c r="Q407" s="118"/>
      <c r="R407" s="118"/>
      <c r="S407" s="118"/>
      <c r="T407" s="118"/>
      <c r="U407" s="118"/>
      <c r="V407" s="118"/>
      <c r="W407" s="118"/>
      <c r="X407" s="118"/>
      <c r="Y407" s="118"/>
      <c r="Z407" s="118"/>
      <c r="AA407" s="118"/>
    </row>
    <row r="408" spans="1:27" ht="27" customHeight="1">
      <c r="B408" s="1166" t="s">
        <v>3261</v>
      </c>
      <c r="C408" s="1166"/>
      <c r="D408" s="1166"/>
      <c r="E408" s="1166"/>
      <c r="F408" s="1166"/>
      <c r="G408" s="1166"/>
      <c r="H408" s="1166"/>
      <c r="I408" s="1166"/>
      <c r="J408" s="1166"/>
      <c r="K408" s="1166"/>
      <c r="L408" s="1166"/>
    </row>
    <row r="410" spans="1:27" ht="15.75">
      <c r="A410" s="118"/>
      <c r="B410" s="155" t="s">
        <v>3262</v>
      </c>
      <c r="C410" s="270" t="s">
        <v>3263</v>
      </c>
      <c r="D410" s="269"/>
      <c r="E410" s="269"/>
      <c r="F410" s="153"/>
      <c r="G410" s="153"/>
      <c r="H410" s="153"/>
      <c r="I410" s="153"/>
      <c r="J410" s="153"/>
      <c r="K410" s="153"/>
      <c r="L410" s="152"/>
      <c r="M410" s="118"/>
      <c r="N410" s="118"/>
      <c r="O410" s="118"/>
      <c r="P410" s="118"/>
      <c r="Q410" s="118"/>
      <c r="R410" s="118"/>
      <c r="S410" s="118"/>
      <c r="T410" s="118"/>
      <c r="U410" s="118"/>
      <c r="V410" s="118"/>
      <c r="W410" s="118"/>
      <c r="X410" s="118"/>
      <c r="Y410" s="118"/>
      <c r="Z410" s="118"/>
      <c r="AA410" s="118"/>
    </row>
    <row r="411" spans="1:27" ht="32.25" customHeight="1" thickBot="1">
      <c r="A411" s="118"/>
      <c r="B411" s="151"/>
      <c r="C411" s="1167" t="s">
        <v>3264</v>
      </c>
      <c r="D411" s="1167"/>
      <c r="E411" s="1167"/>
      <c r="F411" s="1167"/>
      <c r="G411" s="1167"/>
      <c r="H411" s="1167"/>
      <c r="I411" s="1167"/>
      <c r="J411" s="1167"/>
      <c r="K411" s="1167"/>
      <c r="L411" s="1167"/>
      <c r="M411" s="118"/>
      <c r="N411" s="118"/>
      <c r="O411" s="118"/>
      <c r="P411" s="118"/>
      <c r="Q411" s="118"/>
      <c r="R411" s="118"/>
      <c r="S411" s="118"/>
      <c r="T411" s="118"/>
      <c r="U411" s="118"/>
      <c r="V411" s="118"/>
      <c r="W411" s="118"/>
      <c r="X411" s="118"/>
      <c r="Y411" s="118"/>
      <c r="Z411" s="118"/>
      <c r="AA411" s="118"/>
    </row>
    <row r="412" spans="1:27" ht="29.25" thickBot="1">
      <c r="A412" s="118"/>
      <c r="B412" s="170"/>
      <c r="C412" s="216" t="s">
        <v>3113</v>
      </c>
      <c r="D412" s="168" t="s">
        <v>3265</v>
      </c>
      <c r="E412" s="168" t="s">
        <v>3266</v>
      </c>
      <c r="F412" s="168" t="s">
        <v>3267</v>
      </c>
      <c r="G412" s="215" t="s">
        <v>647</v>
      </c>
      <c r="I412" s="214"/>
      <c r="J412" s="118"/>
      <c r="K412" s="118"/>
      <c r="L412" s="118"/>
      <c r="M412" s="118"/>
      <c r="N412" s="118"/>
      <c r="O412" s="118"/>
      <c r="P412" s="118"/>
      <c r="Q412" s="118"/>
      <c r="R412" s="118"/>
      <c r="S412" s="118"/>
      <c r="T412" s="118"/>
      <c r="U412" s="118"/>
      <c r="V412" s="118"/>
      <c r="W412" s="118"/>
      <c r="X412" s="118"/>
      <c r="Y412" s="118"/>
      <c r="Z412" s="118"/>
      <c r="AA412" s="118"/>
    </row>
    <row r="413" spans="1:27" ht="15" customHeight="1">
      <c r="A413" s="118"/>
      <c r="B413" s="170"/>
      <c r="C413" s="143" t="s">
        <v>3268</v>
      </c>
      <c r="D413" s="268">
        <v>1.3597865955318438</v>
      </c>
      <c r="E413" s="268">
        <v>1.1908731481922542E-2</v>
      </c>
      <c r="F413" s="268">
        <v>3.7748431867226179E-2</v>
      </c>
      <c r="G413" s="260" t="s">
        <v>3269</v>
      </c>
      <c r="H413" s="144"/>
      <c r="I413" s="174"/>
      <c r="J413" s="118"/>
      <c r="K413" s="118"/>
      <c r="L413" s="118"/>
      <c r="M413" s="118"/>
      <c r="N413" s="118"/>
      <c r="O413" s="118"/>
      <c r="P413" s="118"/>
      <c r="Q413" s="118"/>
      <c r="R413" s="118"/>
      <c r="S413" s="118"/>
      <c r="T413" s="118"/>
      <c r="U413" s="118"/>
      <c r="V413" s="118"/>
      <c r="W413" s="118"/>
      <c r="X413" s="118"/>
      <c r="Y413" s="118"/>
      <c r="Z413" s="118"/>
      <c r="AA413" s="118"/>
    </row>
    <row r="414" spans="1:27" ht="15" customHeight="1">
      <c r="A414" s="118"/>
      <c r="B414" s="170"/>
      <c r="C414" s="267" t="s">
        <v>3270</v>
      </c>
      <c r="D414" s="266">
        <v>0.30613100729682124</v>
      </c>
      <c r="E414" s="266">
        <v>8.9862330909047348E-3</v>
      </c>
      <c r="F414" s="266">
        <v>6.0134289363035455E-3</v>
      </c>
      <c r="G414" s="265" t="s">
        <v>3269</v>
      </c>
      <c r="H414" s="144"/>
      <c r="I414" s="174"/>
      <c r="J414" s="118"/>
      <c r="K414" s="118"/>
      <c r="L414" s="118"/>
      <c r="M414" s="118"/>
      <c r="N414" s="118"/>
      <c r="O414" s="118"/>
      <c r="P414" s="118"/>
      <c r="Q414" s="118"/>
      <c r="R414" s="118"/>
      <c r="S414" s="118"/>
      <c r="T414" s="118"/>
      <c r="U414" s="118"/>
      <c r="V414" s="118"/>
      <c r="W414" s="118"/>
      <c r="X414" s="118"/>
      <c r="Y414" s="118"/>
      <c r="Z414" s="118"/>
      <c r="AA414" s="118"/>
    </row>
    <row r="415" spans="1:27" ht="15" customHeight="1" thickBot="1">
      <c r="A415" s="118"/>
      <c r="B415" s="170"/>
      <c r="C415" s="124" t="s">
        <v>3271</v>
      </c>
      <c r="D415" s="264">
        <v>0.4054556726596405</v>
      </c>
      <c r="E415" s="264">
        <v>1.1070764325569039E-2</v>
      </c>
      <c r="F415" s="264">
        <v>9.8258255448069355E-3</v>
      </c>
      <c r="G415" s="252" t="s">
        <v>3269</v>
      </c>
      <c r="H415" s="144"/>
      <c r="I415" s="174"/>
      <c r="J415" s="174"/>
      <c r="K415" s="118"/>
      <c r="L415" s="118"/>
      <c r="M415" s="118"/>
      <c r="N415" s="118"/>
      <c r="O415" s="118"/>
      <c r="P415" s="118"/>
      <c r="Q415" s="118"/>
      <c r="R415" s="118"/>
      <c r="S415" s="118"/>
      <c r="T415" s="118"/>
      <c r="U415" s="118"/>
      <c r="V415" s="118"/>
      <c r="W415" s="118"/>
      <c r="X415" s="118"/>
      <c r="Y415" s="118"/>
      <c r="Z415" s="118"/>
      <c r="AA415" s="118"/>
    </row>
    <row r="416" spans="1:27" ht="15" customHeight="1">
      <c r="A416" s="118"/>
      <c r="B416" s="170"/>
      <c r="C416" s="143" t="s">
        <v>3272</v>
      </c>
      <c r="D416" s="263">
        <v>0.16804260183413908</v>
      </c>
      <c r="E416" s="262">
        <v>1.4716825635302589E-3</v>
      </c>
      <c r="F416" s="261">
        <v>4.6649560504355382E-3</v>
      </c>
      <c r="G416" s="260" t="s">
        <v>3273</v>
      </c>
      <c r="H416" s="144"/>
      <c r="I416" s="174"/>
      <c r="J416" s="118"/>
      <c r="K416" s="118"/>
      <c r="L416" s="118"/>
      <c r="M416" s="118"/>
      <c r="N416" s="118"/>
      <c r="O416" s="118"/>
      <c r="P416" s="118"/>
      <c r="Q416" s="118"/>
      <c r="R416" s="118"/>
      <c r="S416" s="118"/>
      <c r="T416" s="118"/>
      <c r="U416" s="118"/>
      <c r="V416" s="118"/>
      <c r="W416" s="118"/>
      <c r="X416" s="118"/>
      <c r="Y416" s="118"/>
      <c r="Z416" s="118"/>
      <c r="AA416" s="118"/>
    </row>
    <row r="417" spans="1:27" ht="15" customHeight="1">
      <c r="A417" s="118"/>
      <c r="B417" s="170"/>
      <c r="C417" s="129" t="s">
        <v>3274</v>
      </c>
      <c r="D417" s="258">
        <v>2.1893211868107464E-2</v>
      </c>
      <c r="E417" s="257">
        <v>1.7107647541486372E-3</v>
      </c>
      <c r="F417" s="259">
        <v>5.4744472132756399E-4</v>
      </c>
      <c r="G417" s="256" t="s">
        <v>3273</v>
      </c>
      <c r="H417" s="144"/>
      <c r="I417" s="174"/>
      <c r="J417" s="118"/>
      <c r="K417" s="118"/>
      <c r="L417" s="118"/>
      <c r="M417" s="118"/>
      <c r="N417" s="118"/>
      <c r="O417" s="118"/>
      <c r="P417" s="118"/>
      <c r="Q417" s="118"/>
      <c r="R417" s="118"/>
      <c r="S417" s="118"/>
      <c r="T417" s="118"/>
      <c r="U417" s="118"/>
      <c r="V417" s="118"/>
      <c r="W417" s="118"/>
      <c r="X417" s="118"/>
      <c r="Y417" s="118"/>
      <c r="Z417" s="118"/>
      <c r="AA417" s="118"/>
    </row>
    <row r="418" spans="1:27" ht="15" customHeight="1">
      <c r="A418" s="118"/>
      <c r="B418" s="170"/>
      <c r="C418" s="129" t="s">
        <v>3275</v>
      </c>
      <c r="D418" s="258">
        <v>8.2101644528402754E-2</v>
      </c>
      <c r="E418" s="257">
        <v>3.2580017670001099E-2</v>
      </c>
      <c r="F418" s="257">
        <v>2.0654501768151631E-3</v>
      </c>
      <c r="G418" s="256" t="s">
        <v>3273</v>
      </c>
      <c r="H418" s="144"/>
      <c r="I418" s="174"/>
      <c r="J418" s="118"/>
      <c r="K418" s="118"/>
      <c r="L418" s="118"/>
      <c r="M418" s="118"/>
      <c r="N418" s="118"/>
      <c r="O418" s="118"/>
      <c r="P418" s="118"/>
      <c r="Q418" s="118"/>
      <c r="R418" s="118"/>
      <c r="S418" s="118"/>
      <c r="T418" s="118"/>
      <c r="U418" s="118"/>
      <c r="V418" s="118"/>
      <c r="W418" s="118"/>
      <c r="X418" s="118"/>
      <c r="Y418" s="118"/>
      <c r="Z418" s="118"/>
      <c r="AA418" s="118"/>
    </row>
    <row r="419" spans="1:27" ht="15" customHeight="1" thickBot="1">
      <c r="A419" s="118"/>
      <c r="B419" s="170"/>
      <c r="C419" s="124" t="s">
        <v>3169</v>
      </c>
      <c r="D419" s="255">
        <v>0.90481511327208264</v>
      </c>
      <c r="E419" s="254" t="s">
        <v>3136</v>
      </c>
      <c r="F419" s="253">
        <v>2.7861370252691035E-2</v>
      </c>
      <c r="G419" s="252" t="s">
        <v>3273</v>
      </c>
      <c r="H419" s="144"/>
      <c r="I419" s="174"/>
      <c r="J419" s="118"/>
      <c r="K419" s="118"/>
      <c r="L419" s="118"/>
      <c r="M419" s="118"/>
      <c r="N419" s="118"/>
      <c r="O419" s="118"/>
      <c r="P419" s="118"/>
      <c r="Q419" s="118"/>
      <c r="R419" s="118"/>
      <c r="S419" s="118"/>
      <c r="T419" s="118"/>
      <c r="U419" s="118"/>
      <c r="V419" s="118"/>
      <c r="W419" s="118"/>
      <c r="X419" s="118"/>
      <c r="Y419" s="118"/>
      <c r="Z419" s="118"/>
      <c r="AA419" s="118"/>
    </row>
    <row r="420" spans="1:27" ht="62.45" customHeight="1">
      <c r="A420" s="118"/>
      <c r="B420" s="170"/>
      <c r="C420" s="1160" t="s">
        <v>3276</v>
      </c>
      <c r="D420" s="1160"/>
      <c r="E420" s="1160"/>
      <c r="F420" s="1160"/>
      <c r="G420" s="1160"/>
      <c r="H420" s="1160"/>
      <c r="I420" s="1160"/>
      <c r="J420" s="1160"/>
      <c r="K420" s="1160"/>
      <c r="L420" s="1160"/>
      <c r="M420" s="118"/>
      <c r="N420" s="118"/>
      <c r="O420" s="118"/>
      <c r="P420" s="118"/>
      <c r="Q420" s="118"/>
      <c r="R420" s="118"/>
      <c r="S420" s="118"/>
      <c r="T420" s="118"/>
      <c r="U420" s="118"/>
      <c r="V420" s="118"/>
      <c r="W420" s="118"/>
      <c r="X420" s="118"/>
      <c r="Y420" s="118"/>
      <c r="Z420" s="118"/>
      <c r="AA420" s="118"/>
    </row>
    <row r="421" spans="1:27" ht="90" customHeight="1">
      <c r="A421" s="118"/>
      <c r="B421" s="170"/>
      <c r="C421" s="1170" t="s">
        <v>3277</v>
      </c>
      <c r="D421" s="1170"/>
      <c r="E421" s="1170"/>
      <c r="F421" s="1170"/>
      <c r="G421" s="1170"/>
      <c r="H421" s="1170"/>
      <c r="I421" s="1170"/>
      <c r="J421" s="1170"/>
      <c r="K421" s="1170"/>
      <c r="L421" s="1170"/>
      <c r="M421" s="118"/>
      <c r="N421" s="118"/>
      <c r="O421" s="118"/>
      <c r="P421" s="118"/>
      <c r="Q421" s="118"/>
      <c r="R421" s="118"/>
      <c r="S421" s="118"/>
      <c r="T421" s="118"/>
      <c r="U421" s="118"/>
      <c r="V421" s="118"/>
      <c r="W421" s="118"/>
      <c r="X421" s="118"/>
      <c r="Y421" s="118"/>
      <c r="Z421" s="118"/>
      <c r="AA421" s="118"/>
    </row>
    <row r="422" spans="1:27">
      <c r="A422" s="118"/>
      <c r="B422" s="170"/>
      <c r="C422" s="220"/>
      <c r="D422" s="220"/>
      <c r="E422" s="220"/>
      <c r="F422" s="220"/>
      <c r="G422" s="220"/>
      <c r="H422" s="220"/>
      <c r="I422" s="220"/>
      <c r="J422" s="220"/>
      <c r="K422" s="220"/>
      <c r="L422" s="118"/>
      <c r="M422" s="118"/>
      <c r="N422" s="118"/>
      <c r="O422" s="118"/>
      <c r="P422" s="118"/>
      <c r="Q422" s="118"/>
      <c r="R422" s="118"/>
      <c r="S422" s="118"/>
      <c r="T422" s="118"/>
      <c r="U422" s="118"/>
      <c r="V422" s="118"/>
      <c r="W422" s="118"/>
      <c r="X422" s="118"/>
      <c r="Y422" s="118"/>
      <c r="Z422" s="118"/>
      <c r="AA422" s="118"/>
    </row>
    <row r="423" spans="1:27" ht="15.75">
      <c r="B423" s="155" t="s">
        <v>3278</v>
      </c>
      <c r="C423" s="154" t="s">
        <v>3279</v>
      </c>
      <c r="D423" s="153"/>
      <c r="E423" s="153"/>
      <c r="F423" s="153"/>
      <c r="G423" s="153"/>
      <c r="H423" s="153"/>
      <c r="I423" s="153"/>
      <c r="J423" s="153"/>
      <c r="K423" s="153"/>
      <c r="L423" s="152"/>
      <c r="M423" s="118"/>
      <c r="N423" s="118"/>
      <c r="O423" s="118"/>
      <c r="P423" s="118"/>
      <c r="Q423" s="118"/>
      <c r="R423" s="118"/>
      <c r="S423" s="118"/>
      <c r="T423" s="118"/>
      <c r="U423" s="118"/>
      <c r="V423" s="118"/>
      <c r="W423" s="118"/>
      <c r="X423" s="118"/>
      <c r="Y423" s="118"/>
      <c r="Z423" s="118"/>
      <c r="AA423" s="118"/>
    </row>
    <row r="424" spans="1:27" ht="45" customHeight="1" thickBot="1">
      <c r="A424" s="118"/>
      <c r="B424" s="251"/>
      <c r="C424" s="1171" t="s">
        <v>3280</v>
      </c>
      <c r="D424" s="1171"/>
      <c r="E424" s="1171"/>
      <c r="F424" s="1171"/>
      <c r="G424" s="1171"/>
      <c r="H424" s="1171"/>
      <c r="I424" s="1171"/>
      <c r="J424" s="1171"/>
      <c r="K424" s="1171"/>
      <c r="L424" s="118"/>
      <c r="M424" s="118"/>
      <c r="N424" s="118"/>
      <c r="O424" s="118"/>
      <c r="P424" s="118"/>
      <c r="Q424" s="118"/>
      <c r="R424" s="118"/>
      <c r="S424" s="118"/>
      <c r="T424" s="118"/>
      <c r="U424" s="118"/>
      <c r="V424" s="118"/>
      <c r="W424" s="118"/>
      <c r="X424" s="118"/>
      <c r="Y424" s="118"/>
      <c r="Z424" s="118"/>
      <c r="AA424" s="118"/>
    </row>
    <row r="425" spans="1:27" ht="15" thickBot="1">
      <c r="C425" s="250"/>
      <c r="D425" s="1172" t="s">
        <v>3281</v>
      </c>
      <c r="E425" s="1173"/>
      <c r="F425" s="1173"/>
      <c r="G425" s="1173"/>
      <c r="H425" s="1173"/>
      <c r="I425" s="1174"/>
    </row>
    <row r="426" spans="1:27" ht="48.75" customHeight="1" thickBot="1">
      <c r="C426" s="249" t="s">
        <v>3282</v>
      </c>
      <c r="D426" s="248" t="s">
        <v>3283</v>
      </c>
      <c r="E426" s="248" t="s">
        <v>3284</v>
      </c>
      <c r="F426" s="248" t="s">
        <v>3285</v>
      </c>
      <c r="G426" s="248" t="s">
        <v>3286</v>
      </c>
      <c r="H426" s="248" t="s">
        <v>3287</v>
      </c>
      <c r="I426" s="247" t="s">
        <v>3288</v>
      </c>
      <c r="J426" s="222"/>
      <c r="K426" s="222"/>
      <c r="L426" s="222"/>
    </row>
    <row r="427" spans="1:27">
      <c r="C427" s="246" t="s">
        <v>3289</v>
      </c>
      <c r="D427" s="245">
        <v>0.06</v>
      </c>
      <c r="E427" s="232">
        <v>0.02</v>
      </c>
      <c r="F427" s="232">
        <v>0.01</v>
      </c>
      <c r="G427" s="231" t="s">
        <v>3290</v>
      </c>
      <c r="H427" s="244" t="s">
        <v>3290</v>
      </c>
      <c r="I427" s="243" t="s">
        <v>3290</v>
      </c>
      <c r="J427" s="222"/>
      <c r="K427" s="222"/>
      <c r="L427" s="222"/>
      <c r="M427" s="222"/>
      <c r="N427" s="222"/>
      <c r="O427" s="222"/>
      <c r="P427" s="222"/>
    </row>
    <row r="428" spans="1:27">
      <c r="C428" s="234" t="s">
        <v>3291</v>
      </c>
      <c r="D428" s="233">
        <v>0.04</v>
      </c>
      <c r="E428" s="232">
        <v>0.02</v>
      </c>
      <c r="F428" s="232">
        <v>0.01</v>
      </c>
      <c r="G428" s="231" t="s">
        <v>3290</v>
      </c>
      <c r="H428" s="230" t="s">
        <v>3290</v>
      </c>
      <c r="I428" s="229" t="s">
        <v>3290</v>
      </c>
      <c r="J428" s="222"/>
      <c r="K428" s="222"/>
      <c r="L428" s="222"/>
      <c r="M428" s="222"/>
      <c r="N428" s="222"/>
      <c r="O428" s="222"/>
      <c r="P428" s="222"/>
    </row>
    <row r="429" spans="1:27">
      <c r="C429" s="234" t="s">
        <v>3292</v>
      </c>
      <c r="D429" s="233">
        <v>0.32</v>
      </c>
      <c r="E429" s="232">
        <v>0.02</v>
      </c>
      <c r="F429" s="232">
        <v>0.01</v>
      </c>
      <c r="G429" s="231" t="s">
        <v>3290</v>
      </c>
      <c r="H429" s="230" t="s">
        <v>3290</v>
      </c>
      <c r="I429" s="229" t="s">
        <v>3290</v>
      </c>
      <c r="J429" s="222"/>
      <c r="K429" s="222"/>
      <c r="L429" s="222"/>
      <c r="M429" s="222"/>
      <c r="N429" s="222"/>
      <c r="O429" s="222"/>
      <c r="P429" s="222"/>
    </row>
    <row r="430" spans="1:27">
      <c r="C430" s="234" t="s">
        <v>3293</v>
      </c>
      <c r="D430" s="233">
        <v>0.18</v>
      </c>
      <c r="E430" s="232">
        <v>0.02</v>
      </c>
      <c r="F430" s="232">
        <v>0.01</v>
      </c>
      <c r="G430" s="231" t="s">
        <v>3290</v>
      </c>
      <c r="H430" s="230" t="s">
        <v>3290</v>
      </c>
      <c r="I430" s="229" t="s">
        <v>3290</v>
      </c>
      <c r="J430" s="222"/>
      <c r="K430" s="222"/>
      <c r="L430" s="222"/>
      <c r="M430" s="222"/>
      <c r="N430" s="222"/>
      <c r="O430" s="222"/>
      <c r="P430" s="222"/>
    </row>
    <row r="431" spans="1:27">
      <c r="C431" s="234" t="s">
        <v>1887</v>
      </c>
      <c r="D431" s="233">
        <v>0.05</v>
      </c>
      <c r="E431" s="232">
        <v>0.02</v>
      </c>
      <c r="F431" s="232">
        <v>0.01</v>
      </c>
      <c r="G431" s="231" t="s">
        <v>3290</v>
      </c>
      <c r="H431" s="230" t="s">
        <v>3290</v>
      </c>
      <c r="I431" s="229" t="s">
        <v>3290</v>
      </c>
      <c r="J431" s="222"/>
      <c r="K431" s="222"/>
      <c r="L431" s="222"/>
      <c r="M431" s="222"/>
      <c r="N431" s="222"/>
      <c r="O431" s="222"/>
      <c r="P431" s="222"/>
    </row>
    <row r="432" spans="1:27">
      <c r="C432" s="234" t="s">
        <v>3294</v>
      </c>
      <c r="D432" s="233">
        <v>0.21</v>
      </c>
      <c r="E432" s="232">
        <v>0.02</v>
      </c>
      <c r="F432" s="232">
        <v>2.8</v>
      </c>
      <c r="G432" s="231" t="s">
        <v>3290</v>
      </c>
      <c r="H432" s="230" t="s">
        <v>3290</v>
      </c>
      <c r="I432" s="229" t="s">
        <v>3290</v>
      </c>
      <c r="J432" s="222"/>
      <c r="K432" s="222"/>
      <c r="L432" s="222"/>
      <c r="M432" s="222"/>
      <c r="N432" s="222"/>
      <c r="O432" s="222"/>
      <c r="P432" s="222"/>
    </row>
    <row r="433" spans="3:16">
      <c r="C433" s="234" t="s">
        <v>3295</v>
      </c>
      <c r="D433" s="233" t="s">
        <v>3290</v>
      </c>
      <c r="E433" s="232">
        <v>0.02</v>
      </c>
      <c r="F433" s="232">
        <v>2.8</v>
      </c>
      <c r="G433" s="231" t="s">
        <v>3290</v>
      </c>
      <c r="H433" s="230" t="s">
        <v>3290</v>
      </c>
      <c r="I433" s="229" t="s">
        <v>3290</v>
      </c>
      <c r="J433" s="222"/>
      <c r="K433" s="222"/>
      <c r="L433" s="222"/>
      <c r="M433" s="222"/>
      <c r="N433" s="222"/>
      <c r="O433" s="222"/>
      <c r="P433" s="222"/>
    </row>
    <row r="434" spans="3:16">
      <c r="C434" s="234" t="s">
        <v>3296</v>
      </c>
      <c r="D434" s="233">
        <v>0.23</v>
      </c>
      <c r="E434" s="232">
        <v>0.02</v>
      </c>
      <c r="F434" s="232">
        <v>2.0499999999999998</v>
      </c>
      <c r="G434" s="231" t="s">
        <v>3290</v>
      </c>
      <c r="H434" s="230" t="s">
        <v>3290</v>
      </c>
      <c r="I434" s="229" t="s">
        <v>3290</v>
      </c>
      <c r="J434" s="222"/>
      <c r="K434" s="222"/>
      <c r="L434" s="222"/>
      <c r="M434" s="222"/>
      <c r="N434" s="222"/>
      <c r="O434" s="222"/>
      <c r="P434" s="222"/>
    </row>
    <row r="435" spans="3:16">
      <c r="C435" s="234" t="s">
        <v>3297</v>
      </c>
      <c r="D435" s="233" t="s">
        <v>3290</v>
      </c>
      <c r="E435" s="232">
        <v>0.02</v>
      </c>
      <c r="F435" s="232">
        <v>2.8</v>
      </c>
      <c r="G435" s="231" t="s">
        <v>3290</v>
      </c>
      <c r="H435" s="230" t="s">
        <v>3290</v>
      </c>
      <c r="I435" s="229" t="s">
        <v>3290</v>
      </c>
      <c r="J435" s="222"/>
      <c r="K435" s="222"/>
      <c r="L435" s="222"/>
      <c r="M435" s="222"/>
      <c r="N435" s="222"/>
      <c r="O435" s="222"/>
      <c r="P435" s="222"/>
    </row>
    <row r="436" spans="3:16">
      <c r="C436" s="234" t="s">
        <v>3298</v>
      </c>
      <c r="D436" s="237">
        <v>0.2</v>
      </c>
      <c r="E436" s="232">
        <v>0.02</v>
      </c>
      <c r="F436" s="232">
        <v>2.8</v>
      </c>
      <c r="G436" s="231" t="s">
        <v>3290</v>
      </c>
      <c r="H436" s="230" t="s">
        <v>3290</v>
      </c>
      <c r="I436" s="229" t="s">
        <v>3290</v>
      </c>
      <c r="J436" s="222"/>
      <c r="K436" s="222"/>
      <c r="L436" s="222"/>
      <c r="M436" s="222"/>
      <c r="N436" s="222"/>
      <c r="O436" s="222"/>
      <c r="P436" s="222"/>
    </row>
    <row r="437" spans="3:16">
      <c r="C437" s="234" t="s">
        <v>3299</v>
      </c>
      <c r="D437" s="233" t="s">
        <v>3290</v>
      </c>
      <c r="E437" s="232">
        <v>0.02</v>
      </c>
      <c r="F437" s="232">
        <v>3.02</v>
      </c>
      <c r="G437" s="231" t="s">
        <v>3290</v>
      </c>
      <c r="H437" s="230" t="s">
        <v>3290</v>
      </c>
      <c r="I437" s="229" t="s">
        <v>3290</v>
      </c>
      <c r="J437" s="222"/>
      <c r="K437" s="222"/>
      <c r="L437" s="222"/>
      <c r="M437" s="222"/>
      <c r="N437" s="222"/>
      <c r="O437" s="222"/>
      <c r="P437" s="222"/>
    </row>
    <row r="438" spans="3:16">
      <c r="C438" s="234" t="s">
        <v>3300</v>
      </c>
      <c r="D438" s="233" t="s">
        <v>3290</v>
      </c>
      <c r="E438" s="232">
        <v>0.02</v>
      </c>
      <c r="F438" s="232">
        <v>1.26</v>
      </c>
      <c r="G438" s="231" t="s">
        <v>3290</v>
      </c>
      <c r="H438" s="230" t="s">
        <v>3290</v>
      </c>
      <c r="I438" s="229" t="s">
        <v>3290</v>
      </c>
      <c r="J438" s="222"/>
      <c r="K438" s="222"/>
      <c r="L438" s="222"/>
      <c r="M438" s="222"/>
      <c r="N438" s="222"/>
      <c r="O438" s="222"/>
      <c r="P438" s="222"/>
    </row>
    <row r="439" spans="3:16">
      <c r="C439" s="234" t="s">
        <v>3301</v>
      </c>
      <c r="D439" s="233" t="s">
        <v>3290</v>
      </c>
      <c r="E439" s="232">
        <v>0.02</v>
      </c>
      <c r="F439" s="232">
        <v>0.01</v>
      </c>
      <c r="G439" s="237">
        <v>0.13</v>
      </c>
      <c r="H439" s="230" t="s">
        <v>3290</v>
      </c>
      <c r="I439" s="229" t="s">
        <v>3290</v>
      </c>
      <c r="J439" s="222"/>
      <c r="K439" s="222"/>
      <c r="L439" s="222"/>
      <c r="M439" s="222"/>
      <c r="N439" s="222"/>
      <c r="O439" s="222"/>
      <c r="P439" s="222"/>
    </row>
    <row r="440" spans="3:16">
      <c r="C440" s="234" t="s">
        <v>3302</v>
      </c>
      <c r="D440" s="233">
        <v>0.11</v>
      </c>
      <c r="E440" s="238">
        <v>1</v>
      </c>
      <c r="F440" s="232">
        <v>0.05</v>
      </c>
      <c r="G440" s="231" t="s">
        <v>3290</v>
      </c>
      <c r="H440" s="230" t="s">
        <v>3290</v>
      </c>
      <c r="I440" s="229" t="s">
        <v>3290</v>
      </c>
      <c r="J440" s="222"/>
      <c r="K440" s="222"/>
      <c r="L440" s="222"/>
      <c r="M440" s="222"/>
      <c r="N440" s="222"/>
      <c r="O440" s="222"/>
      <c r="P440" s="222"/>
    </row>
    <row r="441" spans="3:16">
      <c r="C441" s="234" t="s">
        <v>3303</v>
      </c>
      <c r="D441" s="233">
        <v>0.02</v>
      </c>
      <c r="E441" s="238">
        <v>0.46</v>
      </c>
      <c r="F441" s="232">
        <v>0.05</v>
      </c>
      <c r="G441" s="231" t="s">
        <v>3290</v>
      </c>
      <c r="H441" s="230" t="s">
        <v>3290</v>
      </c>
      <c r="I441" s="229" t="s">
        <v>3290</v>
      </c>
      <c r="J441" s="222"/>
      <c r="K441" s="222"/>
      <c r="L441" s="222"/>
      <c r="M441" s="222"/>
      <c r="N441" s="222"/>
      <c r="O441" s="222"/>
      <c r="P441" s="222"/>
    </row>
    <row r="442" spans="3:16">
      <c r="C442" s="234" t="s">
        <v>3304</v>
      </c>
      <c r="D442" s="233">
        <v>0.02</v>
      </c>
      <c r="E442" s="238">
        <v>0.39</v>
      </c>
      <c r="F442" s="232">
        <v>0.05</v>
      </c>
      <c r="G442" s="231" t="s">
        <v>3290</v>
      </c>
      <c r="H442" s="230" t="s">
        <v>3290</v>
      </c>
      <c r="I442" s="229" t="s">
        <v>3290</v>
      </c>
      <c r="J442" s="222"/>
      <c r="K442" s="222"/>
      <c r="L442" s="222"/>
      <c r="M442" s="222"/>
      <c r="N442" s="222"/>
      <c r="O442" s="222"/>
      <c r="P442" s="222"/>
    </row>
    <row r="443" spans="3:16">
      <c r="C443" s="234" t="s">
        <v>3305</v>
      </c>
      <c r="D443" s="233">
        <v>0.02</v>
      </c>
      <c r="E443" s="238">
        <v>1.41</v>
      </c>
      <c r="F443" s="232">
        <v>0.05</v>
      </c>
      <c r="G443" s="231" t="s">
        <v>3290</v>
      </c>
      <c r="H443" s="230" t="s">
        <v>3290</v>
      </c>
      <c r="I443" s="229" t="s">
        <v>3290</v>
      </c>
      <c r="J443" s="222"/>
      <c r="K443" s="222"/>
      <c r="L443" s="222"/>
      <c r="M443" s="222"/>
      <c r="N443" s="222"/>
      <c r="O443" s="222"/>
      <c r="P443" s="222"/>
    </row>
    <row r="444" spans="3:16">
      <c r="C444" s="234" t="s">
        <v>3306</v>
      </c>
      <c r="D444" s="233">
        <v>0.04</v>
      </c>
      <c r="E444" s="238">
        <v>0.39</v>
      </c>
      <c r="F444" s="232">
        <v>0.05</v>
      </c>
      <c r="G444" s="231" t="s">
        <v>3290</v>
      </c>
      <c r="H444" s="230" t="s">
        <v>3290</v>
      </c>
      <c r="I444" s="229" t="s">
        <v>3290</v>
      </c>
      <c r="J444" s="222"/>
      <c r="K444" s="222"/>
      <c r="L444" s="222"/>
      <c r="M444" s="222"/>
      <c r="N444" s="222"/>
      <c r="O444" s="222"/>
      <c r="P444" s="222"/>
    </row>
    <row r="445" spans="3:16">
      <c r="C445" s="234" t="s">
        <v>3307</v>
      </c>
      <c r="D445" s="233">
        <v>0.04</v>
      </c>
      <c r="E445" s="238">
        <v>1.41</v>
      </c>
      <c r="F445" s="232">
        <v>0.05</v>
      </c>
      <c r="G445" s="231" t="s">
        <v>3290</v>
      </c>
      <c r="H445" s="230" t="s">
        <v>3290</v>
      </c>
      <c r="I445" s="229" t="s">
        <v>3290</v>
      </c>
      <c r="J445" s="222"/>
      <c r="K445" s="222"/>
      <c r="L445" s="222"/>
      <c r="M445" s="222"/>
      <c r="N445" s="222"/>
      <c r="O445" s="222"/>
      <c r="P445" s="222"/>
    </row>
    <row r="446" spans="3:16">
      <c r="C446" s="234" t="s">
        <v>3308</v>
      </c>
      <c r="D446" s="237" t="s">
        <v>3290</v>
      </c>
      <c r="E446" s="232">
        <v>0.17</v>
      </c>
      <c r="F446" s="232">
        <v>0.05</v>
      </c>
      <c r="G446" s="231" t="s">
        <v>3290</v>
      </c>
      <c r="H446" s="230" t="s">
        <v>3290</v>
      </c>
      <c r="I446" s="229" t="s">
        <v>3290</v>
      </c>
      <c r="J446" s="222"/>
      <c r="K446" s="222"/>
      <c r="L446" s="222"/>
      <c r="M446" s="222"/>
      <c r="N446" s="222"/>
      <c r="O446" s="222"/>
      <c r="P446" s="222"/>
    </row>
    <row r="447" spans="3:16">
      <c r="C447" s="234" t="s">
        <v>3309</v>
      </c>
      <c r="D447" s="237" t="s">
        <v>3290</v>
      </c>
      <c r="E447" s="232">
        <v>7.0000000000000007E-2</v>
      </c>
      <c r="F447" s="232">
        <v>0.05</v>
      </c>
      <c r="G447" s="231" t="s">
        <v>3290</v>
      </c>
      <c r="H447" s="230" t="s">
        <v>3290</v>
      </c>
      <c r="I447" s="229" t="s">
        <v>3290</v>
      </c>
      <c r="J447" s="222"/>
      <c r="K447" s="222"/>
      <c r="L447" s="222"/>
      <c r="M447" s="222"/>
      <c r="N447" s="222"/>
      <c r="O447" s="222"/>
      <c r="P447" s="222"/>
    </row>
    <row r="448" spans="3:16">
      <c r="C448" s="234" t="s">
        <v>3310</v>
      </c>
      <c r="D448" s="233" t="s">
        <v>3290</v>
      </c>
      <c r="E448" s="238">
        <v>0.67</v>
      </c>
      <c r="F448" s="232">
        <v>0.05</v>
      </c>
      <c r="G448" s="237">
        <v>0.11</v>
      </c>
      <c r="H448" s="241">
        <v>0.14000000000000001</v>
      </c>
      <c r="I448" s="240">
        <v>0.11</v>
      </c>
      <c r="J448" s="222"/>
      <c r="K448" s="222"/>
      <c r="L448" s="222"/>
      <c r="M448" s="222"/>
      <c r="N448" s="222"/>
      <c r="O448" s="222"/>
      <c r="P448" s="222"/>
    </row>
    <row r="449" spans="3:16">
      <c r="C449" s="234" t="s">
        <v>3311</v>
      </c>
      <c r="D449" s="233" t="s">
        <v>3290</v>
      </c>
      <c r="E449" s="238">
        <v>0.69</v>
      </c>
      <c r="F449" s="232">
        <v>0.05</v>
      </c>
      <c r="G449" s="237">
        <v>0.11</v>
      </c>
      <c r="H449" s="241">
        <v>0.14000000000000001</v>
      </c>
      <c r="I449" s="240">
        <v>0.11</v>
      </c>
      <c r="J449" s="222"/>
      <c r="K449" s="222"/>
      <c r="L449" s="222"/>
      <c r="M449" s="222"/>
      <c r="N449" s="222"/>
      <c r="O449" s="222"/>
      <c r="P449" s="222"/>
    </row>
    <row r="450" spans="3:16">
      <c r="C450" s="234" t="s">
        <v>3312</v>
      </c>
      <c r="D450" s="233" t="s">
        <v>3290</v>
      </c>
      <c r="E450" s="238">
        <v>0.64</v>
      </c>
      <c r="F450" s="232">
        <v>0.05</v>
      </c>
      <c r="G450" s="237">
        <v>0.11</v>
      </c>
      <c r="H450" s="241">
        <v>0.14000000000000001</v>
      </c>
      <c r="I450" s="240">
        <v>0.11</v>
      </c>
      <c r="J450" s="222"/>
      <c r="K450" s="222"/>
      <c r="L450" s="222"/>
      <c r="M450" s="222"/>
      <c r="N450" s="222"/>
      <c r="O450" s="222"/>
      <c r="P450" s="222"/>
    </row>
    <row r="451" spans="3:16">
      <c r="C451" s="234" t="s">
        <v>3313</v>
      </c>
      <c r="D451" s="233" t="s">
        <v>3290</v>
      </c>
      <c r="E451" s="238">
        <v>0.73</v>
      </c>
      <c r="F451" s="232">
        <v>0.05</v>
      </c>
      <c r="G451" s="237">
        <v>0.11</v>
      </c>
      <c r="H451" s="241">
        <v>0.14000000000000001</v>
      </c>
      <c r="I451" s="240">
        <v>0.11</v>
      </c>
      <c r="J451" s="222"/>
      <c r="K451" s="222"/>
      <c r="L451" s="222"/>
      <c r="M451" s="222"/>
      <c r="N451" s="222"/>
      <c r="O451" s="222"/>
      <c r="P451" s="222"/>
    </row>
    <row r="452" spans="3:16">
      <c r="C452" s="234" t="s">
        <v>3314</v>
      </c>
      <c r="D452" s="233" t="s">
        <v>3290</v>
      </c>
      <c r="E452" s="238">
        <v>2.06</v>
      </c>
      <c r="F452" s="232">
        <v>0.05</v>
      </c>
      <c r="G452" s="237">
        <v>0.11</v>
      </c>
      <c r="H452" s="241">
        <v>0.14000000000000001</v>
      </c>
      <c r="I452" s="240">
        <v>0.11</v>
      </c>
      <c r="J452" s="222"/>
      <c r="K452" s="222"/>
      <c r="L452" s="222"/>
      <c r="M452" s="222"/>
      <c r="N452" s="222"/>
      <c r="O452" s="222"/>
      <c r="P452" s="222"/>
    </row>
    <row r="453" spans="3:16">
      <c r="C453" s="234" t="s">
        <v>3315</v>
      </c>
      <c r="D453" s="233" t="s">
        <v>3290</v>
      </c>
      <c r="E453" s="238">
        <v>1.49</v>
      </c>
      <c r="F453" s="232">
        <v>0.05</v>
      </c>
      <c r="G453" s="237">
        <v>0.11</v>
      </c>
      <c r="H453" s="241">
        <v>0.14000000000000001</v>
      </c>
      <c r="I453" s="240">
        <v>0.11</v>
      </c>
      <c r="J453" s="222"/>
      <c r="K453" s="222"/>
      <c r="L453" s="222"/>
      <c r="M453" s="222"/>
      <c r="N453" s="222"/>
      <c r="O453" s="222"/>
      <c r="P453" s="222"/>
    </row>
    <row r="454" spans="3:16">
      <c r="C454" s="234" t="s">
        <v>3316</v>
      </c>
      <c r="D454" s="233" t="s">
        <v>3290</v>
      </c>
      <c r="E454" s="238">
        <v>0.28000000000000003</v>
      </c>
      <c r="F454" s="232">
        <v>0.05</v>
      </c>
      <c r="G454" s="237">
        <v>0.11</v>
      </c>
      <c r="H454" s="241">
        <v>0.14000000000000001</v>
      </c>
      <c r="I454" s="240">
        <v>0.11</v>
      </c>
      <c r="J454" s="222"/>
      <c r="K454" s="222"/>
      <c r="L454" s="222"/>
      <c r="M454" s="222"/>
      <c r="N454" s="222"/>
      <c r="O454" s="222"/>
      <c r="P454" s="222"/>
    </row>
    <row r="455" spans="3:16">
      <c r="C455" s="234" t="s">
        <v>3317</v>
      </c>
      <c r="D455" s="233" t="s">
        <v>3290</v>
      </c>
      <c r="E455" s="238">
        <v>0.72</v>
      </c>
      <c r="F455" s="232">
        <v>0.05</v>
      </c>
      <c r="G455" s="237">
        <v>0.11</v>
      </c>
      <c r="H455" s="241">
        <v>0.14000000000000001</v>
      </c>
      <c r="I455" s="240">
        <v>0.11</v>
      </c>
      <c r="J455" s="222"/>
      <c r="K455" s="222"/>
      <c r="L455" s="222"/>
      <c r="M455" s="222"/>
      <c r="N455" s="222"/>
      <c r="O455" s="222"/>
      <c r="P455" s="222"/>
    </row>
    <row r="456" spans="3:16">
      <c r="C456" s="234" t="s">
        <v>3318</v>
      </c>
      <c r="D456" s="233" t="s">
        <v>3290</v>
      </c>
      <c r="E456" s="238">
        <v>0.36</v>
      </c>
      <c r="F456" s="232">
        <v>0.05</v>
      </c>
      <c r="G456" s="237">
        <v>0.14000000000000001</v>
      </c>
      <c r="H456" s="241">
        <v>0.11</v>
      </c>
      <c r="I456" s="240" t="s">
        <v>3290</v>
      </c>
      <c r="J456" s="222"/>
      <c r="K456" s="222"/>
      <c r="L456" s="222"/>
      <c r="M456" s="222"/>
      <c r="N456" s="222"/>
      <c r="O456" s="222"/>
      <c r="P456" s="222"/>
    </row>
    <row r="457" spans="3:16">
      <c r="C457" s="234" t="s">
        <v>3319</v>
      </c>
      <c r="D457" s="233" t="s">
        <v>3290</v>
      </c>
      <c r="E457" s="238">
        <v>0.28000000000000003</v>
      </c>
      <c r="F457" s="232">
        <v>0.05</v>
      </c>
      <c r="G457" s="237">
        <v>0.14000000000000001</v>
      </c>
      <c r="H457" s="241">
        <v>0.09</v>
      </c>
      <c r="I457" s="240" t="s">
        <v>3290</v>
      </c>
      <c r="J457" s="222"/>
      <c r="K457" s="222"/>
      <c r="L457" s="222"/>
      <c r="M457" s="222"/>
      <c r="N457" s="222"/>
      <c r="O457" s="222"/>
      <c r="P457" s="222"/>
    </row>
    <row r="458" spans="3:16">
      <c r="C458" s="234" t="s">
        <v>3320</v>
      </c>
      <c r="D458" s="233" t="s">
        <v>3290</v>
      </c>
      <c r="E458" s="238">
        <v>0.28000000000000003</v>
      </c>
      <c r="F458" s="232">
        <v>0.05</v>
      </c>
      <c r="G458" s="237">
        <v>0.14000000000000001</v>
      </c>
      <c r="H458" s="242">
        <v>0.12</v>
      </c>
      <c r="I458" s="240" t="s">
        <v>3290</v>
      </c>
      <c r="J458" s="222"/>
      <c r="K458" s="222"/>
      <c r="L458" s="222"/>
      <c r="M458" s="222"/>
      <c r="N458" s="222"/>
      <c r="O458" s="222"/>
      <c r="P458" s="222"/>
    </row>
    <row r="459" spans="3:16">
      <c r="C459" s="234" t="s">
        <v>3321</v>
      </c>
      <c r="D459" s="233" t="s">
        <v>3290</v>
      </c>
      <c r="E459" s="238">
        <v>0.57999999999999996</v>
      </c>
      <c r="F459" s="232">
        <v>0.05</v>
      </c>
      <c r="G459" s="237">
        <v>0.14000000000000001</v>
      </c>
      <c r="H459" s="242">
        <v>0.15</v>
      </c>
      <c r="I459" s="240" t="s">
        <v>3290</v>
      </c>
      <c r="J459" s="222"/>
      <c r="K459" s="222"/>
      <c r="L459" s="222"/>
      <c r="M459" s="222"/>
      <c r="N459" s="222"/>
      <c r="O459" s="222"/>
      <c r="P459" s="222"/>
    </row>
    <row r="460" spans="3:16">
      <c r="C460" s="234" t="s">
        <v>3322</v>
      </c>
      <c r="D460" s="233">
        <v>7.0000000000000007E-2</v>
      </c>
      <c r="E460" s="238">
        <v>0.89</v>
      </c>
      <c r="F460" s="232">
        <v>0.05</v>
      </c>
      <c r="G460" s="231" t="s">
        <v>3290</v>
      </c>
      <c r="H460" s="241" t="s">
        <v>3290</v>
      </c>
      <c r="I460" s="240" t="s">
        <v>3290</v>
      </c>
      <c r="J460" s="222"/>
      <c r="K460" s="222"/>
      <c r="L460" s="222"/>
      <c r="M460" s="222"/>
      <c r="N460" s="222"/>
      <c r="O460" s="222"/>
      <c r="P460" s="222"/>
    </row>
    <row r="461" spans="3:16">
      <c r="C461" s="234" t="s">
        <v>3323</v>
      </c>
      <c r="D461" s="233">
        <v>7.0000000000000007E-2</v>
      </c>
      <c r="E461" s="238">
        <v>0.86</v>
      </c>
      <c r="F461" s="232">
        <v>0.05</v>
      </c>
      <c r="G461" s="231" t="s">
        <v>3290</v>
      </c>
      <c r="H461" s="241" t="s">
        <v>3290</v>
      </c>
      <c r="I461" s="240" t="s">
        <v>3290</v>
      </c>
      <c r="J461" s="222"/>
      <c r="K461" s="222"/>
      <c r="L461" s="222"/>
      <c r="M461" s="222"/>
      <c r="N461" s="222"/>
      <c r="O461" s="222"/>
      <c r="P461" s="222"/>
    </row>
    <row r="462" spans="3:16">
      <c r="C462" s="234" t="s">
        <v>3324</v>
      </c>
      <c r="D462" s="233">
        <v>0.03</v>
      </c>
      <c r="E462" s="238">
        <v>0.84</v>
      </c>
      <c r="F462" s="232">
        <v>0.05</v>
      </c>
      <c r="G462" s="231" t="s">
        <v>3290</v>
      </c>
      <c r="H462" s="241" t="s">
        <v>3290</v>
      </c>
      <c r="I462" s="240" t="s">
        <v>3290</v>
      </c>
      <c r="J462" s="222"/>
      <c r="K462" s="222"/>
      <c r="L462" s="222"/>
      <c r="M462" s="222"/>
      <c r="N462" s="222"/>
      <c r="O462" s="222"/>
      <c r="P462" s="222"/>
    </row>
    <row r="463" spans="3:16">
      <c r="C463" s="234" t="s">
        <v>3325</v>
      </c>
      <c r="D463" s="233">
        <v>0.23</v>
      </c>
      <c r="E463" s="232">
        <v>0.02</v>
      </c>
      <c r="F463" s="232">
        <v>0.01</v>
      </c>
      <c r="G463" s="231" t="s">
        <v>3290</v>
      </c>
      <c r="H463" s="241" t="s">
        <v>3290</v>
      </c>
      <c r="I463" s="240" t="s">
        <v>3290</v>
      </c>
      <c r="J463" s="222"/>
      <c r="K463" s="222"/>
      <c r="L463" s="222"/>
      <c r="M463" s="222"/>
      <c r="N463" s="222"/>
      <c r="O463" s="222"/>
      <c r="P463" s="222"/>
    </row>
    <row r="464" spans="3:16">
      <c r="C464" s="234" t="s">
        <v>3326</v>
      </c>
      <c r="D464" s="233">
        <v>0.22</v>
      </c>
      <c r="E464" s="232">
        <v>0.02</v>
      </c>
      <c r="F464" s="232">
        <v>2.34</v>
      </c>
      <c r="G464" s="231" t="s">
        <v>3290</v>
      </c>
      <c r="H464" s="241" t="s">
        <v>3290</v>
      </c>
      <c r="I464" s="240" t="s">
        <v>3290</v>
      </c>
      <c r="J464" s="222"/>
      <c r="K464" s="222"/>
      <c r="L464" s="222"/>
      <c r="M464" s="222"/>
      <c r="N464" s="222"/>
      <c r="O464" s="222"/>
      <c r="P464" s="222"/>
    </row>
    <row r="465" spans="3:16">
      <c r="C465" s="234" t="s">
        <v>3327</v>
      </c>
      <c r="D465" s="233">
        <v>0.09</v>
      </c>
      <c r="E465" s="238">
        <v>0.75</v>
      </c>
      <c r="F465" s="232">
        <v>0.11</v>
      </c>
      <c r="G465" s="231" t="s">
        <v>3290</v>
      </c>
      <c r="H465" s="241" t="s">
        <v>3290</v>
      </c>
      <c r="I465" s="240" t="s">
        <v>3290</v>
      </c>
      <c r="J465" s="222"/>
      <c r="K465" s="222"/>
      <c r="L465" s="222"/>
      <c r="M465" s="222"/>
      <c r="N465" s="222"/>
      <c r="O465" s="222"/>
      <c r="P465" s="222"/>
    </row>
    <row r="466" spans="3:16">
      <c r="C466" s="234" t="s">
        <v>3328</v>
      </c>
      <c r="D466" s="233" t="s">
        <v>3290</v>
      </c>
      <c r="E466" s="238">
        <v>0.68</v>
      </c>
      <c r="F466" s="232">
        <v>0.05</v>
      </c>
      <c r="G466" s="237">
        <v>0.11</v>
      </c>
      <c r="H466" s="241" t="s">
        <v>3290</v>
      </c>
      <c r="I466" s="240" t="s">
        <v>3290</v>
      </c>
      <c r="J466" s="222"/>
      <c r="K466" s="222"/>
      <c r="L466" s="222"/>
      <c r="M466" s="222"/>
      <c r="N466" s="222"/>
      <c r="O466" s="222"/>
      <c r="P466" s="222"/>
    </row>
    <row r="467" spans="3:16">
      <c r="C467" s="234" t="s">
        <v>3329</v>
      </c>
      <c r="D467" s="233" t="s">
        <v>3290</v>
      </c>
      <c r="E467" s="238">
        <v>0.54</v>
      </c>
      <c r="F467" s="232">
        <v>0.05</v>
      </c>
      <c r="G467" s="237">
        <v>0.13</v>
      </c>
      <c r="H467" s="241" t="s">
        <v>3290</v>
      </c>
      <c r="I467" s="240" t="s">
        <v>3290</v>
      </c>
      <c r="J467" s="222"/>
      <c r="K467" s="222"/>
      <c r="L467" s="222"/>
      <c r="M467" s="222"/>
      <c r="N467" s="222"/>
      <c r="O467" s="222"/>
      <c r="P467" s="222"/>
    </row>
    <row r="468" spans="3:16">
      <c r="C468" s="234" t="s">
        <v>3330</v>
      </c>
      <c r="D468" s="233" t="s">
        <v>3290</v>
      </c>
      <c r="E468" s="238">
        <v>0.57999999999999996</v>
      </c>
      <c r="F468" s="232">
        <v>0.43</v>
      </c>
      <c r="G468" s="231" t="s">
        <v>3290</v>
      </c>
      <c r="H468" s="241" t="s">
        <v>3290</v>
      </c>
      <c r="I468" s="240" t="s">
        <v>3290</v>
      </c>
      <c r="J468" s="222"/>
      <c r="K468" s="222"/>
      <c r="L468" s="222"/>
      <c r="M468" s="222"/>
      <c r="N468" s="222"/>
      <c r="O468" s="222"/>
      <c r="P468" s="222"/>
    </row>
    <row r="469" spans="3:16">
      <c r="C469" s="234" t="s">
        <v>3331</v>
      </c>
      <c r="D469" s="233" t="s">
        <v>3290</v>
      </c>
      <c r="E469" s="232">
        <v>0.02</v>
      </c>
      <c r="F469" s="232">
        <v>1.68</v>
      </c>
      <c r="G469" s="231" t="s">
        <v>3290</v>
      </c>
      <c r="H469" s="230" t="s">
        <v>3290</v>
      </c>
      <c r="I469" s="229" t="s">
        <v>3290</v>
      </c>
      <c r="J469" s="222"/>
      <c r="K469" s="222"/>
      <c r="L469" s="222"/>
      <c r="M469" s="222"/>
      <c r="N469" s="222"/>
      <c r="O469" s="222"/>
      <c r="P469" s="222"/>
    </row>
    <row r="470" spans="3:16">
      <c r="C470" s="234" t="s">
        <v>3332</v>
      </c>
      <c r="D470" s="237">
        <v>0.01</v>
      </c>
      <c r="E470" s="232">
        <v>0.02</v>
      </c>
      <c r="F470" s="232">
        <v>0.4</v>
      </c>
      <c r="G470" s="231" t="s">
        <v>3290</v>
      </c>
      <c r="H470" s="230" t="s">
        <v>3290</v>
      </c>
      <c r="I470" s="229" t="s">
        <v>3290</v>
      </c>
      <c r="J470" s="222"/>
      <c r="K470" s="222"/>
      <c r="L470" s="222"/>
      <c r="M470" s="222"/>
      <c r="N470" s="222"/>
      <c r="O470" s="222"/>
      <c r="P470" s="222"/>
    </row>
    <row r="471" spans="3:16">
      <c r="C471" s="234" t="s">
        <v>3333</v>
      </c>
      <c r="D471" s="237">
        <v>0.02</v>
      </c>
      <c r="E471" s="232">
        <v>0.02</v>
      </c>
      <c r="F471" s="232">
        <v>0.89</v>
      </c>
      <c r="G471" s="231" t="s">
        <v>3290</v>
      </c>
      <c r="H471" s="230" t="s">
        <v>3290</v>
      </c>
      <c r="I471" s="229" t="s">
        <v>3290</v>
      </c>
      <c r="J471" s="222"/>
      <c r="K471" s="222"/>
      <c r="L471" s="222"/>
      <c r="M471" s="222"/>
      <c r="N471" s="222"/>
      <c r="O471" s="222"/>
      <c r="P471" s="222"/>
    </row>
    <row r="472" spans="3:16">
      <c r="C472" s="234" t="s">
        <v>3334</v>
      </c>
      <c r="D472" s="237">
        <v>0.02</v>
      </c>
      <c r="E472" s="232">
        <v>0.02</v>
      </c>
      <c r="F472" s="232">
        <v>0.74</v>
      </c>
      <c r="G472" s="231" t="s">
        <v>3290</v>
      </c>
      <c r="H472" s="230" t="s">
        <v>3290</v>
      </c>
      <c r="I472" s="229" t="s">
        <v>3290</v>
      </c>
      <c r="J472" s="222"/>
      <c r="K472" s="222"/>
      <c r="L472" s="222"/>
      <c r="M472" s="222"/>
      <c r="N472" s="222"/>
      <c r="O472" s="222"/>
      <c r="P472" s="222"/>
    </row>
    <row r="473" spans="3:16">
      <c r="C473" s="234" t="s">
        <v>3335</v>
      </c>
      <c r="D473" s="233" t="s">
        <v>3290</v>
      </c>
      <c r="E473" s="232">
        <v>0.02</v>
      </c>
      <c r="F473" s="232">
        <v>0.64</v>
      </c>
      <c r="G473" s="231" t="s">
        <v>3290</v>
      </c>
      <c r="H473" s="230" t="s">
        <v>3290</v>
      </c>
      <c r="I473" s="229" t="s">
        <v>3290</v>
      </c>
      <c r="J473" s="222"/>
      <c r="K473" s="222"/>
      <c r="L473" s="222"/>
      <c r="M473" s="222"/>
      <c r="N473" s="222"/>
      <c r="O473" s="222"/>
      <c r="P473" s="222"/>
    </row>
    <row r="474" spans="3:16">
      <c r="C474" s="234" t="s">
        <v>3336</v>
      </c>
      <c r="D474" s="237">
        <v>0.05</v>
      </c>
      <c r="E474" s="232">
        <v>0.02</v>
      </c>
      <c r="F474" s="232">
        <v>2.23</v>
      </c>
      <c r="G474" s="231" t="s">
        <v>3290</v>
      </c>
      <c r="H474" s="230" t="s">
        <v>3290</v>
      </c>
      <c r="I474" s="229" t="s">
        <v>3290</v>
      </c>
      <c r="J474" s="222"/>
      <c r="K474" s="222"/>
      <c r="L474" s="222"/>
      <c r="M474" s="222"/>
      <c r="N474" s="222"/>
      <c r="O474" s="222"/>
      <c r="P474" s="222"/>
    </row>
    <row r="475" spans="3:16">
      <c r="C475" s="234" t="s">
        <v>3337</v>
      </c>
      <c r="D475" s="237">
        <v>0.01</v>
      </c>
      <c r="E475" s="232">
        <v>0.02</v>
      </c>
      <c r="F475" s="232">
        <v>1.92</v>
      </c>
      <c r="G475" s="231" t="s">
        <v>3290</v>
      </c>
      <c r="H475" s="230" t="s">
        <v>3290</v>
      </c>
      <c r="I475" s="229" t="s">
        <v>3290</v>
      </c>
      <c r="J475" s="222"/>
      <c r="K475" s="222"/>
      <c r="L475" s="222"/>
      <c r="M475" s="222"/>
      <c r="N475" s="222"/>
      <c r="O475" s="222"/>
      <c r="P475" s="222"/>
    </row>
    <row r="476" spans="3:16">
      <c r="C476" s="234" t="s">
        <v>3338</v>
      </c>
      <c r="D476" s="237">
        <v>0.02</v>
      </c>
      <c r="E476" s="232">
        <v>0.02</v>
      </c>
      <c r="F476" s="238">
        <v>0.96</v>
      </c>
      <c r="G476" s="231" t="s">
        <v>3290</v>
      </c>
      <c r="H476" s="230" t="s">
        <v>3290</v>
      </c>
      <c r="I476" s="229" t="s">
        <v>3290</v>
      </c>
      <c r="J476" s="222"/>
      <c r="K476" s="222"/>
      <c r="L476" s="222"/>
      <c r="M476" s="222"/>
      <c r="N476" s="222"/>
      <c r="O476" s="222"/>
      <c r="P476" s="222"/>
    </row>
    <row r="477" spans="3:16">
      <c r="C477" s="234" t="s">
        <v>3339</v>
      </c>
      <c r="D477" s="233" t="s">
        <v>3290</v>
      </c>
      <c r="E477" s="232">
        <v>0.02</v>
      </c>
      <c r="F477" s="232" t="s">
        <v>3290</v>
      </c>
      <c r="G477" s="231" t="s">
        <v>3290</v>
      </c>
      <c r="H477" s="230" t="s">
        <v>3290</v>
      </c>
      <c r="I477" s="229" t="s">
        <v>3290</v>
      </c>
      <c r="J477" s="222"/>
      <c r="K477" s="222"/>
      <c r="L477" s="222"/>
      <c r="M477" s="222"/>
      <c r="N477" s="222"/>
      <c r="O477" s="222"/>
      <c r="P477" s="222"/>
    </row>
    <row r="478" spans="3:16">
      <c r="C478" s="234" t="s">
        <v>3340</v>
      </c>
      <c r="D478" s="233">
        <v>0.01</v>
      </c>
      <c r="E478" s="232">
        <v>0.02</v>
      </c>
      <c r="F478" s="232" t="s">
        <v>3290</v>
      </c>
      <c r="G478" s="231" t="s">
        <v>3290</v>
      </c>
      <c r="H478" s="230" t="s">
        <v>3290</v>
      </c>
      <c r="I478" s="229" t="s">
        <v>3290</v>
      </c>
      <c r="J478" s="222"/>
      <c r="K478" s="222"/>
      <c r="L478" s="222"/>
      <c r="M478" s="222"/>
      <c r="N478" s="222"/>
      <c r="O478" s="222"/>
      <c r="P478" s="222"/>
    </row>
    <row r="479" spans="3:16">
      <c r="C479" s="234" t="s">
        <v>3341</v>
      </c>
      <c r="D479" s="233">
        <v>0.01</v>
      </c>
      <c r="E479" s="232">
        <v>0.02</v>
      </c>
      <c r="F479" s="232" t="s">
        <v>3290</v>
      </c>
      <c r="G479" s="231" t="s">
        <v>3290</v>
      </c>
      <c r="H479" s="230" t="s">
        <v>3290</v>
      </c>
      <c r="I479" s="229" t="s">
        <v>3290</v>
      </c>
      <c r="J479" s="222"/>
      <c r="K479" s="222"/>
      <c r="L479" s="222"/>
      <c r="M479" s="222"/>
      <c r="N479" s="222"/>
      <c r="O479" s="222"/>
      <c r="P479" s="222"/>
    </row>
    <row r="480" spans="3:16">
      <c r="C480" s="234" t="s">
        <v>3026</v>
      </c>
      <c r="D480" s="233">
        <v>0.1</v>
      </c>
      <c r="E480" s="232">
        <v>0.02</v>
      </c>
      <c r="F480" s="232">
        <v>2.21</v>
      </c>
      <c r="G480" s="231" t="s">
        <v>3290</v>
      </c>
      <c r="H480" s="230" t="s">
        <v>3290</v>
      </c>
      <c r="I480" s="229" t="s">
        <v>3290</v>
      </c>
      <c r="J480" s="222"/>
      <c r="K480" s="222"/>
      <c r="L480" s="222"/>
      <c r="M480" s="222"/>
      <c r="N480" s="222"/>
      <c r="O480" s="222"/>
      <c r="P480" s="222"/>
    </row>
    <row r="481" spans="1:27">
      <c r="C481" s="234" t="s">
        <v>3342</v>
      </c>
      <c r="D481" s="239">
        <v>3.5205384954666674E-3</v>
      </c>
      <c r="E481" s="232">
        <v>0.02</v>
      </c>
      <c r="F481" s="232" t="s">
        <v>3290</v>
      </c>
      <c r="G481" s="231" t="s">
        <v>3290</v>
      </c>
      <c r="H481" s="230" t="s">
        <v>3290</v>
      </c>
      <c r="I481" s="229" t="s">
        <v>3290</v>
      </c>
      <c r="J481" s="222"/>
      <c r="K481" s="222"/>
      <c r="L481" s="222"/>
      <c r="M481" s="222"/>
      <c r="N481" s="222"/>
      <c r="O481" s="222"/>
      <c r="P481" s="222"/>
    </row>
    <row r="482" spans="1:27">
      <c r="C482" s="234" t="s">
        <v>3343</v>
      </c>
      <c r="D482" s="233">
        <v>0.03</v>
      </c>
      <c r="E482" s="232">
        <v>0.02</v>
      </c>
      <c r="F482" s="232">
        <v>0.7</v>
      </c>
      <c r="G482" s="231" t="s">
        <v>3290</v>
      </c>
      <c r="H482" s="230" t="s">
        <v>3290</v>
      </c>
      <c r="I482" s="229" t="s">
        <v>3290</v>
      </c>
      <c r="J482" s="222"/>
      <c r="K482" s="222"/>
      <c r="L482" s="222"/>
      <c r="M482" s="222"/>
      <c r="N482" s="222"/>
      <c r="O482" s="222"/>
      <c r="P482" s="222"/>
    </row>
    <row r="483" spans="1:27">
      <c r="C483" s="234" t="s">
        <v>3344</v>
      </c>
      <c r="D483" s="233" t="s">
        <v>3290</v>
      </c>
      <c r="E483" s="232">
        <v>0.02</v>
      </c>
      <c r="F483" s="232" t="s">
        <v>3290</v>
      </c>
      <c r="G483" s="231" t="s">
        <v>3290</v>
      </c>
      <c r="H483" s="230" t="s">
        <v>3290</v>
      </c>
      <c r="I483" s="229" t="s">
        <v>3290</v>
      </c>
      <c r="J483" s="222"/>
      <c r="K483" s="222"/>
      <c r="L483" s="222"/>
      <c r="M483" s="222"/>
      <c r="N483" s="222"/>
      <c r="O483" s="222"/>
      <c r="P483" s="222"/>
    </row>
    <row r="484" spans="1:27">
      <c r="C484" s="234" t="s">
        <v>3345</v>
      </c>
      <c r="D484" s="233">
        <v>0.05</v>
      </c>
      <c r="E484" s="232">
        <v>0.02</v>
      </c>
      <c r="F484" s="232" t="s">
        <v>3290</v>
      </c>
      <c r="G484" s="231" t="s">
        <v>3290</v>
      </c>
      <c r="H484" s="230" t="s">
        <v>3290</v>
      </c>
      <c r="I484" s="229" t="s">
        <v>3290</v>
      </c>
      <c r="J484" s="222"/>
      <c r="K484" s="222"/>
      <c r="L484" s="222"/>
      <c r="M484" s="222"/>
      <c r="N484" s="222"/>
      <c r="O484" s="222"/>
      <c r="P484" s="222"/>
    </row>
    <row r="485" spans="1:27">
      <c r="C485" s="234" t="s">
        <v>3346</v>
      </c>
      <c r="D485" s="237">
        <v>0.04</v>
      </c>
      <c r="E485" s="238">
        <v>0.02</v>
      </c>
      <c r="F485" s="238" t="s">
        <v>3290</v>
      </c>
      <c r="G485" s="237" t="s">
        <v>3290</v>
      </c>
      <c r="H485" s="236" t="s">
        <v>3290</v>
      </c>
      <c r="I485" s="235" t="s">
        <v>3290</v>
      </c>
      <c r="J485" s="222"/>
      <c r="K485" s="222"/>
      <c r="L485" s="222"/>
      <c r="M485" s="222"/>
      <c r="N485" s="222"/>
      <c r="O485" s="222"/>
      <c r="P485" s="222"/>
    </row>
    <row r="486" spans="1:27">
      <c r="C486" s="234" t="s">
        <v>3347</v>
      </c>
      <c r="D486" s="233" t="s">
        <v>3290</v>
      </c>
      <c r="E486" s="232">
        <v>0.02</v>
      </c>
      <c r="F486" s="232">
        <v>0.28999999999999998</v>
      </c>
      <c r="G486" s="231" t="s">
        <v>3290</v>
      </c>
      <c r="H486" s="230" t="s">
        <v>3290</v>
      </c>
      <c r="I486" s="229" t="s">
        <v>3290</v>
      </c>
      <c r="J486" s="222"/>
      <c r="K486" s="222"/>
      <c r="L486" s="222"/>
      <c r="M486" s="222"/>
      <c r="N486" s="222"/>
      <c r="O486" s="222"/>
      <c r="P486" s="222"/>
    </row>
    <row r="487" spans="1:27" ht="13.5" thickBot="1">
      <c r="C487" s="228" t="s">
        <v>3348</v>
      </c>
      <c r="D487" s="227" t="s">
        <v>3290</v>
      </c>
      <c r="E487" s="226">
        <v>0.18</v>
      </c>
      <c r="F487" s="226">
        <v>0.08</v>
      </c>
      <c r="G487" s="225" t="s">
        <v>3290</v>
      </c>
      <c r="H487" s="224" t="s">
        <v>3290</v>
      </c>
      <c r="I487" s="223" t="s">
        <v>3290</v>
      </c>
      <c r="J487" s="222"/>
      <c r="K487" s="222"/>
      <c r="L487" s="222"/>
      <c r="M487" s="222"/>
      <c r="N487" s="222"/>
      <c r="O487" s="222"/>
      <c r="P487" s="222"/>
    </row>
    <row r="488" spans="1:27">
      <c r="A488" s="118"/>
      <c r="C488" s="1176" t="s">
        <v>3349</v>
      </c>
      <c r="D488" s="1176"/>
      <c r="E488" s="1176"/>
      <c r="F488" s="1176"/>
      <c r="G488" s="1176"/>
      <c r="H488" s="1176"/>
      <c r="I488" s="1176"/>
      <c r="J488" s="1176"/>
      <c r="K488" s="1176"/>
      <c r="L488" s="1176"/>
      <c r="M488" s="118"/>
      <c r="N488" s="118"/>
      <c r="P488" s="118"/>
      <c r="Q488" s="118"/>
      <c r="R488" s="118"/>
      <c r="S488" s="118"/>
      <c r="T488" s="118"/>
      <c r="U488" s="118"/>
      <c r="V488" s="118"/>
      <c r="W488" s="118"/>
      <c r="X488" s="118"/>
      <c r="Y488" s="118"/>
      <c r="Z488" s="118"/>
      <c r="AA488" s="118"/>
    </row>
    <row r="489" spans="1:27" ht="27" customHeight="1">
      <c r="A489" s="118"/>
      <c r="C489" s="1175" t="s">
        <v>3350</v>
      </c>
      <c r="D489" s="1175"/>
      <c r="E489" s="1175"/>
      <c r="F489" s="1175"/>
      <c r="G489" s="1175"/>
      <c r="H489" s="1175"/>
      <c r="I489" s="1175"/>
      <c r="J489" s="1175"/>
      <c r="K489" s="1175"/>
      <c r="L489" s="1175"/>
      <c r="M489" s="118"/>
      <c r="N489" s="118"/>
      <c r="P489" s="118"/>
      <c r="Q489" s="118"/>
      <c r="R489" s="118"/>
      <c r="S489" s="118"/>
      <c r="T489" s="118"/>
      <c r="U489" s="118"/>
      <c r="V489" s="118"/>
      <c r="W489" s="118"/>
      <c r="X489" s="118"/>
      <c r="Y489" s="118"/>
      <c r="Z489" s="118"/>
      <c r="AA489" s="118"/>
    </row>
    <row r="490" spans="1:27" ht="185.25" customHeight="1">
      <c r="A490" s="118"/>
      <c r="B490" s="221"/>
      <c r="C490" s="1162" t="s">
        <v>3351</v>
      </c>
      <c r="D490" s="1168"/>
      <c r="E490" s="1168"/>
      <c r="F490" s="1168"/>
      <c r="G490" s="1168"/>
      <c r="H490" s="1168"/>
      <c r="I490" s="1168"/>
      <c r="J490" s="1168"/>
      <c r="K490" s="1168"/>
      <c r="L490" s="1168"/>
      <c r="M490" s="118"/>
      <c r="N490" s="118"/>
      <c r="P490" s="118"/>
      <c r="Q490" s="118"/>
      <c r="R490" s="118"/>
      <c r="S490" s="118"/>
      <c r="T490" s="118"/>
      <c r="U490" s="118"/>
      <c r="V490" s="118"/>
      <c r="W490" s="118"/>
      <c r="X490" s="118"/>
      <c r="Y490" s="118"/>
      <c r="Z490" s="118"/>
      <c r="AA490" s="118"/>
    </row>
    <row r="491" spans="1:27">
      <c r="A491" s="118"/>
      <c r="B491" s="17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row>
    <row r="492" spans="1:27" ht="15.75" customHeight="1">
      <c r="A492" s="118"/>
      <c r="B492" s="155" t="s">
        <v>3352</v>
      </c>
      <c r="C492" s="219" t="s">
        <v>3353</v>
      </c>
      <c r="D492" s="218"/>
      <c r="E492" s="218"/>
      <c r="F492" s="218"/>
      <c r="G492" s="218"/>
      <c r="H492" s="153"/>
      <c r="I492" s="153"/>
      <c r="J492" s="153"/>
      <c r="K492" s="153"/>
      <c r="L492" s="152"/>
      <c r="M492" s="118"/>
      <c r="N492" s="118"/>
      <c r="O492" s="118"/>
      <c r="P492" s="118"/>
      <c r="Q492" s="118"/>
      <c r="R492" s="118"/>
      <c r="S492" s="118"/>
      <c r="T492" s="118"/>
      <c r="U492" s="118"/>
      <c r="V492" s="118"/>
      <c r="W492" s="118"/>
      <c r="X492" s="118"/>
      <c r="Y492" s="118"/>
      <c r="Z492" s="118"/>
      <c r="AA492" s="118"/>
    </row>
    <row r="493" spans="1:27" s="113" customFormat="1" ht="25.5" customHeight="1" thickBot="1">
      <c r="A493" s="114"/>
      <c r="B493" s="217"/>
      <c r="C493" s="1169" t="s">
        <v>3354</v>
      </c>
      <c r="D493" s="1169"/>
      <c r="E493" s="1169"/>
      <c r="F493" s="1169"/>
      <c r="G493" s="1169"/>
      <c r="H493" s="1169"/>
      <c r="I493" s="1169"/>
      <c r="J493" s="1169"/>
      <c r="K493" s="1169"/>
      <c r="L493" s="114"/>
      <c r="M493" s="114"/>
      <c r="N493" s="114"/>
      <c r="O493" s="114"/>
      <c r="P493" s="114"/>
      <c r="Q493" s="114"/>
      <c r="R493" s="114"/>
      <c r="S493" s="114"/>
      <c r="T493" s="114"/>
      <c r="U493" s="114"/>
      <c r="V493" s="114"/>
      <c r="W493" s="114"/>
      <c r="X493" s="114"/>
      <c r="Y493" s="114"/>
      <c r="Z493" s="114"/>
      <c r="AA493" s="114"/>
    </row>
    <row r="494" spans="1:27" ht="29.25" thickBot="1">
      <c r="A494" s="118"/>
      <c r="B494" s="170"/>
      <c r="C494" s="216" t="s">
        <v>3113</v>
      </c>
      <c r="D494" s="168" t="s">
        <v>3265</v>
      </c>
      <c r="E494" s="168" t="s">
        <v>3266</v>
      </c>
      <c r="F494" s="168" t="s">
        <v>3267</v>
      </c>
      <c r="G494" s="215" t="s">
        <v>647</v>
      </c>
      <c r="H494" s="144"/>
      <c r="I494" s="214"/>
      <c r="J494" s="118"/>
      <c r="K494" s="118"/>
      <c r="L494" s="118"/>
      <c r="M494" s="118"/>
      <c r="N494" s="118"/>
      <c r="O494" s="118"/>
      <c r="P494" s="118"/>
      <c r="Q494" s="118"/>
      <c r="R494" s="118"/>
      <c r="S494" s="118"/>
      <c r="T494" s="118"/>
      <c r="U494" s="118"/>
      <c r="V494" s="118"/>
      <c r="W494" s="118"/>
      <c r="X494" s="118"/>
      <c r="Y494" s="118"/>
      <c r="Z494" s="118"/>
      <c r="AA494" s="118"/>
    </row>
    <row r="495" spans="1:27" ht="15" customHeight="1">
      <c r="A495" s="118"/>
      <c r="B495" s="170"/>
      <c r="C495" s="213" t="s">
        <v>3270</v>
      </c>
      <c r="D495" s="212">
        <v>0.30613100729682124</v>
      </c>
      <c r="E495" s="212">
        <v>8.9862330909047348E-3</v>
      </c>
      <c r="F495" s="212">
        <v>6.0134289363035455E-3</v>
      </c>
      <c r="G495" s="211" t="s">
        <v>3269</v>
      </c>
      <c r="H495" s="210"/>
      <c r="I495" s="174"/>
      <c r="J495" s="174"/>
      <c r="K495" s="118"/>
      <c r="L495" s="118"/>
      <c r="M495" s="118"/>
      <c r="N495" s="118"/>
      <c r="O495" s="118"/>
      <c r="P495" s="118"/>
      <c r="Q495" s="118"/>
      <c r="R495" s="118"/>
      <c r="S495" s="118"/>
      <c r="T495" s="118"/>
      <c r="U495" s="118"/>
      <c r="V495" s="118"/>
      <c r="W495" s="118"/>
      <c r="X495" s="118"/>
      <c r="Y495" s="118"/>
      <c r="Z495" s="118"/>
      <c r="AA495" s="118"/>
    </row>
    <row r="496" spans="1:27" ht="15" customHeight="1">
      <c r="A496" s="118"/>
      <c r="B496" s="170"/>
      <c r="C496" s="186" t="s">
        <v>3271</v>
      </c>
      <c r="D496" s="209">
        <v>0.4054556726596405</v>
      </c>
      <c r="E496" s="209">
        <v>1.1070764325569039E-2</v>
      </c>
      <c r="F496" s="209">
        <v>9.8258255448069355E-3</v>
      </c>
      <c r="G496" s="180" t="s">
        <v>3269</v>
      </c>
      <c r="H496" s="174"/>
      <c r="I496" s="174"/>
      <c r="J496" s="174"/>
      <c r="K496" s="118"/>
      <c r="L496" s="118"/>
      <c r="M496" s="118"/>
      <c r="N496" s="118"/>
      <c r="O496" s="118"/>
      <c r="P496" s="118"/>
      <c r="Q496" s="118"/>
      <c r="R496" s="118"/>
      <c r="S496" s="118"/>
      <c r="T496" s="118"/>
      <c r="U496" s="118"/>
      <c r="V496" s="118"/>
      <c r="W496" s="118"/>
      <c r="X496" s="118"/>
      <c r="Y496" s="118"/>
      <c r="Z496" s="118"/>
      <c r="AA496" s="118"/>
    </row>
    <row r="497" spans="1:27" ht="15" customHeight="1" thickBot="1">
      <c r="A497" s="118"/>
      <c r="B497" s="170"/>
      <c r="C497" s="208" t="s">
        <v>3355</v>
      </c>
      <c r="D497" s="207">
        <v>0.37563451776649748</v>
      </c>
      <c r="E497" s="207">
        <v>9.0645395213923133E-2</v>
      </c>
      <c r="F497" s="178">
        <v>1.9211951937708936E-2</v>
      </c>
      <c r="G497" s="175" t="s">
        <v>3269</v>
      </c>
      <c r="H497" s="174"/>
      <c r="I497" s="174"/>
      <c r="J497" s="174"/>
      <c r="K497" s="118"/>
      <c r="L497" s="118"/>
      <c r="M497" s="118"/>
      <c r="N497" s="118"/>
      <c r="O497" s="118"/>
      <c r="P497" s="118"/>
      <c r="Q497" s="118"/>
      <c r="R497" s="118"/>
      <c r="S497" s="118"/>
      <c r="T497" s="118"/>
      <c r="U497" s="118"/>
      <c r="V497" s="118"/>
      <c r="W497" s="118"/>
      <c r="X497" s="118"/>
      <c r="Y497" s="118"/>
      <c r="Z497" s="118"/>
      <c r="AA497" s="118"/>
    </row>
    <row r="498" spans="1:27" ht="15" customHeight="1">
      <c r="A498" s="118"/>
      <c r="B498" s="170"/>
      <c r="C498" s="206" t="s">
        <v>3356</v>
      </c>
      <c r="D498" s="205">
        <v>5.8000000000000003E-2</v>
      </c>
      <c r="E498" s="204">
        <v>5.4999999999999997E-3</v>
      </c>
      <c r="F498" s="204">
        <v>6.9999999999999999E-4</v>
      </c>
      <c r="G498" s="187" t="s">
        <v>3357</v>
      </c>
      <c r="H498" s="174"/>
      <c r="I498" s="174"/>
      <c r="J498" s="193"/>
      <c r="K498" s="192"/>
      <c r="L498" s="118"/>
      <c r="M498" s="118"/>
      <c r="N498" s="118"/>
      <c r="O498" s="118"/>
      <c r="P498" s="118"/>
      <c r="Q498" s="118"/>
      <c r="R498" s="118"/>
      <c r="S498" s="118"/>
      <c r="T498" s="118"/>
      <c r="U498" s="118"/>
      <c r="V498" s="118"/>
      <c r="W498" s="118"/>
      <c r="X498" s="118"/>
      <c r="Y498" s="118"/>
      <c r="Z498" s="118"/>
      <c r="AA498" s="118"/>
    </row>
    <row r="499" spans="1:27" ht="15" customHeight="1">
      <c r="A499" s="118"/>
      <c r="B499" s="170"/>
      <c r="C499" s="203" t="s">
        <v>3358</v>
      </c>
      <c r="D499" s="202">
        <v>0.15</v>
      </c>
      <c r="E499" s="201">
        <v>1.17E-2</v>
      </c>
      <c r="F499" s="201">
        <v>3.8E-3</v>
      </c>
      <c r="G499" s="187" t="s">
        <v>3357</v>
      </c>
      <c r="H499" s="174"/>
      <c r="I499" s="174"/>
      <c r="J499" s="193"/>
      <c r="K499" s="192"/>
      <c r="L499" s="118"/>
      <c r="M499" s="118"/>
      <c r="N499" s="118"/>
      <c r="O499" s="118"/>
      <c r="P499" s="118"/>
      <c r="Q499" s="118"/>
      <c r="R499" s="118"/>
      <c r="S499" s="118"/>
      <c r="T499" s="118"/>
      <c r="U499" s="118"/>
      <c r="V499" s="118"/>
      <c r="W499" s="118"/>
      <c r="X499" s="118"/>
      <c r="Y499" s="118"/>
      <c r="Z499" s="118"/>
      <c r="AA499" s="118"/>
    </row>
    <row r="500" spans="1:27" ht="15" customHeight="1">
      <c r="A500" s="118"/>
      <c r="B500" s="170"/>
      <c r="C500" s="203" t="s">
        <v>3359</v>
      </c>
      <c r="D500" s="202">
        <v>0.113</v>
      </c>
      <c r="E500" s="201">
        <v>9.1999999999999998E-3</v>
      </c>
      <c r="F500" s="201">
        <v>2.5999999999999999E-3</v>
      </c>
      <c r="G500" s="187" t="s">
        <v>3357</v>
      </c>
      <c r="H500" s="174"/>
      <c r="I500" s="174"/>
      <c r="J500" s="193"/>
      <c r="K500" s="192"/>
      <c r="L500" s="118"/>
      <c r="M500" s="118"/>
      <c r="N500" s="118"/>
      <c r="O500" s="118"/>
      <c r="P500" s="118"/>
      <c r="Q500" s="118"/>
      <c r="R500" s="118"/>
      <c r="S500" s="118"/>
      <c r="T500" s="118"/>
      <c r="U500" s="118"/>
      <c r="V500" s="118"/>
      <c r="W500" s="118"/>
      <c r="X500" s="118"/>
      <c r="Y500" s="118"/>
      <c r="Z500" s="118"/>
      <c r="AA500" s="118"/>
    </row>
    <row r="501" spans="1:27" ht="15" customHeight="1">
      <c r="A501" s="118"/>
      <c r="B501" s="170"/>
      <c r="C501" s="200" t="s">
        <v>3360</v>
      </c>
      <c r="D501" s="199">
        <v>0.13331164474515053</v>
      </c>
      <c r="E501" s="198">
        <v>1.05219305594572E-2</v>
      </c>
      <c r="F501" s="198">
        <v>2.6102150579378688E-3</v>
      </c>
      <c r="G501" s="180" t="s">
        <v>3357</v>
      </c>
      <c r="H501" s="197"/>
      <c r="I501" s="174"/>
      <c r="J501" s="193"/>
      <c r="K501" s="192"/>
      <c r="L501" s="118"/>
      <c r="M501" s="118"/>
      <c r="N501" s="118"/>
      <c r="O501" s="118"/>
      <c r="P501" s="118"/>
      <c r="Q501" s="118"/>
      <c r="R501" s="118"/>
      <c r="S501" s="118"/>
      <c r="T501" s="118"/>
      <c r="U501" s="118"/>
      <c r="V501" s="118"/>
      <c r="W501" s="118"/>
      <c r="X501" s="118"/>
      <c r="Y501" s="118"/>
      <c r="Z501" s="118"/>
      <c r="AA501" s="118"/>
    </row>
    <row r="502" spans="1:27" ht="15" customHeight="1" thickBot="1">
      <c r="A502" s="118"/>
      <c r="B502" s="170"/>
      <c r="C502" s="196" t="s">
        <v>3361</v>
      </c>
      <c r="D502" s="195">
        <v>9.3069078020452348E-2</v>
      </c>
      <c r="E502" s="194">
        <v>7.4622688594043786E-3</v>
      </c>
      <c r="F502" s="194">
        <v>1.017582117191506E-3</v>
      </c>
      <c r="G502" s="175" t="s">
        <v>3357</v>
      </c>
      <c r="H502" s="174"/>
      <c r="I502" s="174"/>
      <c r="J502" s="193"/>
      <c r="K502" s="192"/>
      <c r="L502" s="118"/>
      <c r="M502" s="118"/>
      <c r="N502" s="118"/>
      <c r="O502" s="118"/>
      <c r="P502" s="118"/>
      <c r="Q502" s="118"/>
      <c r="R502" s="118"/>
      <c r="S502" s="118"/>
      <c r="T502" s="118"/>
      <c r="U502" s="118"/>
      <c r="V502" s="118"/>
      <c r="W502" s="118"/>
      <c r="X502" s="118"/>
      <c r="Y502" s="118"/>
      <c r="Z502" s="118"/>
      <c r="AA502" s="118"/>
    </row>
    <row r="503" spans="1:27" ht="15" customHeight="1">
      <c r="A503" s="118"/>
      <c r="B503" s="170"/>
      <c r="C503" s="191" t="s">
        <v>3362</v>
      </c>
      <c r="D503" s="190">
        <v>7.0707587527340743E-2</v>
      </c>
      <c r="E503" s="189">
        <v>5.0304202850982313E-3</v>
      </c>
      <c r="F503" s="188">
        <v>2.1260644223811396E-3</v>
      </c>
      <c r="G503" s="187" t="s">
        <v>3357</v>
      </c>
      <c r="H503" s="174"/>
      <c r="I503" s="174"/>
      <c r="J503" s="174"/>
      <c r="K503" s="118"/>
      <c r="L503" s="118"/>
      <c r="M503" s="118"/>
      <c r="N503" s="118"/>
      <c r="O503" s="118"/>
      <c r="P503" s="118"/>
      <c r="Q503" s="118"/>
      <c r="R503" s="118"/>
      <c r="S503" s="118"/>
      <c r="T503" s="118"/>
      <c r="U503" s="118"/>
      <c r="V503" s="118"/>
      <c r="W503" s="118"/>
      <c r="X503" s="118"/>
      <c r="Y503" s="118"/>
      <c r="Z503" s="118"/>
      <c r="AA503" s="118"/>
    </row>
    <row r="504" spans="1:27" ht="15" customHeight="1">
      <c r="A504" s="118"/>
      <c r="B504" s="173"/>
      <c r="C504" s="186" t="s">
        <v>3363</v>
      </c>
      <c r="D504" s="185">
        <v>0.20692926045016075</v>
      </c>
      <c r="E504" s="184">
        <v>6.4308681672025723E-3</v>
      </c>
      <c r="F504" s="181">
        <v>6.5819288288482694E-3</v>
      </c>
      <c r="G504" s="180" t="s">
        <v>3357</v>
      </c>
      <c r="H504" s="174"/>
      <c r="I504" s="174"/>
      <c r="J504" s="174"/>
      <c r="K504" s="118"/>
      <c r="L504" s="118"/>
      <c r="M504" s="118"/>
      <c r="N504" s="118"/>
      <c r="O504" s="118"/>
      <c r="P504" s="118"/>
      <c r="Q504" s="118"/>
      <c r="R504" s="118"/>
      <c r="S504" s="118"/>
      <c r="T504" s="118"/>
      <c r="U504" s="118"/>
      <c r="V504" s="118"/>
      <c r="W504" s="118"/>
      <c r="X504" s="118"/>
      <c r="Y504" s="118"/>
      <c r="Z504" s="118"/>
      <c r="AA504" s="118"/>
    </row>
    <row r="505" spans="1:27" ht="25.5" customHeight="1">
      <c r="A505" s="118"/>
      <c r="B505" s="173"/>
      <c r="C505" s="183" t="s">
        <v>3364</v>
      </c>
      <c r="D505" s="182">
        <v>0.1292604501607717</v>
      </c>
      <c r="E505" s="181">
        <v>6.4308681672025725E-4</v>
      </c>
      <c r="F505" s="181">
        <v>4.1002179589546611E-3</v>
      </c>
      <c r="G505" s="180" t="s">
        <v>3357</v>
      </c>
      <c r="H505" s="174"/>
      <c r="I505" s="174"/>
      <c r="J505" s="174"/>
      <c r="K505" s="118"/>
      <c r="L505" s="118"/>
      <c r="M505" s="118"/>
      <c r="N505" s="118"/>
      <c r="O505" s="118"/>
      <c r="P505" s="118"/>
      <c r="Q505" s="118"/>
      <c r="R505" s="118"/>
      <c r="S505" s="118"/>
      <c r="T505" s="118"/>
      <c r="U505" s="118"/>
      <c r="V505" s="118"/>
      <c r="W505" s="118"/>
      <c r="X505" s="118"/>
      <c r="Y505" s="118"/>
      <c r="Z505" s="118"/>
      <c r="AA505" s="118"/>
    </row>
    <row r="506" spans="1:27" ht="25.5" customHeight="1" thickBot="1">
      <c r="A506" s="118"/>
      <c r="B506" s="173"/>
      <c r="C506" s="179" t="s">
        <v>3365</v>
      </c>
      <c r="D506" s="178">
        <v>0.16255627009646303</v>
      </c>
      <c r="E506" s="177">
        <v>6.4308681672025725E-4</v>
      </c>
      <c r="F506" s="176">
        <v>5.1792226849953606E-3</v>
      </c>
      <c r="G506" s="175" t="s">
        <v>3357</v>
      </c>
      <c r="H506" s="174"/>
      <c r="I506" s="174"/>
      <c r="J506" s="174"/>
      <c r="K506" s="118"/>
      <c r="L506" s="118"/>
      <c r="M506" s="118"/>
      <c r="N506" s="118"/>
      <c r="O506" s="118"/>
      <c r="P506" s="118"/>
      <c r="Q506" s="118"/>
      <c r="R506" s="118"/>
      <c r="S506" s="118"/>
      <c r="T506" s="118"/>
      <c r="U506" s="118"/>
      <c r="V506" s="118"/>
      <c r="W506" s="118"/>
      <c r="X506" s="118"/>
      <c r="Y506" s="118"/>
      <c r="Z506" s="118"/>
      <c r="AA506" s="118"/>
    </row>
    <row r="507" spans="1:27" ht="98.25" customHeight="1">
      <c r="A507" s="118"/>
      <c r="B507" s="173"/>
      <c r="C507" s="1170" t="s">
        <v>3366</v>
      </c>
      <c r="D507" s="1170"/>
      <c r="E507" s="1170"/>
      <c r="F507" s="1170"/>
      <c r="G507" s="1170"/>
      <c r="H507" s="1170"/>
      <c r="I507" s="1170"/>
      <c r="J507" s="1170"/>
      <c r="K507" s="1170"/>
      <c r="L507" s="1170"/>
      <c r="M507" s="118"/>
      <c r="N507" s="118"/>
      <c r="O507" s="118"/>
      <c r="P507" s="118"/>
      <c r="Q507" s="118"/>
      <c r="R507" s="118"/>
      <c r="S507" s="118"/>
      <c r="T507" s="118"/>
      <c r="U507" s="118"/>
      <c r="V507" s="118"/>
      <c r="W507" s="118"/>
      <c r="X507" s="118"/>
      <c r="Y507" s="118"/>
      <c r="Z507" s="118"/>
      <c r="AA507" s="118"/>
    </row>
    <row r="508" spans="1:27" ht="97.5" customHeight="1">
      <c r="A508" s="118"/>
      <c r="B508" s="170"/>
      <c r="C508" s="1170" t="s">
        <v>3367</v>
      </c>
      <c r="D508" s="1170"/>
      <c r="E508" s="1170"/>
      <c r="F508" s="1170"/>
      <c r="G508" s="1170"/>
      <c r="H508" s="1170"/>
      <c r="I508" s="1170"/>
      <c r="J508" s="1170"/>
      <c r="K508" s="1170"/>
      <c r="L508" s="1170"/>
      <c r="M508" s="118"/>
      <c r="N508" s="118"/>
      <c r="O508" s="118"/>
      <c r="P508" s="118"/>
      <c r="Q508" s="118"/>
      <c r="R508" s="118"/>
      <c r="S508" s="118"/>
      <c r="T508" s="118"/>
      <c r="U508" s="118"/>
      <c r="V508" s="118"/>
      <c r="W508" s="118"/>
      <c r="X508" s="118"/>
      <c r="Y508" s="118"/>
      <c r="Z508" s="118"/>
      <c r="AA508" s="118"/>
    </row>
    <row r="509" spans="1:27">
      <c r="A509" s="118"/>
      <c r="B509" s="170"/>
      <c r="C509" s="172"/>
      <c r="D509" s="116"/>
      <c r="E509" s="116"/>
      <c r="F509" s="116"/>
      <c r="G509" s="116"/>
      <c r="H509" s="116"/>
      <c r="I509" s="116"/>
      <c r="J509" s="116"/>
      <c r="K509" s="116"/>
      <c r="L509" s="171"/>
      <c r="M509" s="171"/>
      <c r="N509" s="118"/>
      <c r="O509" s="118"/>
      <c r="P509" s="118"/>
      <c r="Q509" s="118"/>
      <c r="R509" s="118"/>
      <c r="S509" s="118"/>
      <c r="T509" s="118"/>
      <c r="U509" s="118"/>
      <c r="V509" s="118"/>
      <c r="W509" s="118"/>
      <c r="X509" s="118"/>
      <c r="Y509" s="118"/>
      <c r="Z509" s="118"/>
      <c r="AA509" s="118"/>
    </row>
    <row r="510" spans="1:27" ht="15.75">
      <c r="A510" s="118"/>
      <c r="B510" s="1163" t="s">
        <v>3368</v>
      </c>
      <c r="C510" s="1164"/>
      <c r="D510" s="1164"/>
      <c r="E510" s="1164"/>
      <c r="F510" s="1164"/>
      <c r="G510" s="1164"/>
      <c r="H510" s="1164"/>
      <c r="I510" s="1164"/>
      <c r="J510" s="1164"/>
      <c r="K510" s="1164"/>
      <c r="L510" s="1165"/>
      <c r="M510" s="118"/>
      <c r="N510" s="118"/>
      <c r="O510" s="118"/>
      <c r="P510" s="118"/>
      <c r="Q510" s="118"/>
      <c r="R510" s="118"/>
      <c r="S510" s="118"/>
      <c r="T510" s="118"/>
      <c r="U510" s="118"/>
      <c r="V510" s="118"/>
      <c r="W510" s="118"/>
      <c r="X510" s="118"/>
      <c r="Y510" s="118"/>
      <c r="Z510" s="118"/>
      <c r="AA510" s="118"/>
    </row>
    <row r="511" spans="1:27">
      <c r="A511" s="118"/>
      <c r="B511" s="170"/>
      <c r="C511" s="118"/>
      <c r="D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row>
    <row r="512" spans="1:27" ht="15.75">
      <c r="A512" s="118"/>
      <c r="B512" s="155" t="s">
        <v>3369</v>
      </c>
      <c r="C512" s="154" t="s">
        <v>3370</v>
      </c>
      <c r="D512" s="153"/>
      <c r="E512" s="153"/>
      <c r="F512" s="153"/>
      <c r="G512" s="153"/>
      <c r="H512" s="153"/>
      <c r="I512" s="153"/>
      <c r="J512" s="153"/>
      <c r="K512" s="153"/>
      <c r="L512" s="152"/>
      <c r="M512" s="118"/>
      <c r="N512" s="118"/>
      <c r="O512" s="118"/>
      <c r="P512" s="118"/>
      <c r="Q512" s="118"/>
      <c r="R512" s="118"/>
      <c r="S512" s="118"/>
      <c r="T512" s="118"/>
      <c r="U512" s="118"/>
      <c r="V512" s="118"/>
      <c r="W512" s="118"/>
      <c r="X512" s="118"/>
      <c r="Y512" s="118"/>
      <c r="Z512" s="118"/>
      <c r="AA512" s="118"/>
    </row>
    <row r="513" spans="1:28" ht="13.5" thickBot="1">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row>
    <row r="514" spans="1:28" ht="26.25" thickBot="1">
      <c r="A514" s="118"/>
      <c r="B514" s="118"/>
      <c r="C514" s="169" t="s">
        <v>3371</v>
      </c>
      <c r="D514" s="168" t="s">
        <v>3372</v>
      </c>
      <c r="E514" s="167" t="s">
        <v>2994</v>
      </c>
      <c r="F514" s="144"/>
      <c r="G514" s="118"/>
      <c r="H514" s="144"/>
      <c r="I514" s="118"/>
      <c r="J514" s="118"/>
      <c r="K514" s="118"/>
      <c r="L514" s="118"/>
      <c r="M514" s="118"/>
      <c r="N514" s="118"/>
      <c r="O514" s="118"/>
      <c r="P514" s="118"/>
      <c r="Q514" s="118"/>
      <c r="R514" s="118"/>
      <c r="S514" s="118"/>
      <c r="T514" s="118"/>
      <c r="U514" s="118"/>
      <c r="V514" s="118"/>
      <c r="W514" s="118"/>
      <c r="X514" s="118"/>
      <c r="Y514" s="118"/>
      <c r="Z514" s="118"/>
      <c r="AA514" s="118"/>
      <c r="AB514" s="118"/>
    </row>
    <row r="515" spans="1:28" ht="15.95" customHeight="1">
      <c r="A515" s="118"/>
      <c r="B515" s="118"/>
      <c r="C515" s="166" t="s">
        <v>3373</v>
      </c>
      <c r="D515" s="165" t="s">
        <v>3374</v>
      </c>
      <c r="E515" s="164">
        <v>1</v>
      </c>
      <c r="F515" s="144"/>
      <c r="G515" s="144"/>
      <c r="H515" s="118"/>
      <c r="I515" s="118"/>
      <c r="J515" s="118"/>
      <c r="K515" s="118"/>
      <c r="L515" s="118"/>
      <c r="M515" s="118"/>
      <c r="N515" s="118"/>
      <c r="O515" s="118"/>
      <c r="P515" s="118"/>
      <c r="Q515" s="118"/>
      <c r="R515" s="118"/>
      <c r="S515" s="118"/>
      <c r="T515" s="118"/>
      <c r="U515" s="118"/>
      <c r="V515" s="118"/>
      <c r="W515" s="118"/>
      <c r="X515" s="118"/>
      <c r="Y515" s="118"/>
      <c r="Z515" s="118"/>
      <c r="AA515" s="118"/>
      <c r="AB515" s="118"/>
    </row>
    <row r="516" spans="1:28" ht="15.95" customHeight="1">
      <c r="A516" s="118"/>
      <c r="B516" s="118"/>
      <c r="C516" s="163" t="s">
        <v>3375</v>
      </c>
      <c r="D516" s="162" t="s">
        <v>2995</v>
      </c>
      <c r="E516" s="161">
        <v>28</v>
      </c>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row>
    <row r="517" spans="1:28" ht="15.95" customHeight="1">
      <c r="A517" s="118"/>
      <c r="B517" s="118"/>
      <c r="C517" s="163" t="s">
        <v>3376</v>
      </c>
      <c r="D517" s="162" t="s">
        <v>2996</v>
      </c>
      <c r="E517" s="161">
        <v>265</v>
      </c>
      <c r="H517" s="118"/>
      <c r="I517" s="118"/>
      <c r="J517" s="118"/>
      <c r="K517" s="118"/>
      <c r="L517" s="118"/>
      <c r="M517" s="118"/>
      <c r="N517" s="118"/>
      <c r="O517" s="118"/>
      <c r="P517" s="118"/>
      <c r="Q517" s="118"/>
      <c r="R517" s="118"/>
      <c r="S517" s="118"/>
      <c r="T517" s="118"/>
      <c r="U517" s="118"/>
      <c r="V517" s="118"/>
      <c r="W517" s="118"/>
      <c r="X517" s="118"/>
      <c r="Y517" s="118"/>
      <c r="Z517" s="118"/>
      <c r="AA517" s="118"/>
      <c r="AB517" s="118"/>
    </row>
    <row r="518" spans="1:28" ht="15.95" customHeight="1">
      <c r="A518" s="118"/>
      <c r="B518" s="118"/>
      <c r="C518" s="163" t="s">
        <v>3377</v>
      </c>
      <c r="D518" s="162" t="s">
        <v>3378</v>
      </c>
      <c r="E518" s="161">
        <v>12400</v>
      </c>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row>
    <row r="519" spans="1:28" ht="15.95" customHeight="1">
      <c r="A519" s="118"/>
      <c r="B519" s="118"/>
      <c r="C519" s="163" t="s">
        <v>3379</v>
      </c>
      <c r="D519" s="162" t="s">
        <v>3380</v>
      </c>
      <c r="E519" s="161">
        <v>677</v>
      </c>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row>
    <row r="520" spans="1:28" ht="15.95" customHeight="1">
      <c r="A520" s="118"/>
      <c r="B520" s="118"/>
      <c r="C520" s="163" t="s">
        <v>3381</v>
      </c>
      <c r="D520" s="162" t="s">
        <v>3382</v>
      </c>
      <c r="E520" s="161">
        <v>116</v>
      </c>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row>
    <row r="521" spans="1:28" ht="15.95" customHeight="1">
      <c r="A521" s="118"/>
      <c r="B521" s="118"/>
      <c r="C521" s="163" t="s">
        <v>3383</v>
      </c>
      <c r="D521" s="162" t="s">
        <v>3384</v>
      </c>
      <c r="E521" s="161">
        <v>3170</v>
      </c>
      <c r="F521" s="118"/>
      <c r="G521" s="118"/>
      <c r="H521" s="1178"/>
      <c r="I521" s="1178"/>
      <c r="J521" s="1178"/>
      <c r="K521" s="1178"/>
      <c r="L521" s="1178"/>
      <c r="M521" s="1178"/>
      <c r="N521" s="1178"/>
      <c r="O521" s="118"/>
      <c r="P521" s="118"/>
      <c r="Q521" s="118"/>
      <c r="R521" s="118"/>
      <c r="S521" s="118"/>
      <c r="T521" s="118"/>
      <c r="U521" s="118"/>
      <c r="V521" s="118"/>
      <c r="W521" s="118"/>
      <c r="X521" s="118"/>
      <c r="Y521" s="118"/>
      <c r="Z521" s="118"/>
      <c r="AA521" s="118"/>
      <c r="AB521" s="118"/>
    </row>
    <row r="522" spans="1:28" ht="15.95" customHeight="1">
      <c r="A522" s="118"/>
      <c r="B522" s="118"/>
      <c r="C522" s="163" t="s">
        <v>3385</v>
      </c>
      <c r="D522" s="162" t="s">
        <v>3386</v>
      </c>
      <c r="E522" s="161">
        <v>1120</v>
      </c>
      <c r="F522" s="118"/>
      <c r="G522" s="118"/>
      <c r="H522" s="1178"/>
      <c r="I522" s="1178"/>
      <c r="J522" s="1178"/>
      <c r="K522" s="1178"/>
      <c r="L522" s="1178"/>
      <c r="M522" s="1178"/>
      <c r="N522" s="1178"/>
      <c r="O522" s="118"/>
      <c r="P522" s="118"/>
      <c r="Q522" s="118"/>
      <c r="R522" s="118"/>
      <c r="S522" s="118"/>
      <c r="T522" s="118"/>
      <c r="U522" s="118"/>
      <c r="V522" s="118"/>
      <c r="W522" s="118"/>
      <c r="X522" s="118"/>
      <c r="Y522" s="118"/>
      <c r="Z522" s="118"/>
      <c r="AA522" s="118"/>
      <c r="AB522" s="118"/>
    </row>
    <row r="523" spans="1:28" ht="15.95" customHeight="1">
      <c r="A523" s="118"/>
      <c r="B523" s="118"/>
      <c r="C523" s="163" t="s">
        <v>3387</v>
      </c>
      <c r="D523" s="162" t="s">
        <v>3388</v>
      </c>
      <c r="E523" s="161">
        <v>1300</v>
      </c>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row>
    <row r="524" spans="1:28" ht="15.95" customHeight="1">
      <c r="A524" s="118"/>
      <c r="B524" s="118"/>
      <c r="C524" s="163" t="s">
        <v>3389</v>
      </c>
      <c r="D524" s="162" t="s">
        <v>3390</v>
      </c>
      <c r="E524" s="161">
        <v>328</v>
      </c>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row>
    <row r="525" spans="1:28" ht="15.95" customHeight="1">
      <c r="A525" s="118"/>
      <c r="B525" s="118"/>
      <c r="C525" s="163" t="s">
        <v>3391</v>
      </c>
      <c r="D525" s="162" t="s">
        <v>3392</v>
      </c>
      <c r="E525" s="161">
        <v>4800</v>
      </c>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row>
    <row r="526" spans="1:28" ht="15.95" customHeight="1">
      <c r="A526" s="118"/>
      <c r="B526" s="118"/>
      <c r="C526" s="163" t="s">
        <v>3393</v>
      </c>
      <c r="D526" s="162" t="s">
        <v>3394</v>
      </c>
      <c r="E526" s="161">
        <v>16</v>
      </c>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row>
    <row r="527" spans="1:28" ht="15.95" customHeight="1">
      <c r="A527" s="118"/>
      <c r="B527" s="118"/>
      <c r="C527" s="163" t="s">
        <v>3395</v>
      </c>
      <c r="D527" s="162" t="s">
        <v>3396</v>
      </c>
      <c r="E527" s="161">
        <v>138</v>
      </c>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row>
    <row r="528" spans="1:28" ht="15.95" customHeight="1">
      <c r="A528" s="118"/>
      <c r="B528" s="118"/>
      <c r="C528" s="163" t="s">
        <v>3397</v>
      </c>
      <c r="D528" s="162" t="s">
        <v>3398</v>
      </c>
      <c r="E528" s="161">
        <v>4</v>
      </c>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row>
    <row r="529" spans="1:28" ht="15.95" customHeight="1">
      <c r="A529" s="118"/>
      <c r="B529" s="118"/>
      <c r="C529" s="163" t="s">
        <v>3399</v>
      </c>
      <c r="D529" s="162" t="s">
        <v>3400</v>
      </c>
      <c r="E529" s="161">
        <v>3350</v>
      </c>
      <c r="F529" s="118"/>
      <c r="G529" s="118"/>
      <c r="H529" s="1178"/>
      <c r="I529" s="1178"/>
      <c r="J529" s="1178"/>
      <c r="K529" s="1178"/>
      <c r="L529" s="1178"/>
      <c r="M529" s="1178"/>
      <c r="N529" s="1178"/>
      <c r="O529" s="118"/>
      <c r="P529" s="118"/>
      <c r="Q529" s="118"/>
      <c r="R529" s="118"/>
      <c r="S529" s="118"/>
      <c r="T529" s="118"/>
      <c r="U529" s="118"/>
      <c r="V529" s="118"/>
      <c r="W529" s="118"/>
      <c r="X529" s="118"/>
      <c r="Y529" s="118"/>
      <c r="Z529" s="118"/>
      <c r="AA529" s="118"/>
      <c r="AB529" s="118"/>
    </row>
    <row r="530" spans="1:28" ht="15.95" customHeight="1">
      <c r="A530" s="118"/>
      <c r="B530" s="118"/>
      <c r="C530" s="163" t="s">
        <v>3401</v>
      </c>
      <c r="D530" s="162" t="s">
        <v>3402</v>
      </c>
      <c r="E530" s="161">
        <v>1210</v>
      </c>
      <c r="F530" s="118"/>
      <c r="G530" s="118"/>
      <c r="H530" s="1178"/>
      <c r="I530" s="1178"/>
      <c r="J530" s="1178"/>
      <c r="K530" s="1178"/>
      <c r="L530" s="1178"/>
      <c r="M530" s="1178"/>
      <c r="N530" s="1178"/>
      <c r="O530" s="118"/>
      <c r="P530" s="118"/>
      <c r="Q530" s="118"/>
      <c r="R530" s="118"/>
      <c r="S530" s="118"/>
      <c r="T530" s="118"/>
      <c r="U530" s="118"/>
      <c r="V530" s="118"/>
      <c r="W530" s="118"/>
      <c r="X530" s="118"/>
      <c r="Y530" s="118"/>
      <c r="Z530" s="118"/>
      <c r="AA530" s="118"/>
      <c r="AB530" s="118"/>
    </row>
    <row r="531" spans="1:28" ht="15.95" customHeight="1">
      <c r="A531" s="118"/>
      <c r="B531" s="118"/>
      <c r="C531" s="163" t="s">
        <v>3403</v>
      </c>
      <c r="D531" s="162" t="s">
        <v>3404</v>
      </c>
      <c r="E531" s="161">
        <v>1330</v>
      </c>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row>
    <row r="532" spans="1:28" ht="15.95" customHeight="1">
      <c r="A532" s="118"/>
      <c r="B532" s="118"/>
      <c r="C532" s="163" t="s">
        <v>3405</v>
      </c>
      <c r="D532" s="162" t="s">
        <v>3406</v>
      </c>
      <c r="E532" s="161">
        <v>8060</v>
      </c>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row>
    <row r="533" spans="1:28" ht="15.95" customHeight="1">
      <c r="A533" s="118"/>
      <c r="B533" s="118"/>
      <c r="C533" s="163" t="s">
        <v>3407</v>
      </c>
      <c r="D533" s="162" t="s">
        <v>3408</v>
      </c>
      <c r="E533" s="161">
        <v>716</v>
      </c>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row>
    <row r="534" spans="1:28" ht="15.95" customHeight="1">
      <c r="A534" s="118"/>
      <c r="B534" s="118"/>
      <c r="C534" s="163" t="s">
        <v>3409</v>
      </c>
      <c r="D534" s="162" t="s">
        <v>3410</v>
      </c>
      <c r="E534" s="161">
        <v>858</v>
      </c>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row>
    <row r="535" spans="1:28" ht="15.95" customHeight="1">
      <c r="A535" s="118"/>
      <c r="B535" s="118"/>
      <c r="C535" s="163" t="s">
        <v>3411</v>
      </c>
      <c r="D535" s="162" t="s">
        <v>3412</v>
      </c>
      <c r="E535" s="161">
        <v>804</v>
      </c>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row>
    <row r="536" spans="1:28" ht="15.95" customHeight="1">
      <c r="A536" s="118"/>
      <c r="B536" s="118"/>
      <c r="C536" s="163" t="s">
        <v>3413</v>
      </c>
      <c r="D536" s="162" t="s">
        <v>3414</v>
      </c>
      <c r="E536" s="161">
        <v>1650</v>
      </c>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row>
    <row r="537" spans="1:28" ht="15.95" customHeight="1">
      <c r="A537" s="118"/>
      <c r="B537" s="118"/>
      <c r="C537" s="163" t="s">
        <v>3415</v>
      </c>
      <c r="D537" s="162" t="s">
        <v>3416</v>
      </c>
      <c r="E537" s="161">
        <v>23500</v>
      </c>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row>
    <row r="538" spans="1:28" ht="15.95" customHeight="1">
      <c r="A538" s="118"/>
      <c r="B538" s="118"/>
      <c r="C538" s="163" t="s">
        <v>3417</v>
      </c>
      <c r="D538" s="162" t="s">
        <v>3418</v>
      </c>
      <c r="E538" s="161">
        <v>16100</v>
      </c>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row>
    <row r="539" spans="1:28" ht="15.95" customHeight="1">
      <c r="A539" s="118"/>
      <c r="B539" s="118"/>
      <c r="C539" s="163" t="s">
        <v>3419</v>
      </c>
      <c r="D539" s="162" t="s">
        <v>3420</v>
      </c>
      <c r="E539" s="161">
        <v>6630</v>
      </c>
      <c r="F539" s="144"/>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row>
    <row r="540" spans="1:28" ht="15.95" customHeight="1">
      <c r="A540" s="118"/>
      <c r="B540" s="118"/>
      <c r="C540" s="163" t="s">
        <v>3421</v>
      </c>
      <c r="D540" s="162" t="s">
        <v>3422</v>
      </c>
      <c r="E540" s="161">
        <v>11100</v>
      </c>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row>
    <row r="541" spans="1:28" ht="15.95" customHeight="1">
      <c r="A541" s="118"/>
      <c r="B541" s="118"/>
      <c r="C541" s="163" t="s">
        <v>3423</v>
      </c>
      <c r="D541" s="162" t="s">
        <v>3424</v>
      </c>
      <c r="E541" s="161">
        <v>8900</v>
      </c>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row>
    <row r="542" spans="1:28" ht="15.95" customHeight="1">
      <c r="A542" s="118"/>
      <c r="B542" s="118"/>
      <c r="C542" s="163" t="s">
        <v>3425</v>
      </c>
      <c r="D542" s="162" t="s">
        <v>3426</v>
      </c>
      <c r="E542" s="161">
        <v>9540</v>
      </c>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row>
    <row r="543" spans="1:28" ht="15.95" customHeight="1">
      <c r="A543" s="118"/>
      <c r="B543" s="118"/>
      <c r="C543" s="163" t="s">
        <v>3427</v>
      </c>
      <c r="D543" s="162" t="s">
        <v>3428</v>
      </c>
      <c r="E543" s="161">
        <v>9200</v>
      </c>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row>
    <row r="544" spans="1:28" ht="15.95" customHeight="1">
      <c r="A544" s="118"/>
      <c r="B544" s="118"/>
      <c r="C544" s="163" t="s">
        <v>3429</v>
      </c>
      <c r="D544" s="162" t="s">
        <v>3430</v>
      </c>
      <c r="E544" s="161">
        <v>8550</v>
      </c>
      <c r="F544" s="118"/>
      <c r="G544" s="118"/>
      <c r="H544" s="118"/>
      <c r="I544" s="118"/>
      <c r="J544" s="118"/>
      <c r="K544" s="118"/>
      <c r="L544" s="118"/>
      <c r="M544" s="118"/>
      <c r="N544" s="118"/>
      <c r="O544" s="157"/>
      <c r="P544" s="118"/>
      <c r="Q544" s="118"/>
      <c r="R544" s="118"/>
      <c r="S544" s="118"/>
      <c r="T544" s="118"/>
      <c r="U544" s="118"/>
      <c r="V544" s="118"/>
      <c r="W544" s="118"/>
      <c r="X544" s="118"/>
      <c r="Y544" s="118"/>
      <c r="Z544" s="118"/>
      <c r="AA544" s="118"/>
      <c r="AB544" s="118"/>
    </row>
    <row r="545" spans="1:28" ht="15.95" customHeight="1">
      <c r="A545" s="118"/>
      <c r="B545" s="118"/>
      <c r="C545" s="163" t="s">
        <v>3431</v>
      </c>
      <c r="D545" s="162" t="s">
        <v>3432</v>
      </c>
      <c r="E545" s="161">
        <v>7910</v>
      </c>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row>
    <row r="546" spans="1:28" ht="15.95" customHeight="1" thickBot="1">
      <c r="A546" s="118"/>
      <c r="B546" s="118"/>
      <c r="C546" s="160" t="s">
        <v>3433</v>
      </c>
      <c r="D546" s="159" t="s">
        <v>3434</v>
      </c>
      <c r="E546" s="158">
        <v>7190</v>
      </c>
      <c r="F546" s="118"/>
      <c r="G546" s="118"/>
      <c r="H546" s="118"/>
      <c r="I546" s="118"/>
      <c r="J546" s="118"/>
      <c r="K546" s="118"/>
      <c r="L546" s="118"/>
      <c r="M546" s="118"/>
      <c r="N546" s="118"/>
      <c r="O546" s="157"/>
      <c r="P546" s="118"/>
      <c r="Q546" s="118"/>
      <c r="R546" s="118"/>
      <c r="S546" s="118"/>
      <c r="T546" s="118"/>
      <c r="U546" s="118"/>
      <c r="V546" s="118"/>
      <c r="W546" s="118"/>
      <c r="X546" s="118"/>
      <c r="Y546" s="118"/>
      <c r="Z546" s="118"/>
      <c r="AA546" s="118"/>
      <c r="AB546" s="118"/>
    </row>
    <row r="547" spans="1:28" ht="48.75" customHeight="1">
      <c r="A547" s="118"/>
      <c r="B547" s="118"/>
      <c r="C547" s="1170" t="s">
        <v>3435</v>
      </c>
      <c r="D547" s="1170"/>
      <c r="E547" s="1170"/>
      <c r="F547" s="1170"/>
      <c r="G547" s="1170"/>
      <c r="H547" s="1170"/>
      <c r="I547" s="1170"/>
      <c r="J547" s="1170"/>
      <c r="K547" s="1170"/>
      <c r="L547" s="1170"/>
      <c r="M547" s="118"/>
      <c r="N547" s="118"/>
      <c r="O547" s="118"/>
      <c r="P547" s="118"/>
      <c r="Q547" s="118"/>
      <c r="R547" s="118"/>
      <c r="S547" s="118"/>
      <c r="T547" s="118"/>
      <c r="U547" s="118"/>
      <c r="V547" s="118"/>
      <c r="W547" s="118"/>
      <c r="X547" s="118"/>
      <c r="Y547" s="118"/>
      <c r="Z547" s="118"/>
      <c r="AA547" s="118"/>
    </row>
    <row r="548" spans="1:28">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row>
    <row r="549" spans="1:28" ht="15.75">
      <c r="B549" s="155" t="s">
        <v>3436</v>
      </c>
      <c r="C549" s="154" t="s">
        <v>3437</v>
      </c>
      <c r="D549" s="153"/>
      <c r="E549" s="153"/>
      <c r="F549" s="153"/>
      <c r="G549" s="153"/>
      <c r="H549" s="153"/>
      <c r="I549" s="153"/>
      <c r="J549" s="153"/>
      <c r="K549" s="153"/>
      <c r="L549" s="152"/>
      <c r="M549" s="118"/>
      <c r="N549" s="118"/>
      <c r="O549" s="118"/>
      <c r="P549" s="118"/>
      <c r="Q549" s="118"/>
      <c r="R549" s="118"/>
      <c r="S549" s="118"/>
      <c r="T549" s="118"/>
      <c r="U549" s="118"/>
      <c r="V549" s="118"/>
      <c r="W549" s="118"/>
      <c r="X549" s="118"/>
      <c r="Y549" s="118"/>
      <c r="Z549" s="118"/>
      <c r="AA549" s="118"/>
    </row>
    <row r="550" spans="1:28" ht="16.5" thickBot="1">
      <c r="A550" s="118"/>
      <c r="B550" s="151"/>
      <c r="C550" s="150"/>
      <c r="D550" s="118"/>
      <c r="E550" s="118"/>
      <c r="F550" s="118"/>
      <c r="G550" s="118"/>
      <c r="H550" s="118"/>
      <c r="I550" s="144"/>
      <c r="J550" s="118"/>
      <c r="K550" s="118"/>
      <c r="L550" s="118"/>
      <c r="M550" s="118"/>
      <c r="N550" s="118"/>
      <c r="O550" s="118"/>
      <c r="P550" s="118"/>
      <c r="Q550" s="118"/>
      <c r="R550" s="118"/>
      <c r="S550" s="118"/>
      <c r="T550" s="118"/>
      <c r="U550" s="118"/>
      <c r="V550" s="118"/>
      <c r="W550" s="118"/>
      <c r="X550" s="118"/>
      <c r="Y550" s="118"/>
      <c r="Z550" s="118"/>
      <c r="AA550" s="118"/>
    </row>
    <row r="551" spans="1:28" ht="13.5" thickBot="1">
      <c r="A551" s="118"/>
      <c r="B551" s="118"/>
      <c r="C551" s="149" t="s">
        <v>3438</v>
      </c>
      <c r="D551" s="148" t="s">
        <v>3439</v>
      </c>
      <c r="E551" s="147" t="s">
        <v>3440</v>
      </c>
      <c r="F551" s="146"/>
      <c r="G551" s="146"/>
      <c r="H551" s="145"/>
      <c r="I551" s="144"/>
      <c r="J551" s="118"/>
      <c r="K551" s="118"/>
      <c r="L551" s="118"/>
      <c r="M551" s="118"/>
      <c r="N551" s="118"/>
      <c r="O551" s="118"/>
      <c r="P551" s="118"/>
      <c r="Q551" s="118"/>
      <c r="R551" s="118"/>
      <c r="S551" s="118"/>
      <c r="T551" s="118"/>
      <c r="U551" s="118"/>
      <c r="V551" s="118"/>
      <c r="W551" s="118"/>
      <c r="X551" s="118"/>
      <c r="Y551" s="118"/>
      <c r="Z551" s="118"/>
      <c r="AA551" s="118"/>
    </row>
    <row r="552" spans="1:28">
      <c r="A552" s="118"/>
      <c r="B552" s="118"/>
      <c r="C552" s="143" t="s">
        <v>3441</v>
      </c>
      <c r="D552" s="142">
        <v>18</v>
      </c>
      <c r="E552" s="141" t="s">
        <v>3442</v>
      </c>
      <c r="F552" s="140"/>
      <c r="G552" s="140"/>
      <c r="H552" s="139"/>
      <c r="I552" s="138"/>
      <c r="J552" s="118"/>
      <c r="K552" s="118"/>
      <c r="L552" s="118"/>
      <c r="M552" s="118"/>
      <c r="N552" s="118"/>
      <c r="O552" s="118"/>
      <c r="P552" s="118"/>
      <c r="Q552" s="118"/>
      <c r="R552" s="118"/>
      <c r="S552" s="118"/>
      <c r="T552" s="118"/>
      <c r="U552" s="118"/>
      <c r="V552" s="118"/>
      <c r="W552" s="118"/>
      <c r="X552" s="118"/>
      <c r="Y552" s="118"/>
      <c r="Z552" s="118"/>
      <c r="AA552" s="118"/>
    </row>
    <row r="553" spans="1:28">
      <c r="A553" s="118"/>
      <c r="B553" s="118"/>
      <c r="C553" s="129" t="s">
        <v>3443</v>
      </c>
      <c r="D553" s="128">
        <v>15</v>
      </c>
      <c r="E553" s="127" t="s">
        <v>3444</v>
      </c>
      <c r="F553" s="126"/>
      <c r="G553" s="126"/>
      <c r="H553" s="125"/>
      <c r="I553" s="119"/>
      <c r="J553" s="118"/>
      <c r="K553" s="118"/>
      <c r="L553" s="118"/>
      <c r="M553" s="118"/>
      <c r="N553" s="118"/>
      <c r="O553" s="118"/>
      <c r="P553" s="118"/>
      <c r="Q553" s="118"/>
      <c r="R553" s="118"/>
      <c r="S553" s="118"/>
      <c r="T553" s="118"/>
      <c r="U553" s="118"/>
      <c r="V553" s="118"/>
      <c r="W553" s="118"/>
      <c r="X553" s="118"/>
      <c r="Y553" s="118"/>
      <c r="Z553" s="118"/>
      <c r="AA553" s="118"/>
    </row>
    <row r="554" spans="1:28">
      <c r="A554" s="118"/>
      <c r="B554" s="118"/>
      <c r="C554" s="129" t="s">
        <v>3445</v>
      </c>
      <c r="D554" s="128">
        <v>21</v>
      </c>
      <c r="E554" s="127" t="s">
        <v>3446</v>
      </c>
      <c r="F554" s="126"/>
      <c r="G554" s="126"/>
      <c r="H554" s="125"/>
      <c r="I554" s="119"/>
      <c r="J554" s="118"/>
      <c r="K554" s="118"/>
      <c r="L554" s="118"/>
      <c r="M554" s="118"/>
      <c r="N554" s="118"/>
      <c r="O554" s="118"/>
      <c r="P554" s="118"/>
      <c r="Q554" s="118"/>
      <c r="R554" s="118"/>
      <c r="S554" s="118"/>
      <c r="T554" s="118"/>
      <c r="U554" s="118"/>
      <c r="V554" s="118"/>
      <c r="W554" s="118"/>
      <c r="X554" s="118"/>
      <c r="Y554" s="118"/>
      <c r="Z554" s="118"/>
      <c r="AA554" s="118"/>
    </row>
    <row r="555" spans="1:28">
      <c r="A555" s="118"/>
      <c r="B555" s="118"/>
      <c r="C555" s="129" t="s">
        <v>3447</v>
      </c>
      <c r="D555" s="128">
        <v>1902</v>
      </c>
      <c r="E555" s="127" t="s">
        <v>3448</v>
      </c>
      <c r="F555" s="126"/>
      <c r="G555" s="126"/>
      <c r="H555" s="125"/>
      <c r="I555" s="119"/>
      <c r="J555" s="118"/>
      <c r="K555" s="118"/>
      <c r="L555" s="118"/>
      <c r="M555" s="118"/>
      <c r="N555" s="118"/>
      <c r="O555" s="118"/>
      <c r="P555" s="118"/>
      <c r="Q555" s="118"/>
      <c r="R555" s="118"/>
      <c r="S555" s="118"/>
      <c r="T555" s="118"/>
      <c r="U555" s="118"/>
      <c r="V555" s="118"/>
      <c r="W555" s="118"/>
      <c r="X555" s="118"/>
      <c r="Y555" s="118"/>
      <c r="Z555" s="118"/>
      <c r="AA555" s="118"/>
    </row>
    <row r="556" spans="1:28">
      <c r="A556" s="118"/>
      <c r="B556" s="118"/>
      <c r="C556" s="129" t="s">
        <v>3449</v>
      </c>
      <c r="D556" s="128">
        <v>1205</v>
      </c>
      <c r="E556" s="127" t="s">
        <v>3450</v>
      </c>
      <c r="F556" s="126"/>
      <c r="G556" s="126"/>
      <c r="H556" s="125"/>
      <c r="I556" s="119"/>
      <c r="J556" s="118"/>
      <c r="K556" s="118"/>
      <c r="L556" s="118"/>
      <c r="M556" s="118"/>
      <c r="N556" s="118"/>
      <c r="O556" s="118"/>
      <c r="P556" s="118"/>
      <c r="Q556" s="118"/>
      <c r="R556" s="118"/>
      <c r="S556" s="118"/>
      <c r="T556" s="118"/>
      <c r="U556" s="118"/>
      <c r="V556" s="118"/>
      <c r="W556" s="118"/>
      <c r="X556" s="118"/>
      <c r="Y556" s="118"/>
      <c r="Z556" s="118"/>
      <c r="AA556" s="118"/>
    </row>
    <row r="557" spans="1:28">
      <c r="A557" s="118"/>
      <c r="B557" s="118"/>
      <c r="C557" s="129" t="s">
        <v>3451</v>
      </c>
      <c r="D557" s="128">
        <v>3471</v>
      </c>
      <c r="E557" s="127" t="s">
        <v>3452</v>
      </c>
      <c r="F557" s="126"/>
      <c r="G557" s="126"/>
      <c r="H557" s="125"/>
      <c r="I557" s="119"/>
      <c r="J557" s="118"/>
      <c r="K557" s="118"/>
      <c r="L557" s="118"/>
      <c r="M557" s="118"/>
      <c r="N557" s="118"/>
      <c r="O557" s="118"/>
      <c r="P557" s="118"/>
      <c r="Q557" s="118"/>
      <c r="R557" s="118"/>
      <c r="S557" s="118"/>
      <c r="T557" s="118"/>
      <c r="U557" s="118"/>
      <c r="V557" s="118"/>
      <c r="W557" s="118"/>
      <c r="X557" s="118"/>
      <c r="Y557" s="118"/>
      <c r="Z557" s="118"/>
      <c r="AA557" s="118"/>
    </row>
    <row r="558" spans="1:28">
      <c r="A558" s="118"/>
      <c r="B558" s="118"/>
      <c r="C558" s="129" t="s">
        <v>3453</v>
      </c>
      <c r="D558" s="128">
        <v>3943</v>
      </c>
      <c r="E558" s="127" t="s">
        <v>3454</v>
      </c>
      <c r="F558" s="126"/>
      <c r="G558" s="126"/>
      <c r="H558" s="125"/>
      <c r="I558" s="119"/>
      <c r="J558" s="118"/>
      <c r="K558" s="118"/>
      <c r="L558" s="118"/>
      <c r="M558" s="118"/>
      <c r="N558" s="118"/>
      <c r="O558" s="118"/>
      <c r="P558" s="118"/>
      <c r="Q558" s="118"/>
      <c r="R558" s="118"/>
      <c r="S558" s="118"/>
      <c r="T558" s="118"/>
      <c r="U558" s="118"/>
      <c r="V558" s="118"/>
      <c r="W558" s="118"/>
      <c r="X558" s="118"/>
      <c r="Y558" s="118"/>
      <c r="Z558" s="118"/>
      <c r="AA558" s="118"/>
    </row>
    <row r="559" spans="1:28">
      <c r="A559" s="118"/>
      <c r="B559" s="118"/>
      <c r="C559" s="129" t="s">
        <v>3455</v>
      </c>
      <c r="D559" s="137">
        <v>0</v>
      </c>
      <c r="E559" s="127" t="s">
        <v>3456</v>
      </c>
      <c r="F559" s="126"/>
      <c r="G559" s="126"/>
      <c r="H559" s="125"/>
      <c r="I559" s="119"/>
      <c r="J559" s="118"/>
      <c r="K559" s="118"/>
      <c r="L559" s="118"/>
      <c r="M559" s="118"/>
      <c r="N559" s="118"/>
      <c r="O559" s="118"/>
      <c r="P559" s="118"/>
      <c r="Q559" s="118"/>
      <c r="R559" s="118"/>
      <c r="S559" s="118"/>
      <c r="T559" s="118"/>
      <c r="U559" s="118"/>
      <c r="V559" s="118"/>
      <c r="W559" s="118"/>
      <c r="X559" s="118"/>
      <c r="Y559" s="118"/>
      <c r="Z559" s="118"/>
      <c r="AA559" s="118"/>
    </row>
    <row r="560" spans="1:28">
      <c r="A560" s="118"/>
      <c r="B560" s="118"/>
      <c r="C560" s="129" t="s">
        <v>3457</v>
      </c>
      <c r="D560" s="128">
        <v>1923</v>
      </c>
      <c r="E560" s="127" t="s">
        <v>3458</v>
      </c>
      <c r="F560" s="126"/>
      <c r="G560" s="126"/>
      <c r="H560" s="125"/>
      <c r="I560" s="119"/>
      <c r="J560" s="118"/>
      <c r="K560" s="118"/>
      <c r="L560" s="118"/>
      <c r="M560" s="118"/>
      <c r="N560" s="118"/>
      <c r="O560" s="118"/>
      <c r="P560" s="118"/>
      <c r="Q560" s="118"/>
      <c r="R560" s="118"/>
      <c r="S560" s="118"/>
      <c r="T560" s="118"/>
      <c r="U560" s="118"/>
      <c r="V560" s="118"/>
      <c r="W560" s="118"/>
      <c r="X560" s="118"/>
      <c r="Y560" s="118"/>
      <c r="Z560" s="118"/>
      <c r="AA560" s="118"/>
    </row>
    <row r="561" spans="1:27">
      <c r="A561" s="118"/>
      <c r="B561" s="118"/>
      <c r="C561" s="129" t="s">
        <v>3459</v>
      </c>
      <c r="D561" s="128">
        <v>2547</v>
      </c>
      <c r="E561" s="127" t="s">
        <v>3460</v>
      </c>
      <c r="F561" s="126"/>
      <c r="G561" s="126"/>
      <c r="H561" s="125"/>
      <c r="I561" s="119"/>
      <c r="J561" s="118"/>
      <c r="K561" s="118"/>
      <c r="L561" s="118"/>
      <c r="M561" s="118"/>
      <c r="N561" s="118"/>
      <c r="O561" s="118"/>
      <c r="P561" s="118"/>
      <c r="Q561" s="118"/>
      <c r="R561" s="118"/>
      <c r="S561" s="118"/>
      <c r="T561" s="118"/>
      <c r="U561" s="118"/>
      <c r="V561" s="118"/>
      <c r="W561" s="118"/>
      <c r="X561" s="118"/>
      <c r="Y561" s="118"/>
      <c r="Z561" s="118"/>
      <c r="AA561" s="118"/>
    </row>
    <row r="562" spans="1:27">
      <c r="A562" s="118"/>
      <c r="B562" s="118"/>
      <c r="C562" s="129" t="s">
        <v>3461</v>
      </c>
      <c r="D562" s="128">
        <v>1624</v>
      </c>
      <c r="E562" s="127" t="s">
        <v>3462</v>
      </c>
      <c r="F562" s="126"/>
      <c r="G562" s="126"/>
      <c r="H562" s="125"/>
      <c r="I562" s="119"/>
      <c r="J562" s="118"/>
      <c r="K562" s="118"/>
      <c r="L562" s="118"/>
      <c r="M562" s="118"/>
      <c r="N562" s="118"/>
      <c r="O562" s="118"/>
      <c r="P562" s="118"/>
      <c r="Q562" s="118"/>
      <c r="R562" s="118"/>
      <c r="S562" s="118"/>
      <c r="T562" s="118"/>
      <c r="U562" s="118"/>
      <c r="V562" s="118"/>
      <c r="W562" s="118"/>
      <c r="X562" s="118"/>
      <c r="Y562" s="118"/>
      <c r="Z562" s="118"/>
      <c r="AA562" s="118"/>
    </row>
    <row r="563" spans="1:27">
      <c r="A563" s="118"/>
      <c r="B563" s="118"/>
      <c r="C563" s="129" t="s">
        <v>3463</v>
      </c>
      <c r="D563" s="128">
        <v>1487</v>
      </c>
      <c r="E563" s="127" t="s">
        <v>3464</v>
      </c>
      <c r="F563" s="126"/>
      <c r="G563" s="126"/>
      <c r="H563" s="125"/>
      <c r="I563" s="119"/>
      <c r="J563" s="118"/>
      <c r="K563" s="118"/>
      <c r="L563" s="118"/>
      <c r="M563" s="118"/>
      <c r="N563" s="118"/>
      <c r="O563" s="118"/>
      <c r="P563" s="118"/>
      <c r="Q563" s="118"/>
      <c r="R563" s="118"/>
      <c r="S563" s="118"/>
      <c r="T563" s="118"/>
      <c r="U563" s="118"/>
      <c r="V563" s="118"/>
      <c r="W563" s="118"/>
      <c r="X563" s="118"/>
      <c r="Y563" s="118"/>
      <c r="Z563" s="118"/>
      <c r="AA563" s="118"/>
    </row>
    <row r="564" spans="1:27">
      <c r="A564" s="118"/>
      <c r="B564" s="118"/>
      <c r="C564" s="129" t="s">
        <v>3465</v>
      </c>
      <c r="D564" s="128">
        <v>2430</v>
      </c>
      <c r="E564" s="127" t="s">
        <v>3466</v>
      </c>
      <c r="F564" s="126"/>
      <c r="G564" s="126"/>
      <c r="H564" s="125"/>
      <c r="I564" s="119"/>
      <c r="J564" s="118"/>
      <c r="K564" s="118"/>
      <c r="L564" s="118"/>
      <c r="M564" s="118"/>
      <c r="N564" s="118"/>
      <c r="O564" s="118"/>
      <c r="P564" s="118"/>
      <c r="Q564" s="118"/>
      <c r="R564" s="118"/>
      <c r="S564" s="118"/>
      <c r="T564" s="118"/>
      <c r="U564" s="118"/>
      <c r="V564" s="118"/>
      <c r="W564" s="118"/>
      <c r="X564" s="118"/>
      <c r="Y564" s="118"/>
      <c r="Z564" s="118"/>
      <c r="AA564" s="118"/>
    </row>
    <row r="565" spans="1:27">
      <c r="A565" s="118"/>
      <c r="B565" s="118"/>
      <c r="C565" s="129" t="s">
        <v>3467</v>
      </c>
      <c r="D565" s="137">
        <v>0</v>
      </c>
      <c r="E565" s="127" t="s">
        <v>3468</v>
      </c>
      <c r="F565" s="126"/>
      <c r="G565" s="126"/>
      <c r="H565" s="125"/>
      <c r="I565" s="119"/>
      <c r="J565" s="118"/>
      <c r="K565" s="118"/>
      <c r="L565" s="118"/>
      <c r="M565" s="118"/>
      <c r="N565" s="118"/>
      <c r="O565" s="118"/>
      <c r="P565" s="118"/>
      <c r="Q565" s="118"/>
      <c r="R565" s="118"/>
      <c r="S565" s="118"/>
      <c r="T565" s="118"/>
      <c r="U565" s="118"/>
      <c r="V565" s="118"/>
      <c r="W565" s="118"/>
      <c r="X565" s="118"/>
      <c r="Y565" s="118"/>
      <c r="Z565" s="118"/>
      <c r="AA565" s="118"/>
    </row>
    <row r="566" spans="1:27">
      <c r="A566" s="118"/>
      <c r="B566" s="118"/>
      <c r="C566" s="129" t="s">
        <v>3469</v>
      </c>
      <c r="D566" s="128">
        <v>1924</v>
      </c>
      <c r="E566" s="127" t="s">
        <v>3470</v>
      </c>
      <c r="F566" s="126"/>
      <c r="G566" s="126"/>
      <c r="H566" s="125"/>
      <c r="I566" s="119"/>
      <c r="J566" s="118"/>
      <c r="K566" s="118"/>
      <c r="L566" s="118"/>
      <c r="M566" s="118"/>
      <c r="N566" s="118"/>
      <c r="O566" s="118"/>
      <c r="P566" s="118"/>
      <c r="Q566" s="118"/>
      <c r="R566" s="118"/>
      <c r="S566" s="118"/>
      <c r="T566" s="118"/>
      <c r="U566" s="118"/>
      <c r="V566" s="118"/>
      <c r="W566" s="118"/>
      <c r="X566" s="118"/>
      <c r="Y566" s="118"/>
      <c r="Z566" s="118"/>
      <c r="AA566" s="118"/>
    </row>
    <row r="567" spans="1:27">
      <c r="A567" s="118"/>
      <c r="B567" s="118"/>
      <c r="C567" s="129" t="s">
        <v>3471</v>
      </c>
      <c r="D567" s="128">
        <v>2048</v>
      </c>
      <c r="E567" s="127" t="s">
        <v>3472</v>
      </c>
      <c r="F567" s="126"/>
      <c r="G567" s="126"/>
      <c r="H567" s="125"/>
      <c r="I567" s="119"/>
      <c r="J567" s="118"/>
      <c r="K567" s="118"/>
      <c r="L567" s="118"/>
      <c r="M567" s="118"/>
      <c r="N567" s="118"/>
      <c r="O567" s="118"/>
      <c r="P567" s="118"/>
      <c r="Q567" s="118"/>
      <c r="R567" s="118"/>
      <c r="S567" s="118"/>
      <c r="T567" s="118"/>
      <c r="U567" s="118"/>
      <c r="V567" s="118"/>
      <c r="W567" s="118"/>
      <c r="X567" s="118"/>
      <c r="Y567" s="118"/>
      <c r="Z567" s="118"/>
      <c r="AA567" s="118"/>
    </row>
    <row r="568" spans="1:27">
      <c r="A568" s="118"/>
      <c r="B568" s="118"/>
      <c r="C568" s="129" t="s">
        <v>3473</v>
      </c>
      <c r="D568" s="128">
        <v>15</v>
      </c>
      <c r="E568" s="127" t="s">
        <v>3474</v>
      </c>
      <c r="F568" s="126"/>
      <c r="G568" s="126"/>
      <c r="H568" s="125"/>
      <c r="I568" s="119"/>
      <c r="J568" s="118"/>
      <c r="K568" s="118"/>
      <c r="L568" s="118"/>
      <c r="M568" s="118"/>
      <c r="N568" s="118"/>
      <c r="O568" s="118"/>
      <c r="P568" s="118"/>
      <c r="Q568" s="118"/>
      <c r="R568" s="118"/>
      <c r="S568" s="118"/>
      <c r="T568" s="118"/>
      <c r="U568" s="118"/>
      <c r="V568" s="118"/>
      <c r="W568" s="118"/>
      <c r="X568" s="118"/>
      <c r="Y568" s="118"/>
      <c r="Z568" s="118"/>
      <c r="AA568" s="118"/>
    </row>
    <row r="569" spans="1:27">
      <c r="A569" s="118"/>
      <c r="B569" s="118"/>
      <c r="C569" s="129" t="s">
        <v>3475</v>
      </c>
      <c r="D569" s="130">
        <v>4</v>
      </c>
      <c r="E569" s="127" t="s">
        <v>3476</v>
      </c>
      <c r="F569" s="126"/>
      <c r="G569" s="126"/>
      <c r="H569" s="125"/>
      <c r="I569" s="119"/>
      <c r="J569" s="118"/>
      <c r="K569" s="118"/>
      <c r="L569" s="118"/>
      <c r="M569" s="118"/>
      <c r="N569" s="118"/>
      <c r="O569" s="118"/>
      <c r="P569" s="118"/>
      <c r="Q569" s="118"/>
      <c r="R569" s="118"/>
      <c r="S569" s="118"/>
      <c r="T569" s="118"/>
      <c r="U569" s="118"/>
      <c r="V569" s="118"/>
      <c r="W569" s="118"/>
      <c r="X569" s="118"/>
      <c r="Y569" s="118"/>
      <c r="Z569" s="118"/>
      <c r="AA569" s="118"/>
    </row>
    <row r="570" spans="1:27">
      <c r="A570" s="118"/>
      <c r="B570" s="118"/>
      <c r="C570" s="129" t="s">
        <v>3477</v>
      </c>
      <c r="D570" s="130">
        <v>0</v>
      </c>
      <c r="E570" s="127" t="s">
        <v>3478</v>
      </c>
      <c r="F570" s="126"/>
      <c r="G570" s="126"/>
      <c r="H570" s="125"/>
      <c r="I570" s="119"/>
      <c r="J570" s="118"/>
      <c r="K570" s="118"/>
      <c r="L570" s="118"/>
      <c r="M570" s="118"/>
      <c r="N570" s="118"/>
      <c r="O570" s="118"/>
      <c r="P570" s="118"/>
      <c r="Q570" s="118"/>
      <c r="R570" s="118"/>
      <c r="S570" s="118"/>
      <c r="T570" s="118"/>
      <c r="U570" s="118"/>
      <c r="V570" s="118"/>
      <c r="W570" s="118"/>
      <c r="X570" s="118"/>
      <c r="Y570" s="118"/>
      <c r="Z570" s="118"/>
      <c r="AA570" s="118"/>
    </row>
    <row r="571" spans="1:27">
      <c r="A571" s="118"/>
      <c r="B571" s="118"/>
      <c r="C571" s="129" t="s">
        <v>3479</v>
      </c>
      <c r="D571" s="130">
        <v>0</v>
      </c>
      <c r="E571" s="127" t="s">
        <v>3480</v>
      </c>
      <c r="F571" s="126"/>
      <c r="G571" s="126"/>
      <c r="H571" s="125"/>
      <c r="I571" s="119"/>
      <c r="J571" s="118"/>
      <c r="K571" s="118"/>
      <c r="L571" s="118"/>
      <c r="M571" s="118"/>
      <c r="N571" s="118"/>
      <c r="O571" s="118"/>
      <c r="P571" s="118"/>
      <c r="Q571" s="118"/>
      <c r="R571" s="118"/>
      <c r="S571" s="118"/>
      <c r="T571" s="118"/>
      <c r="U571" s="118"/>
      <c r="V571" s="118"/>
      <c r="W571" s="118"/>
      <c r="X571" s="118"/>
      <c r="Y571" s="118"/>
      <c r="Z571" s="118"/>
      <c r="AA571" s="118"/>
    </row>
    <row r="572" spans="1:27">
      <c r="A572" s="118"/>
      <c r="B572" s="118"/>
      <c r="C572" s="129" t="s">
        <v>3481</v>
      </c>
      <c r="D572" s="128">
        <v>2127</v>
      </c>
      <c r="E572" s="127" t="s">
        <v>3482</v>
      </c>
      <c r="F572" s="126"/>
      <c r="G572" s="126"/>
      <c r="H572" s="125"/>
      <c r="I572" s="119"/>
      <c r="J572" s="118"/>
      <c r="K572" s="118"/>
      <c r="L572" s="118"/>
      <c r="M572" s="118"/>
      <c r="N572" s="118"/>
      <c r="O572" s="118"/>
      <c r="P572" s="118"/>
      <c r="Q572" s="118"/>
      <c r="R572" s="118"/>
      <c r="S572" s="118"/>
      <c r="T572" s="118"/>
      <c r="U572" s="118"/>
      <c r="V572" s="118"/>
      <c r="W572" s="118"/>
      <c r="X572" s="118"/>
      <c r="Y572" s="118"/>
      <c r="Z572" s="118"/>
      <c r="AA572" s="118"/>
    </row>
    <row r="573" spans="1:27">
      <c r="A573" s="118"/>
      <c r="B573" s="118"/>
      <c r="C573" s="129" t="s">
        <v>3483</v>
      </c>
      <c r="D573" s="128">
        <v>2847</v>
      </c>
      <c r="E573" s="127" t="s">
        <v>3484</v>
      </c>
      <c r="F573" s="126"/>
      <c r="G573" s="126"/>
      <c r="H573" s="125"/>
      <c r="I573" s="119"/>
      <c r="J573" s="118"/>
      <c r="K573" s="118"/>
      <c r="L573" s="118"/>
      <c r="M573" s="118"/>
      <c r="N573" s="118"/>
      <c r="O573" s="118"/>
      <c r="P573" s="118"/>
      <c r="Q573" s="118"/>
      <c r="R573" s="118"/>
      <c r="S573" s="118"/>
      <c r="T573" s="118"/>
      <c r="U573" s="118"/>
      <c r="V573" s="118"/>
      <c r="W573" s="118"/>
      <c r="X573" s="118"/>
      <c r="Y573" s="118"/>
      <c r="Z573" s="118"/>
      <c r="AA573" s="118"/>
    </row>
    <row r="574" spans="1:27">
      <c r="A574" s="118"/>
      <c r="B574" s="118"/>
      <c r="C574" s="129" t="s">
        <v>3485</v>
      </c>
      <c r="D574" s="128">
        <v>2473</v>
      </c>
      <c r="E574" s="127" t="s">
        <v>3486</v>
      </c>
      <c r="F574" s="126"/>
      <c r="G574" s="126"/>
      <c r="H574" s="125"/>
      <c r="I574" s="119"/>
      <c r="J574" s="118"/>
      <c r="K574" s="118"/>
      <c r="L574" s="118"/>
      <c r="M574" s="118"/>
      <c r="N574" s="118"/>
      <c r="O574" s="118"/>
      <c r="P574" s="118"/>
      <c r="Q574" s="118"/>
      <c r="R574" s="118"/>
      <c r="S574" s="118"/>
      <c r="T574" s="118"/>
      <c r="U574" s="118"/>
      <c r="V574" s="118"/>
      <c r="W574" s="118"/>
      <c r="X574" s="118"/>
      <c r="Y574" s="118"/>
      <c r="Z574" s="118"/>
      <c r="AA574" s="118"/>
    </row>
    <row r="575" spans="1:27">
      <c r="A575" s="118"/>
      <c r="B575" s="118"/>
      <c r="C575" s="129" t="s">
        <v>3487</v>
      </c>
      <c r="D575" s="128">
        <v>3104</v>
      </c>
      <c r="E575" s="136" t="s">
        <v>3488</v>
      </c>
      <c r="F575" s="133"/>
      <c r="G575" s="133"/>
      <c r="H575" s="132"/>
      <c r="I575" s="119"/>
      <c r="J575" s="118"/>
      <c r="K575" s="118"/>
      <c r="L575" s="118"/>
      <c r="M575" s="118"/>
      <c r="N575" s="118"/>
      <c r="O575" s="118"/>
      <c r="P575" s="118"/>
      <c r="Q575" s="118"/>
      <c r="R575" s="118"/>
      <c r="S575" s="118"/>
      <c r="T575" s="118"/>
      <c r="U575" s="118"/>
      <c r="V575" s="118"/>
      <c r="W575" s="118"/>
      <c r="X575" s="118"/>
      <c r="Y575" s="118"/>
      <c r="Z575" s="118"/>
      <c r="AA575" s="118"/>
    </row>
    <row r="576" spans="1:27">
      <c r="A576" s="118"/>
      <c r="B576" s="118"/>
      <c r="C576" s="129" t="s">
        <v>3489</v>
      </c>
      <c r="D576" s="128">
        <v>1371</v>
      </c>
      <c r="E576" s="136" t="s">
        <v>3490</v>
      </c>
      <c r="F576" s="133"/>
      <c r="G576" s="133"/>
      <c r="H576" s="132"/>
      <c r="I576" s="119"/>
      <c r="J576" s="118"/>
      <c r="K576" s="118"/>
      <c r="L576" s="118"/>
      <c r="M576" s="118"/>
      <c r="N576" s="118"/>
      <c r="O576" s="118"/>
      <c r="P576" s="118"/>
      <c r="Q576" s="118"/>
      <c r="R576" s="118"/>
      <c r="S576" s="118"/>
      <c r="T576" s="118"/>
      <c r="U576" s="118"/>
      <c r="V576" s="118"/>
      <c r="W576" s="118"/>
      <c r="X576" s="118"/>
      <c r="Y576" s="118"/>
      <c r="Z576" s="118"/>
      <c r="AA576" s="118"/>
    </row>
    <row r="577" spans="1:27">
      <c r="A577" s="118"/>
      <c r="B577" s="118"/>
      <c r="C577" s="129" t="s">
        <v>3491</v>
      </c>
      <c r="D577" s="128">
        <v>3417</v>
      </c>
      <c r="E577" s="135" t="s">
        <v>3492</v>
      </c>
      <c r="F577" s="126"/>
      <c r="G577" s="126"/>
      <c r="H577" s="125"/>
      <c r="I577" s="119"/>
      <c r="J577" s="118"/>
      <c r="K577" s="118"/>
      <c r="L577" s="118"/>
      <c r="M577" s="118"/>
      <c r="N577" s="118"/>
      <c r="O577" s="118"/>
      <c r="P577" s="118"/>
      <c r="Q577" s="118"/>
      <c r="R577" s="118"/>
      <c r="S577" s="118"/>
      <c r="T577" s="118"/>
      <c r="U577" s="118"/>
      <c r="V577" s="118"/>
      <c r="W577" s="118"/>
      <c r="X577" s="118"/>
      <c r="Y577" s="118"/>
      <c r="Z577" s="118"/>
      <c r="AA577" s="118"/>
    </row>
    <row r="578" spans="1:27">
      <c r="A578" s="118"/>
      <c r="B578" s="118"/>
      <c r="C578" s="129" t="s">
        <v>3493</v>
      </c>
      <c r="D578" s="128">
        <v>3075</v>
      </c>
      <c r="E578" s="134" t="s">
        <v>3494</v>
      </c>
      <c r="F578" s="133"/>
      <c r="G578" s="133"/>
      <c r="H578" s="132"/>
      <c r="I578" s="119"/>
      <c r="J578" s="118"/>
      <c r="K578" s="118"/>
      <c r="L578" s="118"/>
      <c r="M578" s="118"/>
      <c r="N578" s="118"/>
      <c r="O578" s="118"/>
      <c r="P578" s="118"/>
      <c r="Q578" s="118"/>
      <c r="R578" s="118"/>
      <c r="S578" s="118"/>
      <c r="T578" s="118"/>
      <c r="U578" s="118"/>
      <c r="V578" s="118"/>
      <c r="W578" s="118"/>
      <c r="X578" s="118"/>
      <c r="Y578" s="118"/>
      <c r="Z578" s="118"/>
      <c r="AA578" s="118"/>
    </row>
    <row r="579" spans="1:27">
      <c r="A579" s="118"/>
      <c r="B579" s="118"/>
      <c r="C579" s="131" t="s">
        <v>3495</v>
      </c>
      <c r="D579" s="130">
        <v>3985</v>
      </c>
      <c r="E579" s="127" t="s">
        <v>3496</v>
      </c>
      <c r="F579" s="126"/>
      <c r="G579" s="126"/>
      <c r="H579" s="125"/>
      <c r="I579" s="119"/>
      <c r="J579" s="118"/>
      <c r="K579" s="118"/>
      <c r="L579" s="118"/>
      <c r="M579" s="118"/>
      <c r="N579" s="118"/>
      <c r="O579" s="118"/>
      <c r="P579" s="118"/>
      <c r="Q579" s="118"/>
      <c r="R579" s="118"/>
      <c r="S579" s="118"/>
      <c r="T579" s="118"/>
      <c r="U579" s="118"/>
      <c r="V579" s="118"/>
      <c r="W579" s="118"/>
      <c r="X579" s="118"/>
      <c r="Y579" s="118"/>
      <c r="Z579" s="118"/>
      <c r="AA579" s="118"/>
    </row>
    <row r="580" spans="1:27">
      <c r="A580" s="118"/>
      <c r="B580" s="118"/>
      <c r="C580" s="129" t="s">
        <v>3497</v>
      </c>
      <c r="D580" s="128">
        <v>11607</v>
      </c>
      <c r="E580" s="127" t="s">
        <v>3498</v>
      </c>
      <c r="F580" s="126"/>
      <c r="G580" s="126"/>
      <c r="H580" s="125"/>
      <c r="I580" s="119"/>
      <c r="J580" s="118"/>
      <c r="K580" s="118"/>
      <c r="L580" s="118"/>
      <c r="M580" s="118"/>
      <c r="N580" s="118"/>
      <c r="O580" s="118"/>
      <c r="P580" s="118"/>
      <c r="Q580" s="118"/>
      <c r="R580" s="118"/>
      <c r="S580" s="118"/>
      <c r="T580" s="118"/>
      <c r="U580" s="118"/>
      <c r="V580" s="118"/>
      <c r="W580" s="118"/>
      <c r="X580" s="118"/>
      <c r="Y580" s="118"/>
      <c r="Z580" s="118"/>
      <c r="AA580" s="118"/>
    </row>
    <row r="581" spans="1:27" ht="13.5" thickBot="1">
      <c r="A581" s="118"/>
      <c r="B581" s="118"/>
      <c r="C581" s="124" t="s">
        <v>3499</v>
      </c>
      <c r="D581" s="123">
        <v>11698</v>
      </c>
      <c r="E581" s="122" t="s">
        <v>3500</v>
      </c>
      <c r="F581" s="121"/>
      <c r="G581" s="121"/>
      <c r="H581" s="120"/>
      <c r="I581" s="119"/>
      <c r="J581" s="118"/>
      <c r="K581" s="118"/>
      <c r="L581" s="118"/>
      <c r="M581" s="118"/>
      <c r="N581" s="118"/>
      <c r="O581" s="118"/>
      <c r="P581" s="118"/>
      <c r="Q581" s="118"/>
      <c r="R581" s="118"/>
      <c r="S581" s="118"/>
      <c r="T581" s="118"/>
      <c r="U581" s="118"/>
      <c r="V581" s="118"/>
      <c r="W581" s="118"/>
      <c r="X581" s="118"/>
      <c r="Y581" s="118"/>
      <c r="Z581" s="118"/>
      <c r="AA581" s="118"/>
    </row>
    <row r="582" spans="1:27" s="113" customFormat="1" ht="41.25" customHeight="1">
      <c r="A582" s="114"/>
      <c r="B582" s="117"/>
      <c r="C582" s="1177" t="s">
        <v>3501</v>
      </c>
      <c r="D582" s="1177"/>
      <c r="E582" s="1177"/>
      <c r="F582" s="1177"/>
      <c r="G582" s="1177"/>
      <c r="H582" s="1177"/>
      <c r="I582" s="1177"/>
      <c r="J582" s="1177"/>
      <c r="K582" s="1177"/>
      <c r="L582" s="1177"/>
      <c r="M582" s="115"/>
      <c r="N582" s="114"/>
      <c r="O582" s="114"/>
      <c r="P582" s="114"/>
      <c r="Q582" s="114"/>
      <c r="R582" s="114"/>
      <c r="S582" s="114"/>
      <c r="T582" s="114"/>
      <c r="U582" s="114"/>
      <c r="V582" s="114"/>
      <c r="W582" s="114"/>
      <c r="X582" s="114"/>
      <c r="Y582" s="114"/>
      <c r="Z582" s="114"/>
      <c r="AA582" s="114"/>
    </row>
  </sheetData>
  <mergeCells count="57">
    <mergeCell ref="D249:D250"/>
    <mergeCell ref="C251:C255"/>
    <mergeCell ref="C256:C260"/>
    <mergeCell ref="C261:C264"/>
    <mergeCell ref="C265:C270"/>
    <mergeCell ref="C249:C250"/>
    <mergeCell ref="C271:C276"/>
    <mergeCell ref="C297:C302"/>
    <mergeCell ref="C303:C306"/>
    <mergeCell ref="C307:C309"/>
    <mergeCell ref="C310:C313"/>
    <mergeCell ref="C291:C296"/>
    <mergeCell ref="C284:C287"/>
    <mergeCell ref="C289:C290"/>
    <mergeCell ref="C279:L279"/>
    <mergeCell ref="C326:H326"/>
    <mergeCell ref="H330:J330"/>
    <mergeCell ref="C314:C316"/>
    <mergeCell ref="C317:C319"/>
    <mergeCell ref="C320:C323"/>
    <mergeCell ref="B2:L2"/>
    <mergeCell ref="C243:C245"/>
    <mergeCell ref="C246:C248"/>
    <mergeCell ref="C234:C236"/>
    <mergeCell ref="C6:L6"/>
    <mergeCell ref="C11:G11"/>
    <mergeCell ref="C93:K93"/>
    <mergeCell ref="C115:K115"/>
    <mergeCell ref="C95:K95"/>
    <mergeCell ref="C118:K118"/>
    <mergeCell ref="D243:D245"/>
    <mergeCell ref="D246:D248"/>
    <mergeCell ref="C117:K117"/>
    <mergeCell ref="C238:L238"/>
    <mergeCell ref="C12:L12"/>
    <mergeCell ref="C582:L582"/>
    <mergeCell ref="B510:L510"/>
    <mergeCell ref="H529:N529"/>
    <mergeCell ref="H521:N521"/>
    <mergeCell ref="H522:N522"/>
    <mergeCell ref="H530:N530"/>
    <mergeCell ref="C421:L421"/>
    <mergeCell ref="C424:K424"/>
    <mergeCell ref="D425:I425"/>
    <mergeCell ref="C489:L489"/>
    <mergeCell ref="C488:L488"/>
    <mergeCell ref="C490:L490"/>
    <mergeCell ref="C493:K493"/>
    <mergeCell ref="C507:L507"/>
    <mergeCell ref="C508:L508"/>
    <mergeCell ref="C547:L547"/>
    <mergeCell ref="C420:L420"/>
    <mergeCell ref="C363:J363"/>
    <mergeCell ref="B407:L407"/>
    <mergeCell ref="B408:L408"/>
    <mergeCell ref="C364:J364"/>
    <mergeCell ref="C411:L411"/>
  </mergeCells>
  <hyperlinks>
    <hyperlink ref="C94" r:id="rId1" xr:uid="{1721E242-4566-4818-B7CF-EFE786945B1E}"/>
    <hyperlink ref="C116" r:id="rId2" xr:uid="{FE236B02-371B-4C89-AAFF-EB426D15DABA}"/>
    <hyperlink ref="C325" r:id="rId3" xr:uid="{445BA984-6F49-4543-AC25-3ED10CD52641}"/>
    <hyperlink ref="C278" r:id="rId4" xr:uid="{EB30B2D8-7A46-42CC-8514-8EA93C672217}"/>
    <hyperlink ref="C489:L489" r:id="rId5" display="U.S. Environmental Protection Agency, Office of Resource Conservation and Recovery (December 2023) Documentation for Greenhouse Gas Emission and Energy Factors used in the Waste Reduction Model (WARM). Factors from tables provided in the Management Practices Chapters and Background Chapters. " xr:uid="{6A870251-E62E-4DED-A83D-CBA58E74C931}"/>
  </hyperlinks>
  <printOptions horizontalCentered="1"/>
  <pageMargins left="0" right="0" top="0.4" bottom="0.4" header="0.2" footer="0.2"/>
  <pageSetup scale="39" fitToHeight="7" orientation="portrait" cellComments="atEnd" verticalDpi="4294967292" r:id="rId6"/>
  <headerFooter differentFirst="1" alignWithMargins="0">
    <oddHeader xml:space="preserve">&amp;L&amp;"Verdana,Bold"&amp;11&amp;K0070C0Blue text indicates an update from the 2023 version.&amp;CEmission Factors for Greenhouse Gas Inventories
Last Modified: 05 June 2024&amp;R&amp;"Verdana,Bold"&amp;11&amp;K00B0F0Light blue text indicates an update from the 2024 release </oddHeader>
    <oddFooter>&amp;R_x000D_&amp;1#&amp;"Aptos"&amp;10&amp;K000000 Official Use Only</oddFooter>
    <firstFooter>&amp;R_x000D_&amp;1#&amp;"Aptos"&amp;10&amp;K000000 Official Use Only</firstFooter>
  </headerFooter>
  <rowBreaks count="6" manualBreakCount="6">
    <brk id="100" max="11" man="1"/>
    <brk id="239" max="11" man="1"/>
    <brk id="327" max="11" man="1"/>
    <brk id="406" max="11" man="1"/>
    <brk id="421" max="11" man="1"/>
    <brk id="509" max="11" man="1"/>
  </rowBreaks>
  <drawing r:id="rId7"/>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A973D-8145-47E5-8188-160A23584424}">
  <dimension ref="A1:L70"/>
  <sheetViews>
    <sheetView zoomScaleNormal="100" workbookViewId="0"/>
  </sheetViews>
  <sheetFormatPr defaultRowHeight="15"/>
  <cols>
    <col min="1" max="1" width="59.42578125" customWidth="1"/>
    <col min="2" max="2" width="22" customWidth="1"/>
    <col min="3" max="3" width="12" customWidth="1"/>
    <col min="4" max="4" width="13.140625" customWidth="1"/>
    <col min="5" max="8" width="12" customWidth="1"/>
    <col min="9" max="9" width="15.140625" customWidth="1"/>
    <col min="10" max="10" width="13.28515625" customWidth="1"/>
  </cols>
  <sheetData>
    <row r="1" spans="1:9">
      <c r="A1" s="106" t="s">
        <v>3502</v>
      </c>
      <c r="B1" s="107"/>
      <c r="C1" s="107"/>
      <c r="D1" s="107"/>
      <c r="E1" s="107"/>
      <c r="F1" s="107"/>
      <c r="G1" s="107"/>
      <c r="H1" s="107"/>
      <c r="I1" s="107"/>
    </row>
    <row r="2" spans="1:9">
      <c r="A2" s="538" t="s">
        <v>3503</v>
      </c>
    </row>
    <row r="4" spans="1:9">
      <c r="A4" s="24" t="s">
        <v>3504</v>
      </c>
      <c r="B4" s="25"/>
      <c r="C4" s="25"/>
      <c r="D4" s="25"/>
      <c r="E4" s="25"/>
      <c r="F4" s="25"/>
    </row>
    <row r="5" spans="1:9">
      <c r="A5" s="23" t="s">
        <v>265</v>
      </c>
      <c r="B5" s="23" t="s">
        <v>116</v>
      </c>
      <c r="C5" s="23">
        <v>2021</v>
      </c>
      <c r="D5" s="23">
        <v>2030</v>
      </c>
      <c r="E5" s="23">
        <v>2040</v>
      </c>
      <c r="F5" s="23">
        <v>2050</v>
      </c>
    </row>
    <row r="6" spans="1:9">
      <c r="A6" t="s">
        <v>3505</v>
      </c>
      <c r="B6" t="s">
        <v>3506</v>
      </c>
      <c r="C6">
        <v>614</v>
      </c>
      <c r="D6">
        <v>472</v>
      </c>
      <c r="E6">
        <v>315</v>
      </c>
      <c r="F6">
        <v>157</v>
      </c>
    </row>
    <row r="7" spans="1:9">
      <c r="A7" t="s">
        <v>3507</v>
      </c>
      <c r="B7" t="s">
        <v>3506</v>
      </c>
      <c r="C7">
        <v>614</v>
      </c>
      <c r="D7">
        <v>315</v>
      </c>
      <c r="E7">
        <v>158</v>
      </c>
      <c r="F7">
        <v>0</v>
      </c>
    </row>
    <row r="8" spans="1:9">
      <c r="A8" t="s">
        <v>3508</v>
      </c>
      <c r="B8" t="s">
        <v>3509</v>
      </c>
      <c r="C8">
        <v>9.7000000000000003E-2</v>
      </c>
      <c r="D8">
        <v>9.7000000000000003E-2</v>
      </c>
      <c r="E8">
        <v>9.9000000000000005E-2</v>
      </c>
      <c r="F8">
        <v>0.10299999999999999</v>
      </c>
    </row>
    <row r="9" spans="1:9">
      <c r="A9" t="s">
        <v>3510</v>
      </c>
      <c r="B9" t="s">
        <v>3509</v>
      </c>
      <c r="C9">
        <v>4.4999999999999998E-2</v>
      </c>
      <c r="D9">
        <v>2.5999999999999999E-2</v>
      </c>
      <c r="E9">
        <v>4.9000000000000002E-2</v>
      </c>
      <c r="F9">
        <v>6.0999999999999999E-2</v>
      </c>
    </row>
    <row r="10" spans="1:9">
      <c r="A10" t="s">
        <v>3511</v>
      </c>
      <c r="B10" t="s">
        <v>3509</v>
      </c>
      <c r="C10">
        <v>1.2E-2</v>
      </c>
      <c r="D10">
        <v>1.4E-2</v>
      </c>
      <c r="E10">
        <v>1.4E-2</v>
      </c>
      <c r="F10">
        <v>1.4E-2</v>
      </c>
    </row>
    <row r="11" spans="1:9">
      <c r="A11" t="s">
        <v>3512</v>
      </c>
      <c r="B11" t="s">
        <v>3509</v>
      </c>
      <c r="C11">
        <v>5.3999999999999999E-2</v>
      </c>
      <c r="D11">
        <v>5.2999999999999999E-2</v>
      </c>
      <c r="E11">
        <v>6.3E-2</v>
      </c>
      <c r="F11">
        <v>6.9000000000000006E-2</v>
      </c>
    </row>
    <row r="13" spans="1:9">
      <c r="A13" s="24" t="s">
        <v>3513</v>
      </c>
      <c r="B13" s="25"/>
      <c r="C13" s="25"/>
      <c r="D13" s="25"/>
      <c r="E13" s="25"/>
      <c r="F13" s="25"/>
    </row>
    <row r="14" spans="1:9">
      <c r="A14" s="23" t="s">
        <v>265</v>
      </c>
      <c r="B14" s="23" t="s">
        <v>116</v>
      </c>
      <c r="C14" s="23">
        <v>2021</v>
      </c>
      <c r="D14" s="23">
        <v>2030</v>
      </c>
      <c r="E14" s="23">
        <v>2040</v>
      </c>
      <c r="F14" s="23">
        <v>2050</v>
      </c>
    </row>
    <row r="15" spans="1:9">
      <c r="A15" t="s">
        <v>3508</v>
      </c>
      <c r="B15" t="s">
        <v>3514</v>
      </c>
      <c r="C15" s="500">
        <f>C8/'Unit Conversions'!$E$6/10^9</f>
        <v>2.6945192918000002E-2</v>
      </c>
      <c r="D15" s="500">
        <f>D8/'Unit Conversions'!$E$6/10^9</f>
        <v>2.6945192918000002E-2</v>
      </c>
      <c r="E15" s="500">
        <f>E8/'Unit Conversions'!$E$6/10^9</f>
        <v>2.7500763906000002E-2</v>
      </c>
      <c r="F15" s="500">
        <f>F8/'Unit Conversions'!$E$6/10^9</f>
        <v>2.8611905882000001E-2</v>
      </c>
    </row>
    <row r="16" spans="1:9">
      <c r="A16" t="s">
        <v>3510</v>
      </c>
      <c r="B16" t="s">
        <v>3514</v>
      </c>
      <c r="C16" s="500">
        <f>C9/'Unit Conversions'!$E$6/10^9</f>
        <v>1.250034723E-2</v>
      </c>
      <c r="D16" s="500">
        <f>D9/'Unit Conversions'!$E$6/10^9</f>
        <v>7.2224228439999993E-3</v>
      </c>
      <c r="E16" s="500">
        <f>E9/'Unit Conversions'!$E$6/10^9</f>
        <v>1.3611489206000001E-2</v>
      </c>
      <c r="F16" s="500">
        <f>F9/'Unit Conversions'!$E$6/10^9</f>
        <v>1.6944915134E-2</v>
      </c>
    </row>
    <row r="17" spans="1:12">
      <c r="A17" t="s">
        <v>3511</v>
      </c>
      <c r="B17" t="s">
        <v>3514</v>
      </c>
      <c r="C17" s="500">
        <f>C10/'Unit Conversions'!$E$6/10^9</f>
        <v>3.3334259280000003E-3</v>
      </c>
      <c r="D17" s="500">
        <f>D10/'Unit Conversions'!$E$6/10^9</f>
        <v>3.8889969160000003E-3</v>
      </c>
      <c r="E17" s="500">
        <f>E10/'Unit Conversions'!$E$6/10^9</f>
        <v>3.8889969160000003E-3</v>
      </c>
      <c r="F17" s="500">
        <f>F10/'Unit Conversions'!$E$6/10^9</f>
        <v>3.8889969160000003E-3</v>
      </c>
    </row>
    <row r="18" spans="1:12">
      <c r="A18" t="s">
        <v>3512</v>
      </c>
      <c r="B18" t="s">
        <v>3514</v>
      </c>
      <c r="C18" s="500">
        <f>C11/'Unit Conversions'!$E$6/10^9</f>
        <v>1.5000416676000002E-2</v>
      </c>
      <c r="D18" s="500">
        <f>D11/'Unit Conversions'!$E$6/10^9</f>
        <v>1.4722631182E-2</v>
      </c>
      <c r="E18" s="500">
        <f>E11/'Unit Conversions'!$E$6/10^9</f>
        <v>1.7500486122000003E-2</v>
      </c>
      <c r="F18" s="500">
        <f>F11/'Unit Conversions'!$E$6/10^9</f>
        <v>1.9167199086000002E-2</v>
      </c>
    </row>
    <row r="20" spans="1:12">
      <c r="A20" s="24" t="s">
        <v>3515</v>
      </c>
      <c r="B20" s="25"/>
      <c r="C20" s="25"/>
      <c r="D20" s="25"/>
      <c r="E20" s="25"/>
      <c r="F20" s="25"/>
      <c r="G20" s="25"/>
      <c r="H20" s="25"/>
      <c r="I20" s="25"/>
      <c r="J20" s="25"/>
    </row>
    <row r="21" spans="1:12" ht="30">
      <c r="B21" s="101" t="s">
        <v>40</v>
      </c>
      <c r="C21" s="101" t="s">
        <v>41</v>
      </c>
      <c r="D21" s="101" t="s">
        <v>42</v>
      </c>
      <c r="E21" s="101" t="s">
        <v>43</v>
      </c>
      <c r="F21" s="101" t="s">
        <v>44</v>
      </c>
      <c r="G21" s="777" t="s">
        <v>45</v>
      </c>
      <c r="H21" s="101" t="s">
        <v>46</v>
      </c>
      <c r="I21" s="101" t="s">
        <v>47</v>
      </c>
      <c r="J21" s="101" t="s">
        <v>48</v>
      </c>
      <c r="K21" s="101"/>
      <c r="L21" s="823" t="s">
        <v>116</v>
      </c>
    </row>
    <row r="22" spans="1:12">
      <c r="A22" t="s">
        <v>3516</v>
      </c>
      <c r="B22" s="500">
        <f>$C$17</f>
        <v>3.3334259280000003E-3</v>
      </c>
      <c r="C22" s="500">
        <f>$C$17</f>
        <v>3.3334259280000003E-3</v>
      </c>
      <c r="D22" s="500">
        <f>$C$17</f>
        <v>3.3334259280000003E-3</v>
      </c>
      <c r="E22" s="500">
        <f>$C$18</f>
        <v>1.5000416676000002E-2</v>
      </c>
      <c r="F22" s="500">
        <f>$C$16</f>
        <v>1.250034723E-2</v>
      </c>
      <c r="G22" s="773">
        <f>B22</f>
        <v>3.3334259280000003E-3</v>
      </c>
      <c r="H22" s="532">
        <f>D61</f>
        <v>1.7433764747983076E-2</v>
      </c>
      <c r="I22" s="500">
        <f>$C$15</f>
        <v>2.6945192918000002E-2</v>
      </c>
      <c r="J22" s="500">
        <f>$C$15</f>
        <v>2.6945192918000002E-2</v>
      </c>
      <c r="L22" t="s">
        <v>315</v>
      </c>
    </row>
    <row r="23" spans="1:12">
      <c r="A23" t="s">
        <v>3517</v>
      </c>
      <c r="B23" s="500">
        <f>$F$17</f>
        <v>3.8889969160000003E-3</v>
      </c>
      <c r="C23" s="500">
        <f>$F$17</f>
        <v>3.8889969160000003E-3</v>
      </c>
      <c r="D23" s="500">
        <f>$F$17</f>
        <v>3.8889969160000003E-3</v>
      </c>
      <c r="E23" s="500">
        <f>$F$18</f>
        <v>1.9167199086000002E-2</v>
      </c>
      <c r="F23" s="500">
        <f>$F$16</f>
        <v>1.6944915134E-2</v>
      </c>
      <c r="G23" s="773">
        <f t="shared" ref="G23:G25" si="0">B23</f>
        <v>3.8889969160000003E-3</v>
      </c>
      <c r="H23" s="532">
        <f>H22*(F17/C17)</f>
        <v>2.0339392205980255E-2</v>
      </c>
      <c r="I23" s="500">
        <f>$F$15</f>
        <v>2.8611905882000001E-2</v>
      </c>
      <c r="J23" s="500">
        <f>$F$15</f>
        <v>2.8611905882000001E-2</v>
      </c>
      <c r="L23" t="s">
        <v>315</v>
      </c>
    </row>
    <row r="24" spans="1:12">
      <c r="A24" t="s">
        <v>3518</v>
      </c>
      <c r="B24" s="500">
        <f>B$23</f>
        <v>3.8889969160000003E-3</v>
      </c>
      <c r="C24" s="500">
        <f t="shared" ref="C24:F25" si="1">C$23</f>
        <v>3.8889969160000003E-3</v>
      </c>
      <c r="D24" s="500">
        <f t="shared" si="1"/>
        <v>3.8889969160000003E-3</v>
      </c>
      <c r="E24" s="500">
        <f t="shared" si="1"/>
        <v>1.9167199086000002E-2</v>
      </c>
      <c r="F24" s="500">
        <f t="shared" si="1"/>
        <v>1.6944915134E-2</v>
      </c>
      <c r="G24" s="773">
        <f t="shared" si="0"/>
        <v>3.8889969160000003E-3</v>
      </c>
      <c r="H24" s="500">
        <f t="shared" ref="H24:J25" si="2">H$23</f>
        <v>2.0339392205980255E-2</v>
      </c>
      <c r="I24" s="500">
        <f t="shared" si="2"/>
        <v>2.8611905882000001E-2</v>
      </c>
      <c r="J24" s="500">
        <f t="shared" si="2"/>
        <v>2.8611905882000001E-2</v>
      </c>
      <c r="L24" t="s">
        <v>315</v>
      </c>
    </row>
    <row r="25" spans="1:12">
      <c r="A25" t="s">
        <v>3519</v>
      </c>
      <c r="B25" s="500">
        <f>B$23</f>
        <v>3.8889969160000003E-3</v>
      </c>
      <c r="C25" s="500">
        <f t="shared" si="1"/>
        <v>3.8889969160000003E-3</v>
      </c>
      <c r="D25" s="500">
        <f t="shared" si="1"/>
        <v>3.8889969160000003E-3</v>
      </c>
      <c r="E25" s="500">
        <f t="shared" si="1"/>
        <v>1.9167199086000002E-2</v>
      </c>
      <c r="F25" s="500">
        <f t="shared" si="1"/>
        <v>1.6944915134E-2</v>
      </c>
      <c r="G25" s="773">
        <f t="shared" si="0"/>
        <v>3.8889969160000003E-3</v>
      </c>
      <c r="H25" s="500">
        <f t="shared" si="2"/>
        <v>2.0339392205980255E-2</v>
      </c>
      <c r="I25" s="500">
        <f t="shared" si="2"/>
        <v>2.8611905882000001E-2</v>
      </c>
      <c r="J25" s="500">
        <f t="shared" si="2"/>
        <v>2.8611905882000001E-2</v>
      </c>
      <c r="L25" t="s">
        <v>315</v>
      </c>
    </row>
    <row r="29" spans="1:12">
      <c r="A29" s="106" t="s">
        <v>3520</v>
      </c>
      <c r="B29" s="107"/>
      <c r="C29" s="107"/>
      <c r="D29" s="107"/>
      <c r="E29" s="107"/>
      <c r="F29" s="107"/>
      <c r="G29" s="107"/>
      <c r="H29" s="107"/>
      <c r="I29" s="107"/>
    </row>
    <row r="30" spans="1:12">
      <c r="A30" s="508"/>
      <c r="B30" s="505"/>
      <c r="C30" s="505"/>
      <c r="D30" s="505"/>
      <c r="E30" s="505"/>
      <c r="F30" s="505"/>
      <c r="G30" s="505"/>
      <c r="H30" s="505"/>
    </row>
    <row r="31" spans="1:12">
      <c r="A31" s="505">
        <v>1000</v>
      </c>
      <c r="B31" s="505" t="s">
        <v>3521</v>
      </c>
      <c r="C31" s="505" t="s">
        <v>3522</v>
      </c>
      <c r="D31" s="505" t="s">
        <v>695</v>
      </c>
      <c r="E31" s="505">
        <v>857.21</v>
      </c>
      <c r="F31" s="505" t="s">
        <v>3523</v>
      </c>
      <c r="G31" s="505" t="s">
        <v>3524</v>
      </c>
      <c r="H31" s="505"/>
    </row>
    <row r="32" spans="1:12">
      <c r="A32" s="505"/>
      <c r="B32" s="505"/>
      <c r="C32" s="505"/>
      <c r="D32" s="505" t="s">
        <v>695</v>
      </c>
      <c r="E32" s="507">
        <f>E31*'Unit Conversions'!E5/10^6</f>
        <v>9.0440797735081614E-4</v>
      </c>
      <c r="F32" s="505" t="s">
        <v>3525</v>
      </c>
      <c r="G32" s="505"/>
      <c r="H32" s="505"/>
    </row>
    <row r="33" spans="1:8">
      <c r="A33" s="505"/>
      <c r="B33" s="505"/>
      <c r="C33" s="505"/>
      <c r="D33" s="505" t="s">
        <v>695</v>
      </c>
      <c r="E33" s="504">
        <f>E32/'Unit Conversions'!E8</f>
        <v>1.993879912676626</v>
      </c>
      <c r="F33" s="505" t="s">
        <v>3526</v>
      </c>
      <c r="G33" s="505"/>
      <c r="H33" s="505"/>
    </row>
    <row r="34" spans="1:8">
      <c r="A34" s="505"/>
      <c r="B34" s="505"/>
      <c r="C34" s="505"/>
      <c r="D34" s="505"/>
      <c r="E34" s="505"/>
      <c r="F34" s="505"/>
      <c r="G34" s="505"/>
      <c r="H34" s="505"/>
    </row>
    <row r="35" spans="1:8">
      <c r="A35" s="505"/>
      <c r="B35" s="505"/>
      <c r="C35" s="505"/>
      <c r="D35" s="505"/>
      <c r="E35" s="505"/>
      <c r="F35" s="505"/>
      <c r="G35" s="505"/>
      <c r="H35" s="505"/>
    </row>
    <row r="36" spans="1:8">
      <c r="A36" s="508" t="s">
        <v>3527</v>
      </c>
      <c r="B36" s="508" t="s">
        <v>3528</v>
      </c>
      <c r="C36" s="508" t="s">
        <v>3529</v>
      </c>
      <c r="D36" s="508" t="s">
        <v>3530</v>
      </c>
      <c r="E36" s="508" t="s">
        <v>3531</v>
      </c>
      <c r="F36" s="508" t="s">
        <v>505</v>
      </c>
      <c r="G36" s="508" t="s">
        <v>116</v>
      </c>
      <c r="H36" s="517" t="s">
        <v>612</v>
      </c>
    </row>
    <row r="37" spans="1:8">
      <c r="A37" s="505" t="s">
        <v>3532</v>
      </c>
      <c r="B37" s="505" t="s">
        <v>3533</v>
      </c>
      <c r="C37" s="509">
        <v>237</v>
      </c>
      <c r="D37" s="509">
        <v>259</v>
      </c>
      <c r="E37" s="510">
        <v>45352</v>
      </c>
      <c r="F37" s="510"/>
      <c r="G37" s="510" t="s">
        <v>3534</v>
      </c>
      <c r="H37" s="516">
        <v>30</v>
      </c>
    </row>
    <row r="38" spans="1:8">
      <c r="A38" s="505" t="s">
        <v>3532</v>
      </c>
      <c r="B38" s="505" t="s">
        <v>3533</v>
      </c>
      <c r="C38" s="509">
        <v>230</v>
      </c>
      <c r="D38" s="509">
        <v>252</v>
      </c>
      <c r="E38" s="510">
        <v>45597</v>
      </c>
      <c r="F38" s="510"/>
      <c r="G38" s="510" t="s">
        <v>3534</v>
      </c>
      <c r="H38" s="516">
        <v>31</v>
      </c>
    </row>
    <row r="39" spans="1:8">
      <c r="A39" s="505" t="s">
        <v>3532</v>
      </c>
      <c r="B39" s="505" t="s">
        <v>3533</v>
      </c>
      <c r="C39" s="509">
        <v>230</v>
      </c>
      <c r="D39" s="509">
        <v>252</v>
      </c>
      <c r="E39" s="510">
        <v>45566</v>
      </c>
      <c r="F39" s="510"/>
      <c r="G39" s="510" t="s">
        <v>3534</v>
      </c>
      <c r="H39" s="516">
        <v>32</v>
      </c>
    </row>
    <row r="40" spans="1:8">
      <c r="A40" s="505" t="s">
        <v>3532</v>
      </c>
      <c r="B40" s="505" t="s">
        <v>3533</v>
      </c>
      <c r="C40" s="509">
        <v>227</v>
      </c>
      <c r="D40" s="509">
        <v>249</v>
      </c>
      <c r="E40" s="510">
        <v>45536</v>
      </c>
      <c r="F40" s="510"/>
      <c r="G40" s="510" t="s">
        <v>3534</v>
      </c>
      <c r="H40" s="505"/>
    </row>
    <row r="41" spans="1:8">
      <c r="A41" s="505" t="s">
        <v>3535</v>
      </c>
      <c r="B41" s="505" t="s">
        <v>3536</v>
      </c>
      <c r="C41" s="509"/>
      <c r="D41" s="509">
        <v>271</v>
      </c>
      <c r="E41" s="510" t="s">
        <v>3537</v>
      </c>
      <c r="F41" s="510"/>
      <c r="G41" s="510" t="s">
        <v>3534</v>
      </c>
      <c r="H41" s="516">
        <v>33</v>
      </c>
    </row>
    <row r="42" spans="1:8">
      <c r="A42" s="505" t="s">
        <v>3535</v>
      </c>
      <c r="B42" s="505" t="s">
        <v>3536</v>
      </c>
      <c r="C42" s="509"/>
      <c r="D42" s="509">
        <v>300</v>
      </c>
      <c r="E42" s="510">
        <v>44927</v>
      </c>
      <c r="F42" s="510"/>
      <c r="G42" s="510" t="s">
        <v>3534</v>
      </c>
      <c r="H42" s="516">
        <v>33</v>
      </c>
    </row>
    <row r="43" spans="1:8">
      <c r="A43" s="505" t="s">
        <v>3538</v>
      </c>
      <c r="B43" s="505" t="s">
        <v>3539</v>
      </c>
      <c r="C43" s="509"/>
      <c r="D43" s="509">
        <v>255</v>
      </c>
      <c r="E43" s="510">
        <v>45566</v>
      </c>
      <c r="F43" s="510" t="s">
        <v>3540</v>
      </c>
      <c r="G43" s="510" t="s">
        <v>3534</v>
      </c>
      <c r="H43" s="516">
        <v>34</v>
      </c>
    </row>
    <row r="44" spans="1:8">
      <c r="A44" s="505" t="s">
        <v>3538</v>
      </c>
      <c r="B44" s="505" t="s">
        <v>3539</v>
      </c>
      <c r="C44" s="509"/>
      <c r="D44" s="509">
        <v>275</v>
      </c>
      <c r="E44" s="510">
        <v>45566</v>
      </c>
      <c r="F44" s="510" t="s">
        <v>3541</v>
      </c>
      <c r="G44" s="510" t="s">
        <v>3534</v>
      </c>
      <c r="H44" s="516">
        <v>34</v>
      </c>
    </row>
    <row r="45" spans="1:8">
      <c r="A45" s="505" t="s">
        <v>3542</v>
      </c>
      <c r="B45" s="505" t="s">
        <v>3543</v>
      </c>
      <c r="C45" s="509"/>
      <c r="D45" s="509">
        <v>191</v>
      </c>
      <c r="E45" s="510">
        <v>44927</v>
      </c>
      <c r="F45" s="510" t="s">
        <v>3544</v>
      </c>
      <c r="G45" s="510" t="s">
        <v>3534</v>
      </c>
      <c r="H45" s="516">
        <v>35</v>
      </c>
    </row>
    <row r="46" spans="1:8">
      <c r="A46" s="505" t="s">
        <v>3542</v>
      </c>
      <c r="B46" s="505" t="s">
        <v>3543</v>
      </c>
      <c r="C46" s="509"/>
      <c r="D46" s="509">
        <v>265</v>
      </c>
      <c r="E46" s="510">
        <v>44927</v>
      </c>
      <c r="F46" s="510" t="s">
        <v>3545</v>
      </c>
      <c r="G46" s="510" t="s">
        <v>3534</v>
      </c>
      <c r="H46" s="516">
        <v>35</v>
      </c>
    </row>
    <row r="47" spans="1:8">
      <c r="A47" s="505" t="s">
        <v>3546</v>
      </c>
      <c r="B47" s="505" t="s">
        <v>3543</v>
      </c>
      <c r="C47" s="509"/>
      <c r="D47" s="509">
        <v>349</v>
      </c>
      <c r="E47" s="510">
        <v>44927</v>
      </c>
      <c r="F47" s="510" t="s">
        <v>3545</v>
      </c>
      <c r="G47" s="510" t="s">
        <v>3534</v>
      </c>
      <c r="H47" s="516">
        <v>35</v>
      </c>
    </row>
    <row r="48" spans="1:8">
      <c r="A48" s="505" t="s">
        <v>3547</v>
      </c>
      <c r="B48" s="505" t="s">
        <v>3543</v>
      </c>
      <c r="C48" s="509"/>
      <c r="D48" s="509">
        <v>214</v>
      </c>
      <c r="E48" s="510">
        <v>44958</v>
      </c>
      <c r="F48" s="510" t="s">
        <v>3548</v>
      </c>
      <c r="G48" s="510" t="s">
        <v>3534</v>
      </c>
      <c r="H48" s="516">
        <v>36</v>
      </c>
    </row>
    <row r="49" spans="1:8">
      <c r="A49" s="505" t="s">
        <v>3549</v>
      </c>
      <c r="B49" s="505" t="s">
        <v>3550</v>
      </c>
      <c r="C49" s="509"/>
      <c r="D49" s="509">
        <v>247</v>
      </c>
      <c r="E49" s="510">
        <v>45261</v>
      </c>
      <c r="F49" s="510"/>
      <c r="G49" s="510" t="s">
        <v>3534</v>
      </c>
      <c r="H49" s="516">
        <v>37</v>
      </c>
    </row>
    <row r="50" spans="1:8">
      <c r="A50" s="505" t="s">
        <v>3551</v>
      </c>
      <c r="B50" s="505" t="s">
        <v>3536</v>
      </c>
      <c r="C50" s="509"/>
      <c r="D50" s="509">
        <v>289</v>
      </c>
      <c r="E50" s="510">
        <v>44927</v>
      </c>
      <c r="F50" s="510"/>
      <c r="G50" s="510" t="s">
        <v>3534</v>
      </c>
      <c r="H50" s="516">
        <v>38</v>
      </c>
    </row>
    <row r="51" spans="1:8">
      <c r="A51" s="505" t="s">
        <v>3552</v>
      </c>
      <c r="B51" s="505" t="s">
        <v>3536</v>
      </c>
      <c r="C51" s="509"/>
      <c r="D51" s="509">
        <v>314</v>
      </c>
      <c r="E51" s="510">
        <v>44927</v>
      </c>
      <c r="F51" s="510"/>
      <c r="G51" s="510" t="s">
        <v>3534</v>
      </c>
      <c r="H51" s="516">
        <v>38</v>
      </c>
    </row>
    <row r="52" spans="1:8">
      <c r="A52" s="505"/>
      <c r="B52" s="505"/>
      <c r="C52" s="505"/>
      <c r="D52" s="505"/>
      <c r="E52" s="505"/>
      <c r="F52" s="505"/>
      <c r="G52" s="505"/>
      <c r="H52" s="505"/>
    </row>
    <row r="53" spans="1:8">
      <c r="A53" s="508" t="s">
        <v>3553</v>
      </c>
      <c r="B53" s="505"/>
      <c r="C53" s="509">
        <f>AVERAGE(C37:C40)</f>
        <v>231</v>
      </c>
      <c r="D53" s="509">
        <f>AVERAGE(D37:D44, D46,D48:D49,D50)</f>
        <v>260.66666666666669</v>
      </c>
      <c r="E53" s="505"/>
      <c r="F53" s="505"/>
      <c r="G53" s="510" t="s">
        <v>3534</v>
      </c>
      <c r="H53" s="505"/>
    </row>
    <row r="54" spans="1:8">
      <c r="A54" s="508" t="s">
        <v>3553</v>
      </c>
      <c r="B54" s="505"/>
      <c r="C54" s="524">
        <f>C53/E33</f>
        <v>115.85451988926494</v>
      </c>
      <c r="D54" s="524">
        <f>D53/E33</f>
        <v>130.73338319394688</v>
      </c>
      <c r="E54" s="505"/>
      <c r="F54" s="505"/>
      <c r="G54" s="510" t="s">
        <v>3554</v>
      </c>
      <c r="H54" s="505"/>
    </row>
    <row r="55" spans="1:8">
      <c r="A55" s="505"/>
      <c r="B55" s="505"/>
      <c r="C55" s="505"/>
      <c r="D55" s="505"/>
      <c r="E55" s="505"/>
      <c r="F55" s="505"/>
      <c r="G55" s="505"/>
      <c r="H55" s="505"/>
    </row>
    <row r="56" spans="1:8">
      <c r="A56" s="508" t="s">
        <v>3555</v>
      </c>
      <c r="B56" s="505"/>
      <c r="C56" s="505"/>
      <c r="D56" s="509">
        <f>AVERAGE(D47,D51)</f>
        <v>331.5</v>
      </c>
      <c r="E56" s="505"/>
      <c r="F56" s="505"/>
      <c r="G56" s="510" t="s">
        <v>3534</v>
      </c>
      <c r="H56" s="505"/>
    </row>
    <row r="57" spans="1:8">
      <c r="A57" s="508" t="s">
        <v>3555</v>
      </c>
      <c r="B57" s="505"/>
      <c r="C57" s="505"/>
      <c r="D57" s="509">
        <f>D56/E33</f>
        <v>166.25875906186721</v>
      </c>
      <c r="E57" s="505"/>
      <c r="F57" s="505"/>
      <c r="G57" s="510" t="s">
        <v>3554</v>
      </c>
      <c r="H57" s="505"/>
    </row>
    <row r="58" spans="1:8">
      <c r="A58" s="505"/>
      <c r="B58" s="505"/>
      <c r="C58" s="505"/>
      <c r="D58" s="505"/>
      <c r="E58" s="505"/>
      <c r="F58" s="505"/>
      <c r="G58" s="505"/>
      <c r="H58" s="505"/>
    </row>
    <row r="59" spans="1:8">
      <c r="A59" s="508" t="s">
        <v>3556</v>
      </c>
      <c r="D59" s="529">
        <f>AVERAGE(C54:D54)*'Unit Conversions'!E9</f>
        <v>17.433764747983076</v>
      </c>
      <c r="G59" s="510" t="s">
        <v>3557</v>
      </c>
    </row>
    <row r="60" spans="1:8">
      <c r="D60" s="530">
        <f>D59*10^6</f>
        <v>17433764.747983076</v>
      </c>
      <c r="G60" s="510" t="s">
        <v>3558</v>
      </c>
    </row>
    <row r="61" spans="1:8">
      <c r="D61" s="531">
        <f>D60/10^9</f>
        <v>1.7433764747983076E-2</v>
      </c>
      <c r="G61" s="510" t="s">
        <v>315</v>
      </c>
    </row>
    <row r="67" spans="1:8">
      <c r="A67" s="508" t="s">
        <v>3559</v>
      </c>
      <c r="B67" s="505"/>
      <c r="C67" s="505"/>
      <c r="D67" s="505"/>
      <c r="E67" s="505"/>
      <c r="F67" s="505"/>
      <c r="G67" s="505"/>
      <c r="H67" s="505"/>
    </row>
    <row r="68" spans="1:8">
      <c r="A68" s="511" t="s">
        <v>3560</v>
      </c>
      <c r="B68" s="521"/>
      <c r="C68" s="521"/>
      <c r="D68" s="525" t="s">
        <v>3561</v>
      </c>
      <c r="E68" s="522"/>
      <c r="F68" s="521"/>
      <c r="G68" s="512" t="s">
        <v>116</v>
      </c>
      <c r="H68" s="518" t="s">
        <v>612</v>
      </c>
    </row>
    <row r="69" spans="1:8">
      <c r="A69" s="513" t="s">
        <v>3562</v>
      </c>
      <c r="D69" s="526" t="s">
        <v>3563</v>
      </c>
      <c r="E69" s="505"/>
      <c r="G69" s="505" t="s">
        <v>3564</v>
      </c>
      <c r="H69" s="519">
        <v>39</v>
      </c>
    </row>
    <row r="70" spans="1:8">
      <c r="A70" s="514" t="s">
        <v>3565</v>
      </c>
      <c r="B70" s="523"/>
      <c r="C70" s="523"/>
      <c r="D70" s="527">
        <v>300</v>
      </c>
      <c r="E70" s="515"/>
      <c r="F70" s="523"/>
      <c r="G70" s="515" t="s">
        <v>3564</v>
      </c>
      <c r="H70" s="520">
        <v>39</v>
      </c>
    </row>
  </sheetData>
  <pageMargins left="0.7" right="0.7" top="0.75" bottom="0.75" header="0.3" footer="0.3"/>
  <headerFooter>
    <oddFooter>&amp;R_x000D_&amp;1#&amp;"Aptos"&amp;10&amp;K000000 Official Use Only</oddFooter>
  </headerFooter>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7EDE4-E09F-4EC4-8B8B-317646B70CE9}">
  <dimension ref="A1:F138"/>
  <sheetViews>
    <sheetView topLeftCell="A45" zoomScale="110" zoomScaleNormal="110" workbookViewId="0">
      <selection activeCell="D45" sqref="D45"/>
    </sheetView>
  </sheetViews>
  <sheetFormatPr defaultRowHeight="15"/>
  <cols>
    <col min="1" max="1" width="28.5703125" customWidth="1"/>
    <col min="2" max="2" width="17" customWidth="1"/>
    <col min="3" max="3" width="17.5703125" customWidth="1"/>
    <col min="4" max="4" width="22.7109375" customWidth="1"/>
    <col min="5" max="5" width="18.28515625" customWidth="1"/>
    <col min="6" max="6" width="15" customWidth="1"/>
  </cols>
  <sheetData>
    <row r="1" spans="1:3">
      <c r="A1" s="538" t="s">
        <v>3566</v>
      </c>
    </row>
    <row r="3" spans="1:3">
      <c r="A3" s="23" t="s">
        <v>3567</v>
      </c>
    </row>
    <row r="5" spans="1:3" ht="30">
      <c r="B5" s="780" t="s">
        <v>3568</v>
      </c>
      <c r="C5" s="780" t="s">
        <v>3569</v>
      </c>
    </row>
    <row r="6" spans="1:3">
      <c r="A6" t="s">
        <v>3570</v>
      </c>
      <c r="B6">
        <v>5.5</v>
      </c>
      <c r="C6" s="50">
        <f>(B6-1)</f>
        <v>4.5</v>
      </c>
    </row>
    <row r="7" spans="1:3">
      <c r="A7" t="s">
        <v>2705</v>
      </c>
      <c r="B7">
        <v>2.5</v>
      </c>
      <c r="C7" s="50">
        <f t="shared" ref="C7:C20" si="0">(B7-1)</f>
        <v>1.5</v>
      </c>
    </row>
    <row r="8" spans="1:3">
      <c r="A8" t="s">
        <v>3571</v>
      </c>
      <c r="B8">
        <v>4</v>
      </c>
      <c r="C8" s="50">
        <f t="shared" si="0"/>
        <v>3</v>
      </c>
    </row>
    <row r="9" spans="1:3">
      <c r="A9" t="s">
        <v>3572</v>
      </c>
      <c r="B9">
        <v>7.5</v>
      </c>
      <c r="C9" s="50">
        <f t="shared" si="0"/>
        <v>6.5</v>
      </c>
    </row>
    <row r="10" spans="1:3">
      <c r="A10" t="s">
        <v>73</v>
      </c>
      <c r="B10">
        <v>6</v>
      </c>
      <c r="C10" s="50">
        <f t="shared" si="0"/>
        <v>5</v>
      </c>
    </row>
    <row r="11" spans="1:3">
      <c r="A11" t="s">
        <v>3573</v>
      </c>
      <c r="B11">
        <v>7</v>
      </c>
      <c r="C11" s="50">
        <f t="shared" si="0"/>
        <v>6</v>
      </c>
    </row>
    <row r="12" spans="1:3">
      <c r="A12" t="s">
        <v>3574</v>
      </c>
      <c r="B12">
        <v>2</v>
      </c>
      <c r="C12" s="50">
        <f t="shared" si="0"/>
        <v>1</v>
      </c>
    </row>
    <row r="13" spans="1:3">
      <c r="A13" t="s">
        <v>3575</v>
      </c>
      <c r="B13">
        <v>5.5</v>
      </c>
      <c r="C13" s="50">
        <f t="shared" si="0"/>
        <v>4.5</v>
      </c>
    </row>
    <row r="14" spans="1:3">
      <c r="A14" t="s">
        <v>465</v>
      </c>
      <c r="B14">
        <v>2</v>
      </c>
      <c r="C14" s="50">
        <f t="shared" si="0"/>
        <v>1</v>
      </c>
    </row>
    <row r="15" spans="1:3">
      <c r="A15" t="s">
        <v>3576</v>
      </c>
      <c r="B15">
        <v>10.5</v>
      </c>
      <c r="C15" s="50">
        <f t="shared" si="0"/>
        <v>9.5</v>
      </c>
    </row>
    <row r="16" spans="1:3">
      <c r="A16" t="s">
        <v>460</v>
      </c>
      <c r="B16">
        <v>3.75</v>
      </c>
      <c r="C16" s="50">
        <f t="shared" si="0"/>
        <v>2.75</v>
      </c>
    </row>
    <row r="17" spans="1:3">
      <c r="A17" t="s">
        <v>3577</v>
      </c>
      <c r="B17">
        <v>7.5</v>
      </c>
      <c r="C17" s="50">
        <f t="shared" si="0"/>
        <v>6.5</v>
      </c>
    </row>
    <row r="18" spans="1:3">
      <c r="A18" t="s">
        <v>3578</v>
      </c>
      <c r="B18">
        <v>6.5</v>
      </c>
      <c r="C18" s="50">
        <f t="shared" si="0"/>
        <v>5.5</v>
      </c>
    </row>
    <row r="19" spans="1:3">
      <c r="A19" t="s">
        <v>71</v>
      </c>
      <c r="B19">
        <v>4</v>
      </c>
      <c r="C19" s="50">
        <f t="shared" si="0"/>
        <v>3</v>
      </c>
    </row>
    <row r="20" spans="1:3">
      <c r="A20" s="58" t="s">
        <v>3579</v>
      </c>
      <c r="B20" s="58">
        <v>5.5</v>
      </c>
      <c r="C20" s="1055">
        <f t="shared" si="0"/>
        <v>4.5</v>
      </c>
    </row>
    <row r="22" spans="1:3">
      <c r="A22" s="23" t="s">
        <v>3580</v>
      </c>
    </row>
    <row r="24" spans="1:3">
      <c r="A24" s="558">
        <v>2022</v>
      </c>
      <c r="B24">
        <v>1500</v>
      </c>
      <c r="C24" s="49" t="s">
        <v>183</v>
      </c>
    </row>
    <row r="25" spans="1:3">
      <c r="A25" s="558">
        <v>2050</v>
      </c>
      <c r="B25">
        <v>3800</v>
      </c>
      <c r="C25" s="49" t="s">
        <v>183</v>
      </c>
    </row>
    <row r="26" spans="1:3">
      <c r="A26" t="s">
        <v>3581</v>
      </c>
      <c r="B26" s="50">
        <f>(B25-B24)/B24</f>
        <v>1.5333333333333334</v>
      </c>
      <c r="C26" s="49" t="s">
        <v>282</v>
      </c>
    </row>
    <row r="28" spans="1:3">
      <c r="A28" t="s">
        <v>3582</v>
      </c>
    </row>
    <row r="29" spans="1:3">
      <c r="A29" t="s">
        <v>3583</v>
      </c>
    </row>
    <row r="31" spans="1:3">
      <c r="A31" t="s">
        <v>3584</v>
      </c>
    </row>
    <row r="32" spans="1:3">
      <c r="A32" t="s">
        <v>3585</v>
      </c>
    </row>
    <row r="33" spans="1:6">
      <c r="A33" t="s">
        <v>3586</v>
      </c>
    </row>
    <row r="35" spans="1:6">
      <c r="A35" t="s">
        <v>3587</v>
      </c>
    </row>
    <row r="36" spans="1:6">
      <c r="A36" t="s">
        <v>3588</v>
      </c>
    </row>
    <row r="38" spans="1:6" s="780" customFormat="1" ht="45">
      <c r="B38" s="780" t="s">
        <v>3589</v>
      </c>
      <c r="C38" s="780" t="s">
        <v>3590</v>
      </c>
      <c r="D38" s="780" t="s">
        <v>3591</v>
      </c>
      <c r="E38" s="780" t="s">
        <v>3592</v>
      </c>
      <c r="F38" s="780" t="s">
        <v>3593</v>
      </c>
    </row>
    <row r="39" spans="1:6">
      <c r="A39" t="s">
        <v>63</v>
      </c>
      <c r="B39" s="27">
        <f>'Energy Use Data'!J45</f>
        <v>106.07270497057563</v>
      </c>
      <c r="C39" s="46">
        <f>C16</f>
        <v>2.75</v>
      </c>
      <c r="D39" s="27">
        <f>B39*(1+C39)</f>
        <v>397.77264363965861</v>
      </c>
      <c r="E39" s="27">
        <f>D39*($B$57/$D$55)</f>
        <v>246.57484760680956</v>
      </c>
      <c r="F39" s="1046">
        <f>(E39-B39)/B39</f>
        <v>1.3245833852847344</v>
      </c>
    </row>
    <row r="40" spans="1:6">
      <c r="A40" t="s">
        <v>64</v>
      </c>
      <c r="B40" s="27">
        <f>'Energy Use Data'!J46</f>
        <v>115.76601136641689</v>
      </c>
      <c r="C40" s="46">
        <f>C13</f>
        <v>4.5</v>
      </c>
      <c r="D40" s="27">
        <f t="shared" ref="D40:D53" si="1">B40*(1+C40)</f>
        <v>636.7130625152929</v>
      </c>
      <c r="E40" s="27">
        <f t="shared" ref="E40:E53" si="2">D40*($B$57/$D$55)</f>
        <v>394.69136168448273</v>
      </c>
      <c r="F40" s="1046">
        <f t="shared" ref="F40:F53" si="3">(E40-B40)/B40</f>
        <v>2.4093889650842772</v>
      </c>
    </row>
    <row r="41" spans="1:6">
      <c r="A41" t="s">
        <v>65</v>
      </c>
      <c r="B41" s="27">
        <f>'Energy Use Data'!J47</f>
        <v>121.4892281102112</v>
      </c>
      <c r="C41" s="46">
        <f>C18</f>
        <v>5.5</v>
      </c>
      <c r="D41" s="27">
        <f t="shared" si="1"/>
        <v>789.67998271637282</v>
      </c>
      <c r="E41" s="27">
        <f t="shared" si="2"/>
        <v>489.51385800384435</v>
      </c>
      <c r="F41" s="1046">
        <f t="shared" si="3"/>
        <v>3.0292778678268726</v>
      </c>
    </row>
    <row r="42" spans="1:6">
      <c r="A42" t="s">
        <v>66</v>
      </c>
      <c r="B42" s="27">
        <f>'Energy Use Data'!J48</f>
        <v>105.86183676330965</v>
      </c>
      <c r="C42" s="46">
        <f>C8</f>
        <v>3</v>
      </c>
      <c r="D42" s="27">
        <f t="shared" si="1"/>
        <v>423.44734705323862</v>
      </c>
      <c r="E42" s="27">
        <f t="shared" si="2"/>
        <v>262.49031133409522</v>
      </c>
      <c r="F42" s="1046">
        <f t="shared" si="3"/>
        <v>1.4795556109703829</v>
      </c>
    </row>
    <row r="43" spans="1:6">
      <c r="A43" t="s">
        <v>67</v>
      </c>
      <c r="B43" s="27">
        <f>'Energy Use Data'!J49</f>
        <v>107.70052045045077</v>
      </c>
      <c r="C43" s="544">
        <f>C6</f>
        <v>4.5</v>
      </c>
      <c r="D43" s="27">
        <f t="shared" si="1"/>
        <v>592.35286247747922</v>
      </c>
      <c r="E43" s="27">
        <f t="shared" si="2"/>
        <v>367.19296595760034</v>
      </c>
      <c r="F43" s="1046">
        <f t="shared" si="3"/>
        <v>2.4093889650842768</v>
      </c>
    </row>
    <row r="44" spans="1:6">
      <c r="A44" t="s">
        <v>68</v>
      </c>
      <c r="B44" s="27">
        <f>'Energy Use Data'!J50</f>
        <v>92.707701710970994</v>
      </c>
      <c r="C44" s="46">
        <f>C6</f>
        <v>4.5</v>
      </c>
      <c r="D44" s="27">
        <f t="shared" si="1"/>
        <v>509.89235941034048</v>
      </c>
      <c r="E44" s="27">
        <f t="shared" si="2"/>
        <v>316.07661519170927</v>
      </c>
      <c r="F44" s="1046">
        <f t="shared" si="3"/>
        <v>2.4093889650842772</v>
      </c>
    </row>
    <row r="45" spans="1:6">
      <c r="A45" t="s">
        <v>69</v>
      </c>
      <c r="B45" s="27">
        <f>'Energy Use Data'!J51</f>
        <v>12.764279118253675</v>
      </c>
      <c r="C45" s="46">
        <f>C20</f>
        <v>4.5</v>
      </c>
      <c r="D45" s="27">
        <f t="shared" si="1"/>
        <v>70.203535150395211</v>
      </c>
      <c r="E45" s="27">
        <f t="shared" si="2"/>
        <v>43.518392373029741</v>
      </c>
      <c r="F45" s="1046">
        <f t="shared" si="3"/>
        <v>2.4093889650842764</v>
      </c>
    </row>
    <row r="46" spans="1:6">
      <c r="A46" t="s">
        <v>70</v>
      </c>
      <c r="B46" s="27">
        <f>'Energy Use Data'!J52</f>
        <v>553.05578216937249</v>
      </c>
      <c r="C46" s="46">
        <f>C14</f>
        <v>1</v>
      </c>
      <c r="D46" s="27">
        <f t="shared" si="1"/>
        <v>1106.111564338745</v>
      </c>
      <c r="E46" s="27">
        <f t="shared" si="2"/>
        <v>685.66628392884081</v>
      </c>
      <c r="F46" s="1046">
        <f t="shared" si="3"/>
        <v>0.23977780548519165</v>
      </c>
    </row>
    <row r="47" spans="1:6">
      <c r="A47" t="s">
        <v>71</v>
      </c>
      <c r="B47" s="27">
        <f>'Energy Use Data'!J53</f>
        <v>399.72255809842619</v>
      </c>
      <c r="C47" s="46">
        <f>C19</f>
        <v>3</v>
      </c>
      <c r="D47" s="27">
        <f t="shared" si="1"/>
        <v>1598.8902323937048</v>
      </c>
      <c r="E47" s="27">
        <f t="shared" si="2"/>
        <v>991.13431176438758</v>
      </c>
      <c r="F47" s="1046">
        <f t="shared" si="3"/>
        <v>1.4795556109703831</v>
      </c>
    </row>
    <row r="48" spans="1:6">
      <c r="A48" t="s">
        <v>72</v>
      </c>
      <c r="B48" s="27">
        <f>'Energy Use Data'!J54</f>
        <v>140.09685498797381</v>
      </c>
      <c r="C48" s="46">
        <f>C19</f>
        <v>3</v>
      </c>
      <c r="D48" s="27">
        <f t="shared" si="1"/>
        <v>560.38741995189525</v>
      </c>
      <c r="E48" s="27">
        <f t="shared" si="2"/>
        <v>347.37794286473456</v>
      </c>
      <c r="F48" s="1046">
        <f t="shared" si="3"/>
        <v>1.4795556109703831</v>
      </c>
    </row>
    <row r="49" spans="1:6">
      <c r="A49" t="s">
        <v>73</v>
      </c>
      <c r="B49" s="27">
        <f>'Energy Use Data'!J55</f>
        <v>15.559147319380724</v>
      </c>
      <c r="C49" s="46">
        <f>C10</f>
        <v>5</v>
      </c>
      <c r="D49" s="27">
        <f t="shared" si="1"/>
        <v>93.354883916284336</v>
      </c>
      <c r="E49" s="27">
        <f t="shared" si="2"/>
        <v>57.8696565565279</v>
      </c>
      <c r="F49" s="1046">
        <f t="shared" si="3"/>
        <v>2.7193334164555742</v>
      </c>
    </row>
    <row r="50" spans="1:6">
      <c r="A50" t="s">
        <v>74</v>
      </c>
      <c r="B50" s="27">
        <f>'Energy Use Data'!J56</f>
        <v>9.3228399857207656</v>
      </c>
      <c r="C50" s="46">
        <f>C15</f>
        <v>9.5</v>
      </c>
      <c r="D50" s="27">
        <f t="shared" si="1"/>
        <v>97.889819850068037</v>
      </c>
      <c r="E50" s="27">
        <f t="shared" si="2"/>
        <v>60.680813016529044</v>
      </c>
      <c r="F50" s="1046">
        <f t="shared" si="3"/>
        <v>5.5088334787972553</v>
      </c>
    </row>
    <row r="51" spans="1:6">
      <c r="A51" t="s">
        <v>75</v>
      </c>
      <c r="B51" s="27">
        <f>'Energy Use Data'!J57</f>
        <v>36.871200000000002</v>
      </c>
      <c r="C51" s="46">
        <f>C20</f>
        <v>4.5</v>
      </c>
      <c r="D51" s="27">
        <f t="shared" si="1"/>
        <v>202.79160000000002</v>
      </c>
      <c r="E51" s="27">
        <f t="shared" si="2"/>
        <v>125.7082624094154</v>
      </c>
      <c r="F51" s="1046">
        <f t="shared" si="3"/>
        <v>2.4093889650842768</v>
      </c>
    </row>
    <row r="52" spans="1:6">
      <c r="A52" t="s">
        <v>76</v>
      </c>
      <c r="B52" s="27">
        <f>'Energy Use Data'!J58</f>
        <v>78.184582424291307</v>
      </c>
      <c r="C52" s="46">
        <f>C19</f>
        <v>3</v>
      </c>
      <c r="D52" s="27">
        <f t="shared" si="1"/>
        <v>312.73832969716523</v>
      </c>
      <c r="E52" s="27">
        <f t="shared" si="2"/>
        <v>193.8630200415279</v>
      </c>
      <c r="F52" s="1046">
        <f t="shared" si="3"/>
        <v>1.4795556109703831</v>
      </c>
    </row>
    <row r="53" spans="1:6">
      <c r="A53" t="s">
        <v>77</v>
      </c>
      <c r="B53" s="27">
        <f>'Energy Use Data'!J59</f>
        <v>103.38809301065831</v>
      </c>
      <c r="C53" s="46">
        <f>C17</f>
        <v>6.5</v>
      </c>
      <c r="D53" s="27">
        <f t="shared" si="1"/>
        <v>775.41069757993728</v>
      </c>
      <c r="E53" s="27">
        <f t="shared" si="2"/>
        <v>480.6684864976981</v>
      </c>
      <c r="F53" s="1046">
        <f t="shared" si="3"/>
        <v>3.6491667705694679</v>
      </c>
    </row>
    <row r="55" spans="1:6" s="52" customFormat="1">
      <c r="A55" s="52" t="s">
        <v>125</v>
      </c>
      <c r="B55" s="53">
        <f>SUM(B39:B53)</f>
        <v>1998.5633404860127</v>
      </c>
      <c r="D55" s="53">
        <f>SUM(D39:D53)</f>
        <v>8167.6363406905766</v>
      </c>
      <c r="E55" s="53">
        <f>SUM(E39:E53)</f>
        <v>5063.0271292312327</v>
      </c>
    </row>
    <row r="57" spans="1:6">
      <c r="A57" t="s">
        <v>3594</v>
      </c>
      <c r="B57" s="27">
        <f>B55*(1+B26)</f>
        <v>5063.0271292312318</v>
      </c>
      <c r="C57" t="s">
        <v>183</v>
      </c>
    </row>
    <row r="61" spans="1:6">
      <c r="A61" s="535" t="s">
        <v>3595</v>
      </c>
      <c r="B61" s="536"/>
      <c r="C61" s="536"/>
      <c r="D61" s="536"/>
      <c r="E61" s="536"/>
      <c r="F61" s="536"/>
    </row>
    <row r="62" spans="1:6">
      <c r="A62" s="538" t="s">
        <v>3596</v>
      </c>
    </row>
    <row r="63" spans="1:6">
      <c r="A63" s="23"/>
    </row>
    <row r="64" spans="1:6">
      <c r="A64" s="23" t="s">
        <v>3597</v>
      </c>
    </row>
    <row r="138" spans="1:1">
      <c r="A138" s="23" t="s">
        <v>3598</v>
      </c>
    </row>
  </sheetData>
  <pageMargins left="0.7" right="0.7" top="0.75" bottom="0.75" header="0.3" footer="0.3"/>
  <headerFooter>
    <oddFooter>&amp;R_x000D_&amp;1#&amp;"Aptos"&amp;10&amp;K000000 Official Use Only</oddFooter>
  </headerFooter>
  <ignoredErrors>
    <ignoredError sqref="C40" formula="1"/>
  </ignoredErrors>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8FC2-36B3-456B-89A1-FBB98AE9E651}">
  <dimension ref="A1:F44"/>
  <sheetViews>
    <sheetView topLeftCell="A28" zoomScale="175" zoomScaleNormal="175" workbookViewId="0">
      <selection activeCell="A40" sqref="A40"/>
    </sheetView>
  </sheetViews>
  <sheetFormatPr defaultRowHeight="15"/>
  <cols>
    <col min="1" max="1" width="32" customWidth="1"/>
    <col min="2" max="2" width="9.140625" customWidth="1"/>
  </cols>
  <sheetData>
    <row r="1" spans="1:6">
      <c r="A1" s="45" t="s">
        <v>3599</v>
      </c>
    </row>
    <row r="2" spans="1:6">
      <c r="A2" s="52" t="s">
        <v>3600</v>
      </c>
    </row>
    <row r="3" spans="1:6">
      <c r="A3" s="52"/>
    </row>
    <row r="4" spans="1:6">
      <c r="A4" t="s">
        <v>3601</v>
      </c>
    </row>
    <row r="5" spans="1:6">
      <c r="A5" s="535" t="s">
        <v>40</v>
      </c>
      <c r="B5" s="536"/>
      <c r="C5" s="536"/>
      <c r="D5" s="536"/>
      <c r="E5" s="536"/>
      <c r="F5" s="536"/>
    </row>
    <row r="6" spans="1:6">
      <c r="B6">
        <v>2020</v>
      </c>
      <c r="C6">
        <v>2025</v>
      </c>
      <c r="D6">
        <v>2030</v>
      </c>
      <c r="E6">
        <v>2040</v>
      </c>
      <c r="F6">
        <v>2050</v>
      </c>
    </row>
    <row r="7" spans="1:6">
      <c r="A7" t="s">
        <v>3602</v>
      </c>
      <c r="B7" s="1011">
        <v>3.35</v>
      </c>
      <c r="C7" s="1011">
        <v>3.24</v>
      </c>
      <c r="D7" s="1011">
        <v>3.51</v>
      </c>
      <c r="E7" s="1011">
        <v>3.63</v>
      </c>
      <c r="F7" s="1011">
        <v>3.74</v>
      </c>
    </row>
    <row r="8" spans="1:6">
      <c r="A8" t="s">
        <v>3603</v>
      </c>
      <c r="B8" s="1011">
        <v>3.35</v>
      </c>
      <c r="C8" s="1011">
        <v>3.24</v>
      </c>
      <c r="D8" s="1011">
        <v>3.51</v>
      </c>
      <c r="E8" s="1011">
        <v>3.63</v>
      </c>
      <c r="F8" s="1011">
        <v>3.74</v>
      </c>
    </row>
    <row r="9" spans="1:6">
      <c r="A9" t="s">
        <v>3604</v>
      </c>
      <c r="B9" s="1011">
        <v>3.28</v>
      </c>
      <c r="C9" s="1011">
        <v>3.18</v>
      </c>
      <c r="D9" s="1011">
        <v>3.44</v>
      </c>
      <c r="E9" s="1011">
        <v>3.55</v>
      </c>
      <c r="F9" s="1011">
        <v>3.67</v>
      </c>
    </row>
    <row r="10" spans="1:6">
      <c r="A10" t="s">
        <v>3605</v>
      </c>
      <c r="B10" s="1011">
        <v>3.28</v>
      </c>
      <c r="C10" s="1011">
        <v>3.18</v>
      </c>
      <c r="D10" s="1011">
        <v>3.44</v>
      </c>
      <c r="E10" s="1011">
        <v>3.55</v>
      </c>
      <c r="F10" s="1011">
        <v>3.67</v>
      </c>
    </row>
    <row r="11" spans="1:6">
      <c r="A11" t="s">
        <v>3606</v>
      </c>
      <c r="B11" s="1011">
        <v>3.22</v>
      </c>
      <c r="C11" s="1011">
        <v>3.12</v>
      </c>
      <c r="D11" s="1011">
        <v>3.37</v>
      </c>
      <c r="E11" s="1011">
        <v>3.48</v>
      </c>
      <c r="F11" s="1011">
        <v>3.6</v>
      </c>
    </row>
    <row r="12" spans="1:6">
      <c r="A12" t="s">
        <v>3607</v>
      </c>
      <c r="B12" s="1011">
        <v>3.28</v>
      </c>
      <c r="C12" s="1011">
        <v>4.99</v>
      </c>
      <c r="D12" s="1011">
        <v>4.99</v>
      </c>
      <c r="E12" s="1011">
        <v>5.04</v>
      </c>
      <c r="F12" s="1011">
        <v>5.19</v>
      </c>
    </row>
    <row r="13" spans="1:6">
      <c r="A13" t="s">
        <v>3608</v>
      </c>
      <c r="B13" s="1011">
        <v>3.28</v>
      </c>
      <c r="C13" s="1011">
        <v>4.99</v>
      </c>
      <c r="D13" s="1011">
        <v>4.99</v>
      </c>
      <c r="E13" s="1011">
        <v>5.04</v>
      </c>
      <c r="F13" s="1011">
        <v>5.19</v>
      </c>
    </row>
    <row r="15" spans="1:6">
      <c r="A15" s="535" t="s">
        <v>44</v>
      </c>
      <c r="B15" s="536"/>
      <c r="C15" s="536"/>
      <c r="D15" s="536"/>
      <c r="E15" s="536"/>
      <c r="F15" s="536"/>
    </row>
    <row r="16" spans="1:6">
      <c r="B16">
        <v>2020</v>
      </c>
      <c r="C16">
        <v>2025</v>
      </c>
      <c r="D16">
        <v>2030</v>
      </c>
      <c r="E16">
        <v>2040</v>
      </c>
      <c r="F16">
        <v>2050</v>
      </c>
    </row>
    <row r="17" spans="1:6">
      <c r="A17" t="s">
        <v>3609</v>
      </c>
      <c r="B17" s="103">
        <v>7.53</v>
      </c>
      <c r="C17" s="103">
        <v>9.4499999999999993</v>
      </c>
      <c r="D17" s="103">
        <v>10.73</v>
      </c>
      <c r="E17" s="103">
        <v>10.82</v>
      </c>
      <c r="F17" s="103">
        <v>10.82</v>
      </c>
    </row>
    <row r="18" spans="1:6">
      <c r="A18" t="s">
        <v>3610</v>
      </c>
      <c r="B18" s="103">
        <v>7.2</v>
      </c>
      <c r="C18" s="103">
        <v>9.36</v>
      </c>
      <c r="D18" s="103">
        <v>11.17</v>
      </c>
      <c r="E18" s="103">
        <v>11.26</v>
      </c>
      <c r="F18" s="103">
        <v>11.26</v>
      </c>
    </row>
    <row r="19" spans="1:6">
      <c r="A19" t="s">
        <v>3611</v>
      </c>
      <c r="B19" s="103">
        <v>11.35</v>
      </c>
      <c r="C19" s="103">
        <v>11.35</v>
      </c>
      <c r="D19" s="103">
        <v>11.35</v>
      </c>
      <c r="E19" s="103">
        <v>11.35</v>
      </c>
      <c r="F19" s="103">
        <v>11.35</v>
      </c>
    </row>
    <row r="20" spans="1:6">
      <c r="A20" t="s">
        <v>3612</v>
      </c>
      <c r="B20" s="103">
        <v>9.25</v>
      </c>
      <c r="C20" s="103">
        <v>9.25</v>
      </c>
      <c r="D20" s="103">
        <v>9.25</v>
      </c>
      <c r="E20" s="103">
        <v>9.25</v>
      </c>
      <c r="F20" s="103">
        <v>9.25</v>
      </c>
    </row>
    <row r="21" spans="1:6">
      <c r="A21" t="s">
        <v>3613</v>
      </c>
      <c r="B21" s="103">
        <v>9.25</v>
      </c>
      <c r="C21" s="103">
        <v>9.25</v>
      </c>
      <c r="D21" s="103">
        <v>9.25</v>
      </c>
      <c r="E21" s="103">
        <v>9.25</v>
      </c>
      <c r="F21" s="103">
        <v>9.25</v>
      </c>
    </row>
    <row r="22" spans="1:6">
      <c r="A22" t="s">
        <v>3155</v>
      </c>
      <c r="B22" s="103">
        <v>8.9</v>
      </c>
      <c r="C22" s="103">
        <v>12.45</v>
      </c>
      <c r="D22" s="103">
        <v>12.45</v>
      </c>
      <c r="E22" s="103">
        <v>12.56</v>
      </c>
      <c r="F22" s="103">
        <v>12.56</v>
      </c>
    </row>
    <row r="23" spans="1:6">
      <c r="A23" t="s">
        <v>3614</v>
      </c>
      <c r="B23" s="103">
        <v>8.9</v>
      </c>
      <c r="C23" s="103">
        <v>12.45</v>
      </c>
      <c r="D23" s="103">
        <v>12.45</v>
      </c>
      <c r="E23" s="103">
        <v>12.56</v>
      </c>
      <c r="F23" s="103">
        <v>12.56</v>
      </c>
    </row>
    <row r="25" spans="1:6">
      <c r="A25" s="535" t="s">
        <v>90</v>
      </c>
      <c r="B25" s="536"/>
      <c r="C25" s="536"/>
      <c r="D25" s="536"/>
      <c r="E25" s="536"/>
      <c r="F25" s="536"/>
    </row>
    <row r="26" spans="1:6">
      <c r="B26">
        <v>2020</v>
      </c>
      <c r="C26">
        <v>2025</v>
      </c>
      <c r="D26">
        <v>2030</v>
      </c>
      <c r="E26">
        <v>2040</v>
      </c>
      <c r="F26">
        <v>2050</v>
      </c>
    </row>
    <row r="27" spans="1:6">
      <c r="A27" t="s">
        <v>462</v>
      </c>
      <c r="B27" s="103">
        <v>6.06</v>
      </c>
      <c r="C27" s="103">
        <v>6.06</v>
      </c>
      <c r="D27" s="103">
        <v>6.06</v>
      </c>
      <c r="E27" s="103">
        <v>6.06</v>
      </c>
      <c r="F27" s="103">
        <v>6.06</v>
      </c>
    </row>
    <row r="28" spans="1:6">
      <c r="A28" t="s">
        <v>3615</v>
      </c>
      <c r="B28" s="103">
        <v>10.5</v>
      </c>
      <c r="C28" s="103">
        <v>9.86</v>
      </c>
      <c r="D28" s="103">
        <v>9.6199999999999992</v>
      </c>
      <c r="E28" s="103">
        <v>9.1300000000000008</v>
      </c>
      <c r="F28" s="103">
        <v>8.61</v>
      </c>
    </row>
    <row r="29" spans="1:6">
      <c r="A29" t="s">
        <v>3616</v>
      </c>
      <c r="B29" s="103">
        <v>5.37</v>
      </c>
      <c r="C29" s="103">
        <v>5.37</v>
      </c>
      <c r="D29" s="103">
        <v>5.63</v>
      </c>
      <c r="E29" s="103">
        <v>6.16</v>
      </c>
      <c r="F29" s="103">
        <v>6.16</v>
      </c>
    </row>
    <row r="31" spans="1:6">
      <c r="A31" s="535" t="s">
        <v>3617</v>
      </c>
      <c r="B31" s="536"/>
      <c r="C31" s="536"/>
      <c r="D31" s="536"/>
      <c r="E31" s="536"/>
      <c r="F31" s="536"/>
    </row>
    <row r="32" spans="1:6">
      <c r="B32">
        <v>2020</v>
      </c>
      <c r="C32">
        <v>2025</v>
      </c>
      <c r="D32">
        <v>2030</v>
      </c>
      <c r="E32">
        <v>2040</v>
      </c>
      <c r="F32">
        <v>2050</v>
      </c>
    </row>
    <row r="33" spans="1:6">
      <c r="A33" t="s">
        <v>366</v>
      </c>
      <c r="B33" s="103">
        <v>4.8600000000000003</v>
      </c>
      <c r="C33" s="103">
        <v>4.8600000000000003</v>
      </c>
      <c r="D33" s="103">
        <v>4.8600000000000003</v>
      </c>
      <c r="E33" s="103">
        <v>4.8600000000000003</v>
      </c>
      <c r="F33" s="103">
        <v>4.8600000000000003</v>
      </c>
    </row>
    <row r="34" spans="1:6">
      <c r="A34" t="s">
        <v>3618</v>
      </c>
      <c r="B34" s="103">
        <v>6.12</v>
      </c>
      <c r="C34" s="103">
        <v>6.43</v>
      </c>
      <c r="D34" s="103">
        <v>6.78</v>
      </c>
      <c r="E34" s="103">
        <v>6.91</v>
      </c>
      <c r="F34" s="103">
        <v>6.91</v>
      </c>
    </row>
    <row r="35" spans="1:6">
      <c r="A35" t="s">
        <v>3619</v>
      </c>
      <c r="B35" s="103">
        <v>10.72</v>
      </c>
      <c r="C35" s="103">
        <v>11.27</v>
      </c>
      <c r="D35" s="103">
        <v>11.9</v>
      </c>
      <c r="E35" s="103">
        <v>12.14</v>
      </c>
      <c r="F35" s="103">
        <v>12.14</v>
      </c>
    </row>
    <row r="38" spans="1:6">
      <c r="A38" s="535" t="s">
        <v>141</v>
      </c>
      <c r="B38" s="536"/>
      <c r="C38" s="536"/>
      <c r="D38" s="536"/>
      <c r="E38" s="536"/>
      <c r="F38" s="536"/>
    </row>
    <row r="39" spans="1:6">
      <c r="A39" s="58" t="s">
        <v>3620</v>
      </c>
    </row>
    <row r="40" spans="1:6">
      <c r="B40" s="23">
        <v>2022</v>
      </c>
      <c r="C40" s="23">
        <v>2030</v>
      </c>
      <c r="D40" s="23">
        <v>2050</v>
      </c>
    </row>
    <row r="41" spans="1:6">
      <c r="A41" t="s">
        <v>3621</v>
      </c>
      <c r="B41">
        <v>7.3</v>
      </c>
      <c r="C41">
        <v>7.75</v>
      </c>
      <c r="D41">
        <v>9.5</v>
      </c>
      <c r="E41" t="s">
        <v>3622</v>
      </c>
    </row>
    <row r="42" spans="1:6">
      <c r="A42" t="s">
        <v>3621</v>
      </c>
      <c r="B42">
        <f>B41/'Unit Conversions'!$E$6</f>
        <v>2027834106.2</v>
      </c>
      <c r="C42">
        <f>C41/'Unit Conversions'!$E$6</f>
        <v>2152837578.5</v>
      </c>
      <c r="D42">
        <f>D41/'Unit Conversions'!$E$6</f>
        <v>2638962193</v>
      </c>
      <c r="E42" t="s">
        <v>3623</v>
      </c>
    </row>
    <row r="43" spans="1:6">
      <c r="A43" t="s">
        <v>3621</v>
      </c>
      <c r="B43" s="501">
        <f>B42/10^9</f>
        <v>2.0278341062000003</v>
      </c>
      <c r="C43" s="501">
        <f t="shared" ref="C43:D43" si="0">C42/10^9</f>
        <v>2.1528375784999998</v>
      </c>
      <c r="D43" s="501">
        <f t="shared" si="0"/>
        <v>2.6389621929999998</v>
      </c>
      <c r="E43" t="s">
        <v>3624</v>
      </c>
    </row>
    <row r="44" spans="1:6">
      <c r="A44" t="s">
        <v>3621</v>
      </c>
      <c r="B44" s="500">
        <f>B43/100</f>
        <v>2.0278341062000004E-2</v>
      </c>
      <c r="C44" s="500">
        <f t="shared" ref="C44:D44" si="1">C43/100</f>
        <v>2.1528375784999998E-2</v>
      </c>
      <c r="D44" s="500">
        <f t="shared" si="1"/>
        <v>2.6389621929999999E-2</v>
      </c>
      <c r="E44" t="s">
        <v>203</v>
      </c>
    </row>
  </sheetData>
  <pageMargins left="0.7" right="0.7" top="0.75" bottom="0.75" header="0.3" footer="0.3"/>
  <headerFooter>
    <oddFooter>&amp;R_x000D_&amp;1#&amp;"Aptos"&amp;10&amp;K000000 Official Use Only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32A9-5B49-4CD0-919D-A1C12200BA8A}">
  <dimension ref="A1:E27"/>
  <sheetViews>
    <sheetView topLeftCell="A10" zoomScale="130" zoomScaleNormal="130" workbookViewId="0">
      <selection activeCell="A28" sqref="A28"/>
    </sheetView>
  </sheetViews>
  <sheetFormatPr defaultRowHeight="15"/>
  <cols>
    <col min="1" max="1" width="16.5703125" customWidth="1"/>
    <col min="2" max="2" width="19" customWidth="1"/>
    <col min="3" max="3" width="16.5703125" customWidth="1"/>
  </cols>
  <sheetData>
    <row r="1" spans="1:5">
      <c r="A1" s="106" t="s">
        <v>3625</v>
      </c>
      <c r="B1" s="107"/>
      <c r="C1" s="107"/>
      <c r="D1" s="107"/>
      <c r="E1" s="107"/>
    </row>
    <row r="2" spans="1:5">
      <c r="A2" s="502" t="s">
        <v>3626</v>
      </c>
    </row>
    <row r="5" spans="1:5">
      <c r="A5" s="23" t="s">
        <v>3627</v>
      </c>
      <c r="B5" s="23" t="s">
        <v>3628</v>
      </c>
      <c r="C5" s="30" t="s">
        <v>3629</v>
      </c>
    </row>
    <row r="6" spans="1:5">
      <c r="A6">
        <v>1</v>
      </c>
      <c r="B6" t="s">
        <v>3630</v>
      </c>
      <c r="C6" s="501">
        <v>1352</v>
      </c>
    </row>
    <row r="7" spans="1:5">
      <c r="A7">
        <v>2</v>
      </c>
      <c r="B7" t="s">
        <v>3631</v>
      </c>
      <c r="C7" s="501">
        <v>1444.7</v>
      </c>
    </row>
    <row r="8" spans="1:5">
      <c r="A8">
        <v>3</v>
      </c>
      <c r="B8" t="s">
        <v>3632</v>
      </c>
      <c r="C8" s="501">
        <v>1444.7</v>
      </c>
    </row>
    <row r="9" spans="1:5">
      <c r="A9">
        <v>4</v>
      </c>
      <c r="B9" t="s">
        <v>3633</v>
      </c>
      <c r="C9" s="501">
        <v>1699.53</v>
      </c>
    </row>
    <row r="10" spans="1:5">
      <c r="A10">
        <v>5</v>
      </c>
      <c r="B10" t="s">
        <v>3634</v>
      </c>
      <c r="C10" s="501">
        <v>1699.53</v>
      </c>
    </row>
    <row r="11" spans="1:5">
      <c r="A11">
        <v>6</v>
      </c>
      <c r="B11" t="s">
        <v>3635</v>
      </c>
      <c r="C11" s="501">
        <v>1444.7</v>
      </c>
    </row>
    <row r="12" spans="1:5">
      <c r="A12">
        <v>7</v>
      </c>
      <c r="B12" t="s">
        <v>3636</v>
      </c>
      <c r="C12" s="501">
        <v>1035.78</v>
      </c>
    </row>
    <row r="13" spans="1:5">
      <c r="A13">
        <v>8</v>
      </c>
      <c r="B13" t="s">
        <v>3636</v>
      </c>
      <c r="C13" s="501">
        <v>1035.78</v>
      </c>
    </row>
    <row r="14" spans="1:5">
      <c r="A14">
        <v>9</v>
      </c>
      <c r="B14" t="s">
        <v>3637</v>
      </c>
      <c r="C14" s="501">
        <v>996.74</v>
      </c>
    </row>
    <row r="15" spans="1:5">
      <c r="A15">
        <v>10</v>
      </c>
      <c r="B15" t="s">
        <v>3635</v>
      </c>
      <c r="C15" s="501">
        <v>1699.53</v>
      </c>
    </row>
    <row r="16" spans="1:5">
      <c r="A16">
        <v>11</v>
      </c>
      <c r="B16" t="s">
        <v>3636</v>
      </c>
      <c r="C16" s="501">
        <v>1415.01</v>
      </c>
    </row>
    <row r="17" spans="1:5">
      <c r="A17">
        <v>12</v>
      </c>
      <c r="B17" t="s">
        <v>3638</v>
      </c>
      <c r="C17" s="501">
        <v>1699.53</v>
      </c>
    </row>
    <row r="18" spans="1:5">
      <c r="A18">
        <v>13</v>
      </c>
      <c r="B18" t="s">
        <v>3638</v>
      </c>
      <c r="C18" s="501">
        <v>1644.52</v>
      </c>
    </row>
    <row r="20" spans="1:5">
      <c r="C20" s="1040" t="s">
        <v>595</v>
      </c>
      <c r="D20" s="23" t="s">
        <v>116</v>
      </c>
      <c r="E20" s="23" t="s">
        <v>612</v>
      </c>
    </row>
    <row r="21" spans="1:5">
      <c r="A21" t="s">
        <v>1505</v>
      </c>
      <c r="C21" s="501">
        <f>AVERAGE(C6:C18)</f>
        <v>1431.6961538461542</v>
      </c>
      <c r="D21" t="s">
        <v>3639</v>
      </c>
    </row>
    <row r="23" spans="1:5">
      <c r="A23" t="s">
        <v>3640</v>
      </c>
      <c r="C23">
        <v>6.7399999999999998E-5</v>
      </c>
      <c r="D23" t="s">
        <v>3641</v>
      </c>
      <c r="E23" s="28" t="s">
        <v>3642</v>
      </c>
    </row>
    <row r="25" spans="1:5">
      <c r="A25" t="s">
        <v>3643</v>
      </c>
      <c r="C25" s="500">
        <f>C21*C23</f>
        <v>9.6496320769230787E-2</v>
      </c>
      <c r="D25" t="s">
        <v>205</v>
      </c>
    </row>
    <row r="26" spans="1:5">
      <c r="C26" s="27">
        <f>C25/'Unit Conversions'!E6</f>
        <v>26805278.134063236</v>
      </c>
      <c r="D26" t="s">
        <v>3644</v>
      </c>
    </row>
    <row r="27" spans="1:5">
      <c r="C27" s="824">
        <f>C26/10^9</f>
        <v>2.6805278134063238E-2</v>
      </c>
      <c r="D27" t="s">
        <v>203</v>
      </c>
    </row>
  </sheetData>
  <hyperlinks>
    <hyperlink ref="E23" r:id="rId1" xr:uid="{7685ADCC-2AB2-41BC-A41F-314A8B776E38}"/>
  </hyperlinks>
  <pageMargins left="0.7" right="0.7" top="0.75" bottom="0.75" header="0.3" footer="0.3"/>
  <headerFooter>
    <oddFooter>&amp;R_x000D_&amp;1#&amp;"Aptos"&amp;10&amp;K000000 Official Use Only</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89181-D566-45B6-9474-1194430BBA38}">
  <dimension ref="A94:K141"/>
  <sheetViews>
    <sheetView topLeftCell="A25" zoomScale="62" zoomScaleNormal="62" workbookViewId="0"/>
  </sheetViews>
  <sheetFormatPr defaultColWidth="9.140625" defaultRowHeight="14.25"/>
  <cols>
    <col min="1" max="16384" width="9.140625" style="503"/>
  </cols>
  <sheetData>
    <row r="94" spans="1:1">
      <c r="A94" s="503" t="s">
        <v>848</v>
      </c>
    </row>
    <row r="121" spans="11:11">
      <c r="K121" s="503">
        <v>79.400000000000006</v>
      </c>
    </row>
    <row r="122" spans="11:11">
      <c r="K122" s="503">
        <v>54</v>
      </c>
    </row>
    <row r="123" spans="11:11">
      <c r="K123" s="503">
        <f>K121-K122</f>
        <v>25.400000000000006</v>
      </c>
    </row>
    <row r="124" spans="11:11">
      <c r="K124" s="503">
        <f>K123/K122</f>
        <v>0.47037037037037049</v>
      </c>
    </row>
    <row r="141" spans="1:1">
      <c r="A141" s="503" t="s">
        <v>3645</v>
      </c>
    </row>
  </sheetData>
  <pageMargins left="0.7" right="0.7" top="0.75" bottom="0.75" header="0.3" footer="0.3"/>
  <headerFooter>
    <oddFooter>&amp;R_x000D_&amp;1#&amp;"Aptos"&amp;10&amp;K000000 Official Use Only</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41FF8-7CB8-4CA5-A03C-0A9DFBC8E106}">
  <dimension ref="A1:AQ12"/>
  <sheetViews>
    <sheetView zoomScaleNormal="100" workbookViewId="0">
      <selection activeCell="A12" sqref="A12"/>
    </sheetView>
  </sheetViews>
  <sheetFormatPr defaultRowHeight="15"/>
  <cols>
    <col min="1" max="1" width="87.28515625" customWidth="1"/>
  </cols>
  <sheetData>
    <row r="1" spans="1:43">
      <c r="A1" s="538" t="s">
        <v>3646</v>
      </c>
    </row>
    <row r="2" spans="1:43">
      <c r="A2" t="s">
        <v>3647</v>
      </c>
      <c r="B2">
        <v>2019</v>
      </c>
      <c r="C2">
        <v>2020</v>
      </c>
      <c r="D2">
        <v>2021</v>
      </c>
      <c r="E2">
        <v>2022</v>
      </c>
      <c r="F2">
        <v>2023</v>
      </c>
      <c r="G2">
        <v>2024</v>
      </c>
      <c r="H2">
        <v>2025</v>
      </c>
      <c r="I2">
        <v>2026</v>
      </c>
      <c r="J2">
        <v>2027</v>
      </c>
      <c r="K2">
        <v>2028</v>
      </c>
      <c r="L2">
        <v>2029</v>
      </c>
      <c r="M2">
        <v>2030</v>
      </c>
      <c r="N2">
        <v>2031</v>
      </c>
      <c r="O2">
        <v>2032</v>
      </c>
      <c r="P2">
        <v>2033</v>
      </c>
      <c r="Q2">
        <v>2034</v>
      </c>
      <c r="R2">
        <v>2035</v>
      </c>
      <c r="S2">
        <v>2036</v>
      </c>
      <c r="T2">
        <v>2037</v>
      </c>
      <c r="U2">
        <v>2038</v>
      </c>
      <c r="V2">
        <v>2039</v>
      </c>
      <c r="W2">
        <v>2040</v>
      </c>
      <c r="X2">
        <v>2041</v>
      </c>
      <c r="Y2">
        <v>2042</v>
      </c>
      <c r="Z2">
        <v>2043</v>
      </c>
      <c r="AA2">
        <v>2044</v>
      </c>
      <c r="AB2">
        <v>2045</v>
      </c>
      <c r="AC2">
        <v>2046</v>
      </c>
      <c r="AD2">
        <v>2047</v>
      </c>
      <c r="AE2">
        <v>2048</v>
      </c>
      <c r="AF2">
        <v>2049</v>
      </c>
      <c r="AG2">
        <v>2050</v>
      </c>
      <c r="AH2">
        <v>2051</v>
      </c>
      <c r="AI2">
        <v>2052</v>
      </c>
      <c r="AJ2">
        <v>2053</v>
      </c>
      <c r="AK2">
        <v>2054</v>
      </c>
      <c r="AL2">
        <v>2055</v>
      </c>
      <c r="AM2">
        <v>2056</v>
      </c>
      <c r="AN2">
        <v>2057</v>
      </c>
      <c r="AO2">
        <v>2058</v>
      </c>
      <c r="AP2">
        <v>2059</v>
      </c>
      <c r="AQ2">
        <v>2060</v>
      </c>
    </row>
    <row r="3" spans="1:43">
      <c r="A3" t="s">
        <v>3648</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row>
    <row r="4" spans="1:43">
      <c r="A4" t="s">
        <v>3649</v>
      </c>
      <c r="B4" s="546">
        <v>1000770000000000</v>
      </c>
      <c r="C4" s="546">
        <v>1026750000000000</v>
      </c>
      <c r="D4" s="546">
        <v>1036190000000000</v>
      </c>
      <c r="E4" s="546">
        <v>1077640000000000</v>
      </c>
      <c r="F4" s="546">
        <v>1088070000000000</v>
      </c>
      <c r="G4" s="546">
        <v>1109020000000000</v>
      </c>
      <c r="H4" s="546">
        <v>1117860000000000</v>
      </c>
      <c r="I4" s="546">
        <v>1135530000000000</v>
      </c>
      <c r="J4" s="546">
        <v>1142160000000000</v>
      </c>
      <c r="K4" s="546">
        <v>1157630000000000</v>
      </c>
      <c r="L4" s="546">
        <v>1162050000000000</v>
      </c>
      <c r="M4" s="546">
        <v>1175300000000000</v>
      </c>
      <c r="N4" s="546">
        <v>1142160000000000</v>
      </c>
      <c r="O4" s="546">
        <v>1144370000000000</v>
      </c>
      <c r="P4" s="546">
        <v>1139950000000000</v>
      </c>
      <c r="Q4" s="546">
        <v>1142160000000000</v>
      </c>
      <c r="R4" s="546">
        <v>1139950000000000</v>
      </c>
      <c r="S4" s="546">
        <v>1135530000000000</v>
      </c>
      <c r="T4" s="546">
        <v>1131120000000000</v>
      </c>
      <c r="U4" s="546">
        <v>1133330000000000</v>
      </c>
      <c r="V4" s="546">
        <v>1133330000000000</v>
      </c>
      <c r="W4" s="546">
        <v>1133330000000000</v>
      </c>
      <c r="X4" s="546">
        <v>1124490000000000</v>
      </c>
      <c r="Y4" s="546">
        <v>1109020000000000</v>
      </c>
      <c r="Z4" s="546">
        <v>1100190000000000</v>
      </c>
      <c r="AA4" s="546">
        <v>1091350000000000</v>
      </c>
      <c r="AB4" s="546">
        <v>1078090000000000</v>
      </c>
      <c r="AC4" s="546">
        <v>1064840000000000</v>
      </c>
      <c r="AD4" s="546">
        <v>1044960000000000</v>
      </c>
      <c r="AE4" s="546">
        <v>1022860000000000</v>
      </c>
      <c r="AF4" s="546">
        <v>1005190000000000</v>
      </c>
      <c r="AG4" s="546">
        <v>985308000000000</v>
      </c>
      <c r="AH4" s="546">
        <v>961007000000000</v>
      </c>
      <c r="AI4" s="546">
        <v>938915000000000</v>
      </c>
      <c r="AJ4" s="546">
        <v>914613000000000</v>
      </c>
      <c r="AK4" s="546">
        <v>888103000000000</v>
      </c>
      <c r="AL4" s="546">
        <v>863801000000000</v>
      </c>
      <c r="AM4" s="546">
        <v>837291000000000</v>
      </c>
      <c r="AN4" s="546">
        <v>808571000000000</v>
      </c>
      <c r="AO4" s="546">
        <v>782061000000000</v>
      </c>
      <c r="AP4" s="546">
        <v>753341000000000</v>
      </c>
      <c r="AQ4" s="546">
        <v>724621000000000</v>
      </c>
    </row>
    <row r="5" spans="1:43">
      <c r="A5" t="s">
        <v>3650</v>
      </c>
      <c r="B5" s="546">
        <v>371918000000000</v>
      </c>
      <c r="C5" s="546">
        <v>387069000000000</v>
      </c>
      <c r="D5" s="546">
        <v>398297000000000</v>
      </c>
      <c r="E5" s="546">
        <v>422321000000000</v>
      </c>
      <c r="F5" s="546">
        <v>434856000000000</v>
      </c>
      <c r="G5" s="546">
        <v>452252000000000</v>
      </c>
      <c r="H5" s="546">
        <v>464154000000000</v>
      </c>
      <c r="I5" s="546">
        <v>479030000000000</v>
      </c>
      <c r="J5" s="546">
        <v>487956000000000</v>
      </c>
      <c r="K5" s="546">
        <v>499858000000000</v>
      </c>
      <c r="L5" s="546">
        <v>505808000000000</v>
      </c>
      <c r="M5" s="546">
        <v>517710000000000</v>
      </c>
      <c r="N5" s="546">
        <v>508784000000000</v>
      </c>
      <c r="O5" s="546">
        <v>517710000000000</v>
      </c>
      <c r="P5" s="546">
        <v>523660000000000</v>
      </c>
      <c r="Q5" s="546">
        <v>532587000000000</v>
      </c>
      <c r="R5" s="546">
        <v>538537000000000</v>
      </c>
      <c r="S5" s="546">
        <v>547463000000000</v>
      </c>
      <c r="T5" s="546">
        <v>556389000000000</v>
      </c>
      <c r="U5" s="546">
        <v>565315000000000</v>
      </c>
      <c r="V5" s="546">
        <v>577217000000000</v>
      </c>
      <c r="W5" s="546">
        <v>589118000000000</v>
      </c>
      <c r="X5" s="546">
        <v>592093000000000</v>
      </c>
      <c r="Y5" s="546">
        <v>586143000000000</v>
      </c>
      <c r="Z5" s="546">
        <v>586143000000000</v>
      </c>
      <c r="AA5" s="546">
        <v>583167000000000</v>
      </c>
      <c r="AB5" s="546">
        <v>577217000000000</v>
      </c>
      <c r="AC5" s="546">
        <v>568291000000000</v>
      </c>
      <c r="AD5" s="546">
        <v>553414000000000</v>
      </c>
      <c r="AE5" s="546">
        <v>541513000000000</v>
      </c>
      <c r="AF5" s="546">
        <v>523660000000000</v>
      </c>
      <c r="AG5" s="546">
        <v>502833000000000</v>
      </c>
      <c r="AH5" s="546">
        <v>482006000000000</v>
      </c>
      <c r="AI5" s="546">
        <v>458203000000000</v>
      </c>
      <c r="AJ5" s="546">
        <v>434400000000000</v>
      </c>
      <c r="AK5" s="546">
        <v>410597000000000</v>
      </c>
      <c r="AL5" s="546">
        <v>386795000000000</v>
      </c>
      <c r="AM5" s="546">
        <v>360017000000000</v>
      </c>
      <c r="AN5" s="546">
        <v>336214000000000</v>
      </c>
      <c r="AO5" s="546">
        <v>309436000000000</v>
      </c>
      <c r="AP5" s="546">
        <v>286228000000000</v>
      </c>
      <c r="AQ5" s="546">
        <v>262128000000000</v>
      </c>
    </row>
    <row r="6" spans="1:43">
      <c r="A6" t="s">
        <v>3651</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row>
    <row r="7" spans="1:43">
      <c r="A7" t="s">
        <v>3652</v>
      </c>
      <c r="B7" s="546">
        <v>16610800000000</v>
      </c>
      <c r="C7" s="546">
        <v>17281200000000</v>
      </c>
      <c r="D7" s="546">
        <v>17780400000000</v>
      </c>
      <c r="E7" s="546">
        <v>18844000000000</v>
      </c>
      <c r="F7" s="546">
        <v>19333600000000</v>
      </c>
      <c r="G7" s="546">
        <v>19445200000000</v>
      </c>
      <c r="H7" s="546">
        <v>19906600000000</v>
      </c>
      <c r="I7" s="546">
        <v>20499800000000</v>
      </c>
      <c r="J7" s="546">
        <v>20829400000000</v>
      </c>
      <c r="K7" s="546">
        <v>21356700000000</v>
      </c>
      <c r="L7" s="546">
        <v>21620400000000</v>
      </c>
      <c r="M7" s="546">
        <v>22081800000000</v>
      </c>
      <c r="N7" s="546">
        <v>21224900000000</v>
      </c>
      <c r="O7" s="546">
        <v>21027100000000</v>
      </c>
      <c r="P7" s="546">
        <v>20763500000000</v>
      </c>
      <c r="Q7" s="546">
        <v>20565700000000</v>
      </c>
      <c r="R7" s="546">
        <v>20302100000000</v>
      </c>
      <c r="S7" s="546">
        <v>20038400000000</v>
      </c>
      <c r="T7" s="546">
        <v>19313300000000</v>
      </c>
      <c r="U7" s="546">
        <v>19115600000000</v>
      </c>
      <c r="V7" s="546">
        <v>18851900000000</v>
      </c>
      <c r="W7" s="546">
        <v>18588300000000</v>
      </c>
      <c r="X7" s="546">
        <v>18258700000000</v>
      </c>
      <c r="Y7" s="546">
        <v>17863200000000</v>
      </c>
      <c r="Z7" s="546">
        <v>17533600000000</v>
      </c>
      <c r="AA7" s="546">
        <v>17204000000000</v>
      </c>
      <c r="AB7" s="546">
        <v>16808500000000</v>
      </c>
      <c r="AC7" s="546">
        <v>16478900000000</v>
      </c>
      <c r="AD7" s="546">
        <v>16017500000000</v>
      </c>
      <c r="AE7" s="546">
        <v>15226500000000</v>
      </c>
      <c r="AF7" s="546">
        <v>14831100000000</v>
      </c>
      <c r="AG7" s="546">
        <v>14435600000000</v>
      </c>
      <c r="AH7" s="546">
        <v>13908200000000</v>
      </c>
      <c r="AI7" s="546">
        <v>13446800000000</v>
      </c>
      <c r="AJ7" s="546">
        <v>12919500000000</v>
      </c>
      <c r="AK7" s="546">
        <v>12392200000000</v>
      </c>
      <c r="AL7" s="546">
        <v>11798900000000</v>
      </c>
      <c r="AM7" s="546">
        <v>11271600000000</v>
      </c>
      <c r="AN7" s="546">
        <v>10744300000000</v>
      </c>
      <c r="AO7" s="546">
        <v>10216900000000</v>
      </c>
      <c r="AP7" s="546">
        <v>9755540000000</v>
      </c>
      <c r="AQ7" s="546">
        <v>9228210000000</v>
      </c>
    </row>
    <row r="8" spans="1:43">
      <c r="A8" t="s">
        <v>3653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row>
    <row r="9" spans="1:43">
      <c r="A9" t="s">
        <v>3654</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row>
    <row r="10" spans="1:43">
      <c r="A10" t="s">
        <v>3655</v>
      </c>
      <c r="B10" s="546">
        <v>614051000000000</v>
      </c>
      <c r="C10" s="546">
        <v>639659000000000</v>
      </c>
      <c r="D10" s="546">
        <v>659056000000000</v>
      </c>
      <c r="E10" s="546">
        <v>698153000000000</v>
      </c>
      <c r="F10" s="546">
        <v>716659000000000</v>
      </c>
      <c r="G10" s="546">
        <v>720758000000000</v>
      </c>
      <c r="H10" s="546">
        <v>737249000000000</v>
      </c>
      <c r="I10" s="546">
        <v>758590000000000</v>
      </c>
      <c r="J10" s="546">
        <v>772171000000000</v>
      </c>
      <c r="K10" s="546">
        <v>791572000000000</v>
      </c>
      <c r="L10" s="546">
        <v>801273000000000</v>
      </c>
      <c r="M10" s="546">
        <v>818734000000000</v>
      </c>
      <c r="N10" s="546">
        <v>786722000000000</v>
      </c>
      <c r="O10" s="546">
        <v>778961000000000</v>
      </c>
      <c r="P10" s="546">
        <v>768291000000000</v>
      </c>
      <c r="Q10" s="546">
        <v>761500000000000</v>
      </c>
      <c r="R10" s="546">
        <v>751800000000000</v>
      </c>
      <c r="S10" s="546">
        <v>741129000000000</v>
      </c>
      <c r="T10" s="546">
        <v>713967000000000</v>
      </c>
      <c r="U10" s="546">
        <v>706207000000000</v>
      </c>
      <c r="V10" s="546">
        <v>698446000000000</v>
      </c>
      <c r="W10" s="546">
        <v>688745000000000</v>
      </c>
      <c r="X10" s="546">
        <v>677105000000000</v>
      </c>
      <c r="Y10" s="546">
        <v>661584000000000</v>
      </c>
      <c r="Z10" s="546">
        <v>648973000000000</v>
      </c>
      <c r="AA10" s="546">
        <v>636362000000000</v>
      </c>
      <c r="AB10" s="546">
        <v>622781000000000</v>
      </c>
      <c r="AC10" s="546">
        <v>610170000000000</v>
      </c>
      <c r="AD10" s="546">
        <v>592709000000000</v>
      </c>
      <c r="AE10" s="546">
        <v>563607000000000</v>
      </c>
      <c r="AF10" s="546">
        <v>549056000000000</v>
      </c>
      <c r="AG10" s="546">
        <v>535475000000000</v>
      </c>
      <c r="AH10" s="546">
        <v>515104000000000</v>
      </c>
      <c r="AI10" s="546">
        <v>496673000000000</v>
      </c>
      <c r="AJ10" s="546">
        <v>477271000000000</v>
      </c>
      <c r="AK10" s="546">
        <v>457870000000000</v>
      </c>
      <c r="AL10" s="546">
        <v>438469000000000</v>
      </c>
      <c r="AM10" s="546">
        <v>418098000000000</v>
      </c>
      <c r="AN10" s="546">
        <v>398696000000000</v>
      </c>
      <c r="AO10" s="546">
        <v>379295000000000</v>
      </c>
      <c r="AP10" s="546">
        <v>359894000000000</v>
      </c>
      <c r="AQ10" s="546">
        <v>341463000000000</v>
      </c>
    </row>
    <row r="11" spans="1:43">
      <c r="A11" t="s">
        <v>3656</v>
      </c>
      <c r="B11" s="546">
        <v>2025820000000000</v>
      </c>
      <c r="C11" s="546">
        <v>2183190000000000</v>
      </c>
      <c r="D11" s="546">
        <v>2304170000000000</v>
      </c>
      <c r="E11" s="546">
        <v>2497160000000000</v>
      </c>
      <c r="F11" s="546">
        <v>2619050000000000</v>
      </c>
      <c r="G11" s="546">
        <v>2725320000000000</v>
      </c>
      <c r="H11" s="546">
        <v>2834330000000000</v>
      </c>
      <c r="I11" s="546">
        <v>2961510000000000</v>
      </c>
      <c r="J11" s="546">
        <v>3052350000000000</v>
      </c>
      <c r="K11" s="546">
        <v>3152280000000000</v>
      </c>
      <c r="L11" s="546">
        <v>3215870000000000</v>
      </c>
      <c r="M11" s="546">
        <v>3297630000000000</v>
      </c>
      <c r="N11" s="546">
        <v>3252210000000000</v>
      </c>
      <c r="O11" s="546">
        <v>3297630000000000</v>
      </c>
      <c r="P11" s="546">
        <v>3324890000000000</v>
      </c>
      <c r="Q11" s="546">
        <v>3379390000000000</v>
      </c>
      <c r="R11" s="546">
        <v>3415730000000000</v>
      </c>
      <c r="S11" s="546">
        <v>3442980000000000</v>
      </c>
      <c r="T11" s="546">
        <v>3452070000000000</v>
      </c>
      <c r="U11" s="546">
        <v>3506570000000000</v>
      </c>
      <c r="V11" s="546">
        <v>3570160000000000</v>
      </c>
      <c r="W11" s="546">
        <v>3624670000000000</v>
      </c>
      <c r="X11" s="546">
        <v>3642840000000000</v>
      </c>
      <c r="Y11" s="546">
        <v>3633750000000000</v>
      </c>
      <c r="Z11" s="546">
        <v>3633750000000000</v>
      </c>
      <c r="AA11" s="546">
        <v>3633750000000000</v>
      </c>
      <c r="AB11" s="546">
        <v>3615590000000000</v>
      </c>
      <c r="AC11" s="546">
        <v>3579250000000000</v>
      </c>
      <c r="AD11" s="546">
        <v>3524740000000000</v>
      </c>
      <c r="AE11" s="546">
        <v>3415730000000000</v>
      </c>
      <c r="AF11" s="546">
        <v>3343050000000000</v>
      </c>
      <c r="AG11" s="546">
        <v>3252210000000000</v>
      </c>
      <c r="AH11" s="546">
        <v>3143200000000000</v>
      </c>
      <c r="AI11" s="546">
        <v>3034190000000000</v>
      </c>
      <c r="AJ11" s="546">
        <v>2907000000000000</v>
      </c>
      <c r="AK11" s="546">
        <v>2779820000000000</v>
      </c>
      <c r="AL11" s="546">
        <v>2643560000000000</v>
      </c>
      <c r="AM11" s="546">
        <v>2507290000000000</v>
      </c>
      <c r="AN11" s="546">
        <v>2361940000000000</v>
      </c>
      <c r="AO11" s="546">
        <v>2216590000000000</v>
      </c>
      <c r="AP11" s="546">
        <v>2071240000000000</v>
      </c>
      <c r="AQ11" s="546">
        <v>1925890000000000</v>
      </c>
    </row>
    <row r="12" spans="1:43">
      <c r="A12" t="s">
        <v>3657</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row>
  </sheetData>
  <pageMargins left="0.7" right="0.7" top="0.75" bottom="0.75" header="0.3" footer="0.3"/>
  <headerFooter>
    <oddFooter>&amp;R_x000D_&amp;1#&amp;"Aptos"&amp;10&amp;K000000 Official Use Only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E94E8-BE57-4F09-A871-E56456811A8D}">
  <dimension ref="A1:F63"/>
  <sheetViews>
    <sheetView zoomScale="160" zoomScaleNormal="160" workbookViewId="0"/>
  </sheetViews>
  <sheetFormatPr defaultRowHeight="15"/>
  <cols>
    <col min="1" max="1" width="37" customWidth="1"/>
    <col min="2" max="3" width="14.28515625" customWidth="1"/>
    <col min="4" max="4" width="40.85546875" customWidth="1"/>
    <col min="5" max="5" width="7.42578125" customWidth="1"/>
  </cols>
  <sheetData>
    <row r="1" spans="1:6">
      <c r="A1" s="106" t="s">
        <v>3658</v>
      </c>
      <c r="B1" s="107"/>
      <c r="C1" s="107"/>
      <c r="D1" s="107"/>
    </row>
    <row r="2" spans="1:6">
      <c r="A2" s="502" t="s">
        <v>3659</v>
      </c>
    </row>
    <row r="4" spans="1:6">
      <c r="B4" s="30" t="s">
        <v>595</v>
      </c>
      <c r="C4" s="98" t="s">
        <v>116</v>
      </c>
      <c r="D4" s="103"/>
    </row>
    <row r="5" spans="1:6">
      <c r="A5" t="s">
        <v>3660</v>
      </c>
      <c r="B5" s="27">
        <f>_xlfn.NUMBERVALUE('CESY 4-13'!N18)</f>
        <v>44220.09</v>
      </c>
      <c r="C5" s="49" t="s">
        <v>3661</v>
      </c>
      <c r="D5" s="1081"/>
    </row>
    <row r="6" spans="1:6">
      <c r="A6" t="s">
        <v>3662</v>
      </c>
      <c r="B6" s="27">
        <f>_xlfn.NUMBERVALUE('CESY 4-13'!N9)-_xlfn.NUMBERVALUE('CESY 4-13'!N18)</f>
        <v>13192.390000000007</v>
      </c>
      <c r="C6" s="49" t="s">
        <v>3661</v>
      </c>
      <c r="D6" t="s">
        <v>3663</v>
      </c>
    </row>
    <row r="7" spans="1:6">
      <c r="A7" t="s">
        <v>3664</v>
      </c>
      <c r="B7" s="27">
        <f>_xlfn.NUMBERVALUE('CESY 4-13'!N7)-_xlfn.NUMBERVALUE('CESY 4-13'!N9)</f>
        <v>30945.139999999992</v>
      </c>
      <c r="C7" s="49" t="s">
        <v>3661</v>
      </c>
      <c r="D7" s="1081"/>
    </row>
    <row r="8" spans="1:6">
      <c r="A8" s="52" t="s">
        <v>3665</v>
      </c>
      <c r="B8" s="53">
        <f>SUM(B5:B7)</f>
        <v>88357.62</v>
      </c>
      <c r="C8" s="1080" t="s">
        <v>3661</v>
      </c>
      <c r="D8" s="1081"/>
    </row>
    <row r="10" spans="1:6">
      <c r="A10" s="23" t="s">
        <v>3666</v>
      </c>
    </row>
    <row r="11" spans="1:6" ht="15.75" thickBot="1"/>
    <row r="12" spans="1:6" ht="30" customHeight="1" thickBot="1">
      <c r="A12" t="s">
        <v>3660</v>
      </c>
      <c r="B12" s="27">
        <f>B5/10</f>
        <v>4422.009</v>
      </c>
      <c r="C12" s="49" t="s">
        <v>373</v>
      </c>
      <c r="D12" s="1082" t="s">
        <v>3667</v>
      </c>
      <c r="E12" s="1083">
        <f>Graphs!$J$16*'Unit Conversions'!$E$15</f>
        <v>4413.7206405216893</v>
      </c>
      <c r="F12" s="1050" t="s">
        <v>373</v>
      </c>
    </row>
    <row r="13" spans="1:6">
      <c r="A13" t="s">
        <v>3662</v>
      </c>
      <c r="B13" s="27">
        <f t="shared" ref="B13:B15" si="0">B6/10</f>
        <v>1319.2390000000007</v>
      </c>
      <c r="C13" s="49" t="s">
        <v>373</v>
      </c>
    </row>
    <row r="14" spans="1:6">
      <c r="A14" t="s">
        <v>3664</v>
      </c>
      <c r="B14" s="27">
        <f t="shared" si="0"/>
        <v>3094.5139999999992</v>
      </c>
      <c r="C14" s="49" t="s">
        <v>373</v>
      </c>
    </row>
    <row r="15" spans="1:6">
      <c r="A15" s="52" t="s">
        <v>3665</v>
      </c>
      <c r="B15" s="53">
        <f t="shared" si="0"/>
        <v>8835.7619999999988</v>
      </c>
      <c r="C15" s="1080" t="s">
        <v>373</v>
      </c>
    </row>
    <row r="17" spans="1:4">
      <c r="A17" s="106" t="s">
        <v>3668</v>
      </c>
      <c r="B17" s="107"/>
      <c r="C17" s="107"/>
      <c r="D17" s="107"/>
    </row>
    <row r="18" spans="1:4">
      <c r="A18" s="502" t="s">
        <v>3669</v>
      </c>
    </row>
    <row r="20" spans="1:4">
      <c r="B20" s="30" t="s">
        <v>595</v>
      </c>
      <c r="C20" s="98" t="s">
        <v>116</v>
      </c>
    </row>
    <row r="21" spans="1:4">
      <c r="A21" t="s">
        <v>3670</v>
      </c>
      <c r="B21">
        <v>135.69999999999999</v>
      </c>
      <c r="C21" s="49" t="s">
        <v>373</v>
      </c>
    </row>
    <row r="22" spans="1:4">
      <c r="A22" t="s">
        <v>3671</v>
      </c>
      <c r="B22">
        <v>6387.4</v>
      </c>
      <c r="C22" s="49" t="s">
        <v>373</v>
      </c>
      <c r="D22" t="s">
        <v>3672</v>
      </c>
    </row>
    <row r="23" spans="1:4">
      <c r="A23" t="s">
        <v>3673</v>
      </c>
      <c r="B23">
        <v>1834.8</v>
      </c>
      <c r="C23" s="49" t="s">
        <v>373</v>
      </c>
    </row>
    <row r="24" spans="1:4">
      <c r="A24" t="s">
        <v>3674</v>
      </c>
      <c r="B24">
        <v>1494.2</v>
      </c>
      <c r="C24" s="49" t="s">
        <v>373</v>
      </c>
    </row>
    <row r="25" spans="1:4">
      <c r="A25" s="52" t="s">
        <v>3675</v>
      </c>
      <c r="B25" s="52">
        <v>9852.1</v>
      </c>
      <c r="C25" s="1080" t="s">
        <v>373</v>
      </c>
    </row>
    <row r="27" spans="1:4">
      <c r="A27" s="106" t="s">
        <v>3676</v>
      </c>
      <c r="B27" s="107"/>
      <c r="C27" s="107"/>
      <c r="D27" s="107"/>
    </row>
    <row r="28" spans="1:4">
      <c r="A28" s="502" t="s">
        <v>3677</v>
      </c>
    </row>
    <row r="29" spans="1:4">
      <c r="A29" s="58" t="s">
        <v>3678</v>
      </c>
    </row>
    <row r="31" spans="1:4">
      <c r="B31" s="30" t="s">
        <v>595</v>
      </c>
      <c r="C31" s="98" t="s">
        <v>116</v>
      </c>
    </row>
    <row r="32" spans="1:4">
      <c r="A32" t="s">
        <v>3679</v>
      </c>
      <c r="B32">
        <v>19000</v>
      </c>
      <c r="C32" s="49" t="s">
        <v>373</v>
      </c>
    </row>
    <row r="33" spans="1:3">
      <c r="A33" t="s">
        <v>3680</v>
      </c>
      <c r="B33" s="27">
        <f>B25+(B32-B25)*(2050-2024)/(2060-2024)</f>
        <v>16458.916666666668</v>
      </c>
      <c r="C33" s="49" t="s">
        <v>373</v>
      </c>
    </row>
    <row r="34" spans="1:3">
      <c r="A34" t="s">
        <v>3681</v>
      </c>
      <c r="B34" s="50">
        <f>(B33-B25)/B25</f>
        <v>0.67059983827475034</v>
      </c>
      <c r="C34" s="49" t="s">
        <v>373</v>
      </c>
    </row>
    <row r="36" spans="1:3">
      <c r="A36" t="s">
        <v>3682</v>
      </c>
    </row>
    <row r="37" spans="1:3">
      <c r="A37" s="558">
        <v>2024</v>
      </c>
      <c r="B37" s="103" t="s">
        <v>3683</v>
      </c>
    </row>
    <row r="38" spans="1:3">
      <c r="A38" s="558">
        <v>2025</v>
      </c>
      <c r="B38" s="105">
        <f>(A38-$A$37)/($A$45-$A$37)*($B$32-$B$25)/$B$25</f>
        <v>2.5792301472105775E-2</v>
      </c>
    </row>
    <row r="39" spans="1:3">
      <c r="A39" s="558">
        <v>2030</v>
      </c>
      <c r="B39" s="105">
        <f t="shared" ref="B39:B45" si="1">(A39-$A$37)/($A$45-$A$37)*($B$32-$B$25)/$B$25</f>
        <v>0.15475380883263465</v>
      </c>
    </row>
    <row r="40" spans="1:3">
      <c r="A40" s="558">
        <v>2035</v>
      </c>
      <c r="B40" s="105">
        <f t="shared" si="1"/>
        <v>0.28371531619316354</v>
      </c>
    </row>
    <row r="41" spans="1:3">
      <c r="A41" s="558">
        <v>2040</v>
      </c>
      <c r="B41" s="105">
        <f t="shared" si="1"/>
        <v>0.4126768235536924</v>
      </c>
    </row>
    <row r="42" spans="1:3">
      <c r="A42" s="558">
        <v>2045</v>
      </c>
      <c r="B42" s="105">
        <f t="shared" si="1"/>
        <v>0.54163833091422142</v>
      </c>
    </row>
    <row r="43" spans="1:3">
      <c r="A43" s="558">
        <v>2050</v>
      </c>
      <c r="B43" s="105">
        <f t="shared" si="1"/>
        <v>0.67059983827475023</v>
      </c>
    </row>
    <row r="44" spans="1:3">
      <c r="A44" s="558">
        <v>2055</v>
      </c>
      <c r="B44" s="105">
        <f t="shared" si="1"/>
        <v>0.79956134563527914</v>
      </c>
    </row>
    <row r="45" spans="1:3">
      <c r="A45" s="558">
        <v>2060</v>
      </c>
      <c r="B45" s="105">
        <f t="shared" si="1"/>
        <v>0.92852285299580795</v>
      </c>
    </row>
    <row r="47" spans="1:3">
      <c r="A47" t="s">
        <v>3684</v>
      </c>
    </row>
    <row r="48" spans="1:3">
      <c r="A48" t="s">
        <v>3685</v>
      </c>
    </row>
    <row r="50" spans="1:2">
      <c r="A50" s="558" t="s">
        <v>372</v>
      </c>
      <c r="B50" s="793">
        <f>B15</f>
        <v>8835.7619999999988</v>
      </c>
    </row>
    <row r="51" spans="1:2">
      <c r="A51" s="558" t="s">
        <v>375</v>
      </c>
      <c r="B51" s="793">
        <f>$B$25*(1+B38)</f>
        <v>10106.208333333334</v>
      </c>
    </row>
    <row r="52" spans="1:2">
      <c r="A52" s="558" t="s">
        <v>376</v>
      </c>
      <c r="B52" s="793">
        <f t="shared" ref="B52:B56" si="2">$B$25*(1+B39)</f>
        <v>11376.75</v>
      </c>
    </row>
    <row r="53" spans="1:2">
      <c r="A53" s="558" t="s">
        <v>377</v>
      </c>
      <c r="B53" s="793">
        <f t="shared" si="2"/>
        <v>12647.291666666668</v>
      </c>
    </row>
    <row r="54" spans="1:2">
      <c r="A54" s="558" t="s">
        <v>378</v>
      </c>
      <c r="B54" s="793">
        <f t="shared" si="2"/>
        <v>13917.833333333334</v>
      </c>
    </row>
    <row r="55" spans="1:2">
      <c r="A55" s="558" t="s">
        <v>379</v>
      </c>
      <c r="B55" s="793">
        <f t="shared" si="2"/>
        <v>15188.375000000002</v>
      </c>
    </row>
    <row r="56" spans="1:2">
      <c r="A56" s="558" t="s">
        <v>380</v>
      </c>
      <c r="B56" s="793">
        <f t="shared" si="2"/>
        <v>16458.916666666668</v>
      </c>
    </row>
    <row r="57" spans="1:2">
      <c r="A57" s="558" t="s">
        <v>3686</v>
      </c>
      <c r="B57" s="793">
        <f>B12</f>
        <v>4422.009</v>
      </c>
    </row>
    <row r="58" spans="1:2">
      <c r="A58" s="558" t="s">
        <v>3687</v>
      </c>
      <c r="B58" s="793">
        <f>B51*($B$12/$B$15)</f>
        <v>5057.8257094153296</v>
      </c>
    </row>
    <row r="59" spans="1:2">
      <c r="A59" s="558" t="s">
        <v>3688</v>
      </c>
      <c r="B59" s="793">
        <f t="shared" ref="B59:B63" si="3">B52*($B$12/$B$15)</f>
        <v>5693.6901300363243</v>
      </c>
    </row>
    <row r="60" spans="1:2">
      <c r="A60" s="558" t="s">
        <v>3689</v>
      </c>
      <c r="B60" s="793">
        <f t="shared" si="3"/>
        <v>6329.5545506573189</v>
      </c>
    </row>
    <row r="61" spans="1:2">
      <c r="A61" s="558" t="s">
        <v>3690</v>
      </c>
      <c r="B61" s="793">
        <f t="shared" si="3"/>
        <v>6965.4189712783136</v>
      </c>
    </row>
    <row r="62" spans="1:2">
      <c r="A62" s="558" t="s">
        <v>3691</v>
      </c>
      <c r="B62" s="793">
        <f t="shared" si="3"/>
        <v>7601.2833918993092</v>
      </c>
    </row>
    <row r="63" spans="1:2">
      <c r="A63" s="558" t="s">
        <v>3692</v>
      </c>
      <c r="B63" s="793">
        <f t="shared" si="3"/>
        <v>8237.147812520303</v>
      </c>
    </row>
  </sheetData>
  <pageMargins left="0.7" right="0.7" top="0.75" bottom="0.75" header="0.3" footer="0.3"/>
  <headerFooter>
    <oddFooter>&amp;R_x000D_&amp;1#&amp;"Aptos"&amp;10&amp;K000000 Official Use Only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C2354-F993-437F-A33E-ACBBCC186445}">
  <dimension ref="A1:AA124"/>
  <sheetViews>
    <sheetView workbookViewId="0">
      <selection activeCell="B5" sqref="B5"/>
    </sheetView>
  </sheetViews>
  <sheetFormatPr defaultRowHeight="15"/>
  <cols>
    <col min="1" max="1" width="42.42578125" customWidth="1"/>
    <col min="2" max="2" width="13.28515625" customWidth="1"/>
    <col min="3" max="3" width="15.85546875" customWidth="1"/>
    <col min="4" max="4" width="18.42578125" customWidth="1"/>
    <col min="26" max="26" width="9.140625" style="49"/>
  </cols>
  <sheetData>
    <row r="1" spans="1:6">
      <c r="A1" s="538" t="s">
        <v>3693</v>
      </c>
    </row>
    <row r="2" spans="1:6">
      <c r="E2" s="1085" t="s">
        <v>3694</v>
      </c>
    </row>
    <row r="3" spans="1:6">
      <c r="B3" s="23">
        <v>2025</v>
      </c>
      <c r="C3" s="23">
        <v>2060</v>
      </c>
      <c r="D3" s="98" t="s">
        <v>116</v>
      </c>
      <c r="E3" s="23">
        <v>2022</v>
      </c>
      <c r="F3" s="23">
        <v>2050</v>
      </c>
    </row>
    <row r="4" spans="1:6">
      <c r="A4" t="s">
        <v>3695</v>
      </c>
      <c r="B4">
        <v>158</v>
      </c>
      <c r="C4">
        <v>502</v>
      </c>
      <c r="D4" s="49" t="s">
        <v>373</v>
      </c>
      <c r="E4" s="27" cm="1">
        <f t="array" ref="E4">TREND($B4:$C4,$B$3:$C$3,E$3)</f>
        <v>128.51428571428551</v>
      </c>
      <c r="F4" s="27" cm="1">
        <f t="array" ref="F4">TREND($B4:$C4,$B$3:$C$3,F$3)</f>
        <v>403.71428571428623</v>
      </c>
    </row>
    <row r="5" spans="1:6">
      <c r="A5" t="s">
        <v>3696</v>
      </c>
      <c r="B5">
        <v>70</v>
      </c>
      <c r="C5">
        <v>245</v>
      </c>
      <c r="D5" s="49" t="s">
        <v>373</v>
      </c>
      <c r="E5" s="27" cm="1">
        <f t="array" ref="E5">TREND($B5:$C5,$B$3:$C$3,E$3)</f>
        <v>55</v>
      </c>
      <c r="F5" s="27" cm="1">
        <f t="array" ref="F5">TREND($B5:$C5,$B$3:$C$3,F$3)</f>
        <v>195</v>
      </c>
    </row>
    <row r="6" spans="1:6">
      <c r="A6" t="s">
        <v>3697</v>
      </c>
      <c r="B6">
        <v>26</v>
      </c>
      <c r="C6">
        <v>94</v>
      </c>
      <c r="D6" s="49" t="s">
        <v>373</v>
      </c>
      <c r="E6" s="27" cm="1">
        <f t="array" ref="E6">TREND($B6:$C6,$B$3:$C$3,E$3)</f>
        <v>20.171428571428805</v>
      </c>
      <c r="F6" s="27" cm="1">
        <f t="array" ref="F6">TREND($B6:$C6,$B$3:$C$3,F$3)</f>
        <v>74.571428571428442</v>
      </c>
    </row>
    <row r="7" spans="1:6">
      <c r="A7" t="s">
        <v>3698</v>
      </c>
      <c r="B7">
        <v>284</v>
      </c>
      <c r="C7">
        <v>774</v>
      </c>
      <c r="D7" s="49" t="s">
        <v>373</v>
      </c>
      <c r="E7" s="27" cm="1">
        <f t="array" ref="E7">TREND($B7:$C7,$B$3:$C$3,E$3)</f>
        <v>242</v>
      </c>
      <c r="F7" s="27" cm="1">
        <f t="array" ref="F7">TREND($B7:$C7,$B$3:$C$3,F$3)</f>
        <v>634</v>
      </c>
    </row>
    <row r="8" spans="1:6">
      <c r="A8" t="s">
        <v>3699</v>
      </c>
      <c r="B8">
        <v>0.5</v>
      </c>
      <c r="C8">
        <v>198</v>
      </c>
      <c r="D8" s="49" t="s">
        <v>373</v>
      </c>
      <c r="E8" s="540">
        <v>0</v>
      </c>
      <c r="F8" s="27" cm="1">
        <f t="array" ref="F8">TREND($B8:$C8,$B$3:$C$3,F$3)</f>
        <v>141.57142857142753</v>
      </c>
    </row>
    <row r="9" spans="1:6">
      <c r="A9" s="23" t="s">
        <v>125</v>
      </c>
      <c r="B9" s="53">
        <f>SUM(B4:B8)</f>
        <v>538.5</v>
      </c>
      <c r="C9" s="52">
        <f t="shared" ref="C9:F9" si="0">SUM(C4:C8)</f>
        <v>1813</v>
      </c>
      <c r="D9" s="52"/>
      <c r="E9" s="53">
        <f t="shared" si="0"/>
        <v>445.68571428571431</v>
      </c>
      <c r="F9" s="53">
        <f t="shared" si="0"/>
        <v>1448.8571428571422</v>
      </c>
    </row>
    <row r="11" spans="1:6">
      <c r="A11" t="s">
        <v>3700</v>
      </c>
      <c r="B11">
        <v>2022</v>
      </c>
      <c r="C11" s="27" cm="1">
        <f t="array" ref="C11">TREND($E$9:$F$9,$E$3:$F$3,B11)</f>
        <v>445.68571428570431</v>
      </c>
      <c r="D11" s="49" t="s">
        <v>373</v>
      </c>
    </row>
    <row r="12" spans="1:6">
      <c r="A12" t="s">
        <v>3700</v>
      </c>
      <c r="B12">
        <v>2025</v>
      </c>
      <c r="C12" s="27" cm="1">
        <f t="array" ref="C12">TREND($E$9:$F$9,$E$3:$F$3,B12)</f>
        <v>553.16836734693788</v>
      </c>
      <c r="D12" s="49" t="s">
        <v>373</v>
      </c>
    </row>
    <row r="13" spans="1:6">
      <c r="A13" t="s">
        <v>3700</v>
      </c>
      <c r="B13">
        <v>2030</v>
      </c>
      <c r="C13" s="27" cm="1">
        <f t="array" ref="C13">TREND($E$9:$F$9,$E$3:$F$3,B13)</f>
        <v>732.30612244897929</v>
      </c>
      <c r="D13" s="49" t="s">
        <v>373</v>
      </c>
    </row>
    <row r="14" spans="1:6">
      <c r="A14" t="s">
        <v>3700</v>
      </c>
      <c r="B14">
        <v>2035</v>
      </c>
      <c r="C14" s="27" cm="1">
        <f t="array" ref="C14">TREND($E$9:$F$9,$E$3:$F$3,B14)</f>
        <v>911.44387755102071</v>
      </c>
      <c r="D14" s="49" t="s">
        <v>373</v>
      </c>
    </row>
    <row r="15" spans="1:6">
      <c r="A15" t="s">
        <v>3700</v>
      </c>
      <c r="B15">
        <v>2040</v>
      </c>
      <c r="C15" s="27" cm="1">
        <f t="array" ref="C15">TREND($E$9:$F$9,$E$3:$F$3,B15)</f>
        <v>1090.5816326530621</v>
      </c>
      <c r="D15" s="49" t="s">
        <v>373</v>
      </c>
    </row>
    <row r="16" spans="1:6">
      <c r="A16" t="s">
        <v>3700</v>
      </c>
      <c r="B16">
        <v>2045</v>
      </c>
      <c r="C16" s="27" cm="1">
        <f t="array" ref="C16">TREND($E$9:$F$9,$E$3:$F$3,B16)</f>
        <v>1269.7193877551035</v>
      </c>
      <c r="D16" s="49" t="s">
        <v>373</v>
      </c>
    </row>
    <row r="17" spans="1:4">
      <c r="A17" t="s">
        <v>3700</v>
      </c>
      <c r="B17">
        <v>2050</v>
      </c>
      <c r="C17" s="27" cm="1">
        <f t="array" ref="C17">TREND($E$9:$F$9,$E$3:$F$3,B17)</f>
        <v>1448.8571428571449</v>
      </c>
      <c r="D17" s="49" t="s">
        <v>373</v>
      </c>
    </row>
    <row r="18" spans="1:4">
      <c r="A18" t="s">
        <v>3701</v>
      </c>
      <c r="B18">
        <v>2022</v>
      </c>
      <c r="C18" s="27" cm="1">
        <f t="array" ref="C18">TREND($E$7:$F$7,$E$3:$F$3,B18)</f>
        <v>242</v>
      </c>
      <c r="D18" s="49" t="s">
        <v>373</v>
      </c>
    </row>
    <row r="19" spans="1:4">
      <c r="A19" t="s">
        <v>3701</v>
      </c>
      <c r="B19">
        <v>2025</v>
      </c>
      <c r="C19" s="27" cm="1">
        <f t="array" ref="C19">TREND($E$7:$F$7,$E$3:$F$3,B19)</f>
        <v>284</v>
      </c>
      <c r="D19" s="49" t="s">
        <v>373</v>
      </c>
    </row>
    <row r="20" spans="1:4">
      <c r="A20" t="s">
        <v>3701</v>
      </c>
      <c r="B20">
        <v>2030</v>
      </c>
      <c r="C20" s="27" cm="1">
        <f t="array" ref="C20">TREND($E$7:$F$7,$E$3:$F$3,B20)</f>
        <v>354</v>
      </c>
      <c r="D20" s="49" t="s">
        <v>373</v>
      </c>
    </row>
    <row r="21" spans="1:4">
      <c r="A21" t="s">
        <v>3701</v>
      </c>
      <c r="B21">
        <v>2035</v>
      </c>
      <c r="C21" s="27" cm="1">
        <f t="array" ref="C21">TREND($E$7:$F$7,$E$3:$F$3,B21)</f>
        <v>424</v>
      </c>
      <c r="D21" s="49" t="s">
        <v>373</v>
      </c>
    </row>
    <row r="22" spans="1:4">
      <c r="A22" t="s">
        <v>3701</v>
      </c>
      <c r="B22">
        <v>2040</v>
      </c>
      <c r="C22" s="27" cm="1">
        <f t="array" ref="C22">TREND($E$7:$F$7,$E$3:$F$3,B22)</f>
        <v>494</v>
      </c>
      <c r="D22" s="49" t="s">
        <v>373</v>
      </c>
    </row>
    <row r="23" spans="1:4">
      <c r="A23" t="s">
        <v>3701</v>
      </c>
      <c r="B23">
        <v>2045</v>
      </c>
      <c r="C23" s="27" cm="1">
        <f t="array" ref="C23">TREND($E$7:$F$7,$E$3:$F$3,B23)</f>
        <v>564</v>
      </c>
      <c r="D23" s="49" t="s">
        <v>373</v>
      </c>
    </row>
    <row r="24" spans="1:4">
      <c r="A24" t="s">
        <v>3701</v>
      </c>
      <c r="B24">
        <v>2050</v>
      </c>
      <c r="C24" s="27" cm="1">
        <f t="array" ref="C24">TREND($E$7:$F$7,$E$3:$F$3,B24)</f>
        <v>634</v>
      </c>
      <c r="D24" s="49" t="s">
        <v>373</v>
      </c>
    </row>
    <row r="26" spans="1:4">
      <c r="A26" t="s">
        <v>3702</v>
      </c>
    </row>
    <row r="27" spans="1:4">
      <c r="A27" t="s">
        <v>3703</v>
      </c>
    </row>
    <row r="28" spans="1:4">
      <c r="A28" t="s">
        <v>3704</v>
      </c>
      <c r="B28" s="46">
        <f>'Indonesia Energy Use'!B143</f>
        <v>0.94251159860256217</v>
      </c>
    </row>
    <row r="30" spans="1:4">
      <c r="A30" t="s">
        <v>3700</v>
      </c>
      <c r="B30">
        <v>2022</v>
      </c>
      <c r="C30" s="793">
        <f>C11</f>
        <v>445.68571428570431</v>
      </c>
      <c r="D30" s="49" t="s">
        <v>373</v>
      </c>
    </row>
    <row r="31" spans="1:4">
      <c r="A31" t="s">
        <v>3700</v>
      </c>
      <c r="B31">
        <v>2025</v>
      </c>
      <c r="C31" s="793">
        <f t="shared" ref="C31:C36" si="1">C12</f>
        <v>553.16836734693788</v>
      </c>
      <c r="D31" s="49" t="s">
        <v>373</v>
      </c>
    </row>
    <row r="32" spans="1:4">
      <c r="A32" t="s">
        <v>3700</v>
      </c>
      <c r="B32">
        <v>2030</v>
      </c>
      <c r="C32" s="793">
        <f t="shared" si="1"/>
        <v>732.30612244897929</v>
      </c>
      <c r="D32" s="49" t="s">
        <v>373</v>
      </c>
    </row>
    <row r="33" spans="1:4">
      <c r="A33" t="s">
        <v>3700</v>
      </c>
      <c r="B33">
        <v>2035</v>
      </c>
      <c r="C33" s="793">
        <f t="shared" si="1"/>
        <v>911.44387755102071</v>
      </c>
      <c r="D33" s="49" t="s">
        <v>373</v>
      </c>
    </row>
    <row r="34" spans="1:4">
      <c r="A34" t="s">
        <v>3700</v>
      </c>
      <c r="B34">
        <v>2040</v>
      </c>
      <c r="C34" s="793">
        <f t="shared" si="1"/>
        <v>1090.5816326530621</v>
      </c>
      <c r="D34" s="49" t="s">
        <v>373</v>
      </c>
    </row>
    <row r="35" spans="1:4">
      <c r="A35" t="s">
        <v>3700</v>
      </c>
      <c r="B35">
        <v>2045</v>
      </c>
      <c r="C35" s="793">
        <f t="shared" si="1"/>
        <v>1269.7193877551035</v>
      </c>
      <c r="D35" s="49" t="s">
        <v>373</v>
      </c>
    </row>
    <row r="36" spans="1:4">
      <c r="A36" t="s">
        <v>3700</v>
      </c>
      <c r="B36">
        <v>2050</v>
      </c>
      <c r="C36" s="793">
        <f t="shared" si="1"/>
        <v>1448.8571428571449</v>
      </c>
      <c r="D36" s="49" t="s">
        <v>373</v>
      </c>
    </row>
    <row r="37" spans="1:4">
      <c r="A37" t="s">
        <v>2054</v>
      </c>
      <c r="B37">
        <v>2022</v>
      </c>
      <c r="C37" s="793">
        <f>C18*$B$28</f>
        <v>228.08780686182004</v>
      </c>
      <c r="D37" s="49" t="s">
        <v>373</v>
      </c>
    </row>
    <row r="38" spans="1:4">
      <c r="A38" t="s">
        <v>2054</v>
      </c>
      <c r="B38">
        <v>2025</v>
      </c>
      <c r="C38" s="793">
        <f t="shared" ref="C38:C43" si="2">C19*$B$28</f>
        <v>267.67329400312764</v>
      </c>
      <c r="D38" s="49" t="s">
        <v>373</v>
      </c>
    </row>
    <row r="39" spans="1:4">
      <c r="A39" t="s">
        <v>2054</v>
      </c>
      <c r="B39">
        <v>2030</v>
      </c>
      <c r="C39" s="793">
        <f t="shared" si="2"/>
        <v>333.64910590530701</v>
      </c>
      <c r="D39" s="49" t="s">
        <v>373</v>
      </c>
    </row>
    <row r="40" spans="1:4">
      <c r="A40" t="s">
        <v>2054</v>
      </c>
      <c r="B40">
        <v>2035</v>
      </c>
      <c r="C40" s="793">
        <f t="shared" si="2"/>
        <v>399.62491780748638</v>
      </c>
      <c r="D40" s="49" t="s">
        <v>373</v>
      </c>
    </row>
    <row r="41" spans="1:4">
      <c r="A41" t="s">
        <v>2054</v>
      </c>
      <c r="B41">
        <v>2040</v>
      </c>
      <c r="C41" s="793">
        <f t="shared" si="2"/>
        <v>465.6007297096657</v>
      </c>
      <c r="D41" s="49" t="s">
        <v>373</v>
      </c>
    </row>
    <row r="42" spans="1:4">
      <c r="A42" t="s">
        <v>2054</v>
      </c>
      <c r="B42">
        <v>2045</v>
      </c>
      <c r="C42" s="793">
        <f t="shared" si="2"/>
        <v>531.57654161184507</v>
      </c>
      <c r="D42" s="49" t="s">
        <v>373</v>
      </c>
    </row>
    <row r="43" spans="1:4">
      <c r="A43" t="s">
        <v>2054</v>
      </c>
      <c r="B43">
        <v>2050</v>
      </c>
      <c r="C43" s="793">
        <f t="shared" si="2"/>
        <v>597.55235351402439</v>
      </c>
      <c r="D43" s="49" t="s">
        <v>373</v>
      </c>
    </row>
    <row r="46" spans="1:4">
      <c r="A46" s="538" t="s">
        <v>3705</v>
      </c>
    </row>
    <row r="47" spans="1:4">
      <c r="A47" t="s">
        <v>3706</v>
      </c>
    </row>
    <row r="48" spans="1:4">
      <c r="A48" s="558">
        <v>2024</v>
      </c>
    </row>
    <row r="49" spans="1:27">
      <c r="A49" t="s">
        <v>3707</v>
      </c>
    </row>
    <row r="50" spans="1:27">
      <c r="A50" s="28" t="s">
        <v>3708</v>
      </c>
    </row>
    <row r="51" spans="1:27">
      <c r="A51" t="s">
        <v>3709</v>
      </c>
    </row>
    <row r="53" spans="1:27">
      <c r="A53" s="23" t="s">
        <v>1289</v>
      </c>
      <c r="B53" s="23" t="s">
        <v>3560</v>
      </c>
      <c r="C53" s="23" t="s">
        <v>3710</v>
      </c>
      <c r="D53" s="23" t="s">
        <v>1207</v>
      </c>
      <c r="E53" s="23">
        <v>1990</v>
      </c>
      <c r="F53" s="23">
        <v>2005</v>
      </c>
      <c r="G53" s="23">
        <v>2010</v>
      </c>
      <c r="H53" s="23">
        <v>2015</v>
      </c>
      <c r="I53" s="23">
        <v>2020</v>
      </c>
      <c r="J53" s="23">
        <v>2025</v>
      </c>
      <c r="K53" s="23">
        <v>2030</v>
      </c>
      <c r="L53" s="23">
        <v>2035</v>
      </c>
      <c r="M53" s="23">
        <v>2040</v>
      </c>
      <c r="N53" s="23">
        <v>2045</v>
      </c>
      <c r="O53" s="23">
        <v>2050</v>
      </c>
      <c r="P53" s="23">
        <v>2055</v>
      </c>
      <c r="Q53" s="23">
        <v>2060</v>
      </c>
      <c r="R53" s="23">
        <v>2065</v>
      </c>
      <c r="S53" s="23">
        <v>2070</v>
      </c>
      <c r="T53" s="23">
        <v>2075</v>
      </c>
      <c r="U53" s="23">
        <v>2080</v>
      </c>
      <c r="V53" s="23">
        <v>2085</v>
      </c>
      <c r="W53" s="23">
        <v>2090</v>
      </c>
      <c r="X53" s="23">
        <v>2095</v>
      </c>
      <c r="Y53" s="23">
        <v>2100</v>
      </c>
      <c r="Z53" s="98" t="s">
        <v>116</v>
      </c>
      <c r="AA53" s="502" t="s">
        <v>3711</v>
      </c>
    </row>
    <row r="54" spans="1:27">
      <c r="A54" t="s">
        <v>3712</v>
      </c>
      <c r="B54" t="s">
        <v>142</v>
      </c>
      <c r="C54" t="s">
        <v>3713</v>
      </c>
      <c r="D54" t="s">
        <v>3714</v>
      </c>
      <c r="E54">
        <v>2.6295300000000001E-3</v>
      </c>
      <c r="F54">
        <v>1.88953E-2</v>
      </c>
      <c r="G54">
        <v>2.93666E-2</v>
      </c>
      <c r="H54">
        <v>4.01467E-2</v>
      </c>
      <c r="I54">
        <v>5.6939900000000002E-2</v>
      </c>
      <c r="J54">
        <v>8.3169199999999999E-2</v>
      </c>
      <c r="K54">
        <v>0.120536</v>
      </c>
      <c r="L54">
        <v>0.160437</v>
      </c>
      <c r="M54">
        <v>0.20342099999999999</v>
      </c>
      <c r="N54">
        <v>0.24742700000000001</v>
      </c>
      <c r="O54">
        <v>0.28823100000000001</v>
      </c>
      <c r="P54">
        <v>0.325708</v>
      </c>
      <c r="Q54">
        <v>0.35717700000000002</v>
      </c>
      <c r="R54">
        <v>0.38081500000000001</v>
      </c>
      <c r="S54">
        <v>0.39610800000000002</v>
      </c>
      <c r="T54">
        <v>0.403866</v>
      </c>
      <c r="U54">
        <v>0.40388299999999999</v>
      </c>
      <c r="V54">
        <v>0.39805499999999999</v>
      </c>
      <c r="W54">
        <v>0.38679000000000002</v>
      </c>
      <c r="X54">
        <v>0.37101000000000001</v>
      </c>
      <c r="Y54">
        <v>0.35337499999999999</v>
      </c>
      <c r="Z54" s="49" t="s">
        <v>684</v>
      </c>
    </row>
    <row r="55" spans="1:27">
      <c r="A55" t="s">
        <v>3712</v>
      </c>
      <c r="B55" t="s">
        <v>142</v>
      </c>
      <c r="C55" t="s">
        <v>3713</v>
      </c>
      <c r="D55" t="s">
        <v>3715</v>
      </c>
      <c r="E55">
        <v>5.6349E-3</v>
      </c>
      <c r="F55">
        <v>4.0491199999999998E-2</v>
      </c>
      <c r="G55">
        <v>6.2930299999999995E-2</v>
      </c>
      <c r="H55">
        <v>8.6031200000000002E-2</v>
      </c>
      <c r="I55">
        <v>0.13816500000000001</v>
      </c>
      <c r="J55">
        <v>0.22201699999999999</v>
      </c>
      <c r="K55">
        <v>0.35416300000000001</v>
      </c>
      <c r="L55">
        <v>0.50632900000000003</v>
      </c>
      <c r="M55">
        <v>0.68354499999999996</v>
      </c>
      <c r="N55">
        <v>0.88437200000000005</v>
      </c>
      <c r="O55">
        <v>1.0906100000000001</v>
      </c>
      <c r="P55">
        <v>1.30471</v>
      </c>
      <c r="Q55">
        <v>1.51332</v>
      </c>
      <c r="R55">
        <v>1.7055499999999999</v>
      </c>
      <c r="S55">
        <v>1.87212</v>
      </c>
      <c r="T55">
        <v>2.0151699999999999</v>
      </c>
      <c r="U55">
        <v>2.1255199999999999</v>
      </c>
      <c r="V55">
        <v>2.20967</v>
      </c>
      <c r="W55">
        <v>2.2666400000000002</v>
      </c>
      <c r="X55">
        <v>2.2974899999999998</v>
      </c>
      <c r="Y55">
        <v>2.3125300000000002</v>
      </c>
      <c r="Z55" s="49" t="s">
        <v>684</v>
      </c>
    </row>
    <row r="56" spans="1:27">
      <c r="A56" t="s">
        <v>3712</v>
      </c>
      <c r="B56" t="s">
        <v>142</v>
      </c>
      <c r="C56" t="s">
        <v>3713</v>
      </c>
      <c r="D56" t="s">
        <v>3716</v>
      </c>
      <c r="E56">
        <v>1.1028800000000001E-3</v>
      </c>
      <c r="F56">
        <v>3.5385E-3</v>
      </c>
      <c r="G56">
        <v>4.9302900000000004E-3</v>
      </c>
      <c r="H56">
        <v>6.3041399999999997E-3</v>
      </c>
      <c r="I56">
        <v>1.0000800000000001E-2</v>
      </c>
      <c r="J56">
        <v>1.4430200000000001E-2</v>
      </c>
      <c r="K56">
        <v>1.9150500000000001E-2</v>
      </c>
      <c r="L56">
        <v>2.3730999999999999E-2</v>
      </c>
      <c r="M56">
        <v>2.8229600000000001E-2</v>
      </c>
      <c r="N56">
        <v>3.2415300000000001E-2</v>
      </c>
      <c r="O56">
        <v>3.6112699999999998E-2</v>
      </c>
      <c r="P56">
        <v>3.9380600000000002E-2</v>
      </c>
      <c r="Q56">
        <v>4.2159700000000001E-2</v>
      </c>
      <c r="R56">
        <v>4.4407500000000003E-2</v>
      </c>
      <c r="S56">
        <v>4.6094299999999998E-2</v>
      </c>
      <c r="T56">
        <v>4.7341599999999998E-2</v>
      </c>
      <c r="U56">
        <v>4.8174700000000001E-2</v>
      </c>
      <c r="V56">
        <v>4.8664600000000002E-2</v>
      </c>
      <c r="W56">
        <v>4.88508E-2</v>
      </c>
      <c r="X56">
        <v>4.8767699999999997E-2</v>
      </c>
      <c r="Y56">
        <v>4.8443899999999998E-2</v>
      </c>
      <c r="Z56" s="49" t="s">
        <v>684</v>
      </c>
    </row>
    <row r="57" spans="1:27">
      <c r="A57" t="s">
        <v>3712</v>
      </c>
      <c r="B57" t="s">
        <v>142</v>
      </c>
      <c r="C57" t="s">
        <v>3713</v>
      </c>
      <c r="D57" t="s">
        <v>3717</v>
      </c>
      <c r="E57">
        <v>1.3380600000000001E-3</v>
      </c>
      <c r="F57">
        <v>3.9688700000000002E-3</v>
      </c>
      <c r="G57">
        <v>5.2817999999999997E-3</v>
      </c>
      <c r="H57">
        <v>6.7548E-3</v>
      </c>
      <c r="I57">
        <v>7.3844999999999996E-3</v>
      </c>
      <c r="J57">
        <v>8.0390500000000007E-3</v>
      </c>
      <c r="K57">
        <v>8.7231700000000006E-3</v>
      </c>
      <c r="L57">
        <v>9.2861000000000003E-3</v>
      </c>
      <c r="M57">
        <v>9.7623899999999993E-3</v>
      </c>
      <c r="N57">
        <v>1.0149099999999999E-2</v>
      </c>
      <c r="O57">
        <v>1.0422799999999999E-2</v>
      </c>
      <c r="P57">
        <v>1.06152E-2</v>
      </c>
      <c r="Q57">
        <v>1.0723E-2</v>
      </c>
      <c r="R57">
        <v>1.0749399999999999E-2</v>
      </c>
      <c r="S57">
        <v>1.06984E-2</v>
      </c>
      <c r="T57">
        <v>1.0593699999999999E-2</v>
      </c>
      <c r="U57">
        <v>1.0439E-2</v>
      </c>
      <c r="V57">
        <v>1.0249899999999999E-2</v>
      </c>
      <c r="W57">
        <v>1.00334E-2</v>
      </c>
      <c r="X57">
        <v>9.7946400000000003E-3</v>
      </c>
      <c r="Y57">
        <v>9.5374699999999993E-3</v>
      </c>
      <c r="Z57" s="49" t="s">
        <v>684</v>
      </c>
    </row>
    <row r="58" spans="1:27">
      <c r="A58" t="s">
        <v>3712</v>
      </c>
      <c r="B58" t="s">
        <v>142</v>
      </c>
      <c r="C58" t="s">
        <v>3713</v>
      </c>
      <c r="D58" t="s">
        <v>3718</v>
      </c>
      <c r="E58">
        <v>4.2040799999999998E-3</v>
      </c>
      <c r="F58">
        <v>1.24371E-2</v>
      </c>
      <c r="G58">
        <v>1.6547200000000001E-2</v>
      </c>
      <c r="H58">
        <v>2.1158199999999999E-2</v>
      </c>
      <c r="I58">
        <v>2.3131100000000002E-2</v>
      </c>
      <c r="J58">
        <v>2.5182199999999998E-2</v>
      </c>
      <c r="K58">
        <v>2.7325700000000001E-2</v>
      </c>
      <c r="L58">
        <v>2.90897E-2</v>
      </c>
      <c r="M58">
        <v>3.0582499999999999E-2</v>
      </c>
      <c r="N58">
        <v>3.17944E-2</v>
      </c>
      <c r="O58">
        <v>3.2652500000000001E-2</v>
      </c>
      <c r="P58">
        <v>3.3255699999999999E-2</v>
      </c>
      <c r="Q58">
        <v>3.3593900000000003E-2</v>
      </c>
      <c r="R58">
        <v>3.3676699999999997E-2</v>
      </c>
      <c r="S58">
        <v>3.3517199999999997E-2</v>
      </c>
      <c r="T58">
        <v>3.3189299999999998E-2</v>
      </c>
      <c r="U58">
        <v>3.2704900000000002E-2</v>
      </c>
      <c r="V58">
        <v>3.2112700000000001E-2</v>
      </c>
      <c r="W58">
        <v>3.1434799999999999E-2</v>
      </c>
      <c r="X58">
        <v>3.06869E-2</v>
      </c>
      <c r="Y58">
        <v>2.9881399999999999E-2</v>
      </c>
      <c r="Z58" s="49" t="s">
        <v>684</v>
      </c>
    </row>
    <row r="59" spans="1:27">
      <c r="A59" t="s">
        <v>3712</v>
      </c>
      <c r="B59" t="s">
        <v>142</v>
      </c>
      <c r="C59" t="s">
        <v>3713</v>
      </c>
      <c r="D59" t="s">
        <v>3719</v>
      </c>
      <c r="E59">
        <v>3.9859199999999996E-3</v>
      </c>
      <c r="F59">
        <v>1.18228E-2</v>
      </c>
      <c r="G59">
        <v>1.5733799999999999E-2</v>
      </c>
      <c r="H59">
        <v>2.0121699999999999E-2</v>
      </c>
      <c r="I59">
        <v>2.19975E-2</v>
      </c>
      <c r="J59">
        <v>2.3947300000000001E-2</v>
      </c>
      <c r="K59">
        <v>2.59852E-2</v>
      </c>
      <c r="L59">
        <v>2.7662099999999998E-2</v>
      </c>
      <c r="M59">
        <v>2.90809E-2</v>
      </c>
      <c r="N59">
        <v>3.0232800000000001E-2</v>
      </c>
      <c r="O59">
        <v>3.1048200000000001E-2</v>
      </c>
      <c r="P59">
        <v>3.1621299999999998E-2</v>
      </c>
      <c r="Q59">
        <v>3.1942600000000002E-2</v>
      </c>
      <c r="R59">
        <v>3.2021099999999997E-2</v>
      </c>
      <c r="S59">
        <v>3.18692E-2</v>
      </c>
      <c r="T59">
        <v>3.1557200000000001E-2</v>
      </c>
      <c r="U59">
        <v>3.1096499999999999E-2</v>
      </c>
      <c r="V59">
        <v>3.0533100000000001E-2</v>
      </c>
      <c r="W59">
        <v>2.98883E-2</v>
      </c>
      <c r="X59">
        <v>2.9177000000000002E-2</v>
      </c>
      <c r="Y59">
        <v>2.8410899999999999E-2</v>
      </c>
      <c r="Z59" s="49" t="s">
        <v>684</v>
      </c>
    </row>
    <row r="60" spans="1:27">
      <c r="A60" t="s">
        <v>3712</v>
      </c>
      <c r="B60" t="s">
        <v>142</v>
      </c>
      <c r="C60" t="s">
        <v>3713</v>
      </c>
      <c r="D60" t="s">
        <v>3720</v>
      </c>
      <c r="E60" s="546">
        <v>2.2298899999999999E-4</v>
      </c>
      <c r="F60">
        <v>1.0316399999999999E-3</v>
      </c>
      <c r="G60">
        <v>1.64824E-3</v>
      </c>
      <c r="H60">
        <v>2.5336600000000001E-3</v>
      </c>
      <c r="I60">
        <v>3.4538500000000001E-3</v>
      </c>
      <c r="J60">
        <v>4.6844399999999998E-3</v>
      </c>
      <c r="K60">
        <v>6.2295600000000003E-3</v>
      </c>
      <c r="L60">
        <v>7.8645199999999998E-3</v>
      </c>
      <c r="M60">
        <v>9.6026700000000006E-3</v>
      </c>
      <c r="N60">
        <v>1.17894E-2</v>
      </c>
      <c r="O60">
        <v>1.4228299999999999E-2</v>
      </c>
      <c r="P60">
        <v>1.6799600000000001E-2</v>
      </c>
      <c r="Q60">
        <v>1.9267900000000001E-2</v>
      </c>
      <c r="R60">
        <v>2.1730800000000002E-2</v>
      </c>
      <c r="S60">
        <v>2.39423E-2</v>
      </c>
      <c r="T60">
        <v>2.5874100000000001E-2</v>
      </c>
      <c r="U60">
        <v>2.7223899999999999E-2</v>
      </c>
      <c r="V60">
        <v>2.8038199999999999E-2</v>
      </c>
      <c r="W60">
        <v>2.83681E-2</v>
      </c>
      <c r="X60">
        <v>2.8354000000000001E-2</v>
      </c>
      <c r="Y60">
        <v>2.7965799999999999E-2</v>
      </c>
      <c r="Z60" s="49" t="s">
        <v>684</v>
      </c>
    </row>
    <row r="61" spans="1:27">
      <c r="A61" t="s">
        <v>3712</v>
      </c>
      <c r="B61" t="s">
        <v>142</v>
      </c>
      <c r="C61" t="s">
        <v>3713</v>
      </c>
      <c r="D61" t="s">
        <v>3721</v>
      </c>
      <c r="E61">
        <v>6.7922900000000003E-3</v>
      </c>
      <c r="F61">
        <v>2.90038E-2</v>
      </c>
      <c r="G61">
        <v>4.1500500000000003E-2</v>
      </c>
      <c r="H61">
        <v>6.4816299999999993E-2</v>
      </c>
      <c r="I61">
        <v>7.6699900000000001E-2</v>
      </c>
      <c r="J61">
        <v>9.0772000000000005E-2</v>
      </c>
      <c r="K61">
        <v>0.103878</v>
      </c>
      <c r="L61">
        <v>0.110709</v>
      </c>
      <c r="M61">
        <v>0.11423800000000001</v>
      </c>
      <c r="N61">
        <v>0.11408799999999999</v>
      </c>
      <c r="O61">
        <v>0.11075500000000001</v>
      </c>
      <c r="P61">
        <v>0.105725</v>
      </c>
      <c r="Q61">
        <v>9.9476800000000004E-2</v>
      </c>
      <c r="R61">
        <v>9.2313500000000007E-2</v>
      </c>
      <c r="S61">
        <v>8.5024299999999997E-2</v>
      </c>
      <c r="T61">
        <v>7.7664200000000003E-2</v>
      </c>
      <c r="U61">
        <v>7.0544999999999997E-2</v>
      </c>
      <c r="V61">
        <v>6.38735E-2</v>
      </c>
      <c r="W61">
        <v>5.7544699999999997E-2</v>
      </c>
      <c r="X61">
        <v>5.15662E-2</v>
      </c>
      <c r="Y61">
        <v>4.6317200000000003E-2</v>
      </c>
      <c r="Z61" s="49" t="s">
        <v>684</v>
      </c>
    </row>
    <row r="62" spans="1:27">
      <c r="A62" t="s">
        <v>3712</v>
      </c>
      <c r="B62" t="s">
        <v>142</v>
      </c>
      <c r="C62" t="s">
        <v>3713</v>
      </c>
      <c r="D62" t="s">
        <v>3722</v>
      </c>
      <c r="E62" s="546">
        <v>4.66751E-4</v>
      </c>
      <c r="F62">
        <v>2.2311900000000001E-3</v>
      </c>
      <c r="G62">
        <v>3.0634999999999998E-3</v>
      </c>
      <c r="H62">
        <v>4.5943900000000003E-3</v>
      </c>
      <c r="I62">
        <v>6.37114E-3</v>
      </c>
      <c r="J62">
        <v>8.4659799999999997E-3</v>
      </c>
      <c r="K62">
        <v>1.10493E-2</v>
      </c>
      <c r="L62">
        <v>1.3957900000000001E-2</v>
      </c>
      <c r="M62">
        <v>1.7106799999999998E-2</v>
      </c>
      <c r="N62">
        <v>2.0422200000000001E-2</v>
      </c>
      <c r="O62">
        <v>2.38376E-2</v>
      </c>
      <c r="P62">
        <v>2.72067E-2</v>
      </c>
      <c r="Q62">
        <v>3.0194800000000001E-2</v>
      </c>
      <c r="R62">
        <v>3.2904200000000002E-2</v>
      </c>
      <c r="S62">
        <v>3.5044899999999997E-2</v>
      </c>
      <c r="T62">
        <v>3.6609799999999998E-2</v>
      </c>
      <c r="U62">
        <v>3.7326999999999999E-2</v>
      </c>
      <c r="V62">
        <v>3.7340400000000003E-2</v>
      </c>
      <c r="W62">
        <v>3.6747099999999998E-2</v>
      </c>
      <c r="X62">
        <v>3.5724199999999998E-2</v>
      </c>
      <c r="Y62">
        <v>3.4363100000000001E-2</v>
      </c>
      <c r="Z62" s="49" t="s">
        <v>684</v>
      </c>
    </row>
    <row r="63" spans="1:27">
      <c r="A63" t="s">
        <v>3712</v>
      </c>
      <c r="B63" t="s">
        <v>142</v>
      </c>
      <c r="C63" t="s">
        <v>3713</v>
      </c>
      <c r="D63" t="s">
        <v>3723</v>
      </c>
      <c r="E63" s="546">
        <v>6.7056500000000003E-4</v>
      </c>
      <c r="F63">
        <v>3.0879000000000002E-3</v>
      </c>
      <c r="G63">
        <v>4.1313299999999999E-3</v>
      </c>
      <c r="H63">
        <v>6.1172600000000002E-3</v>
      </c>
      <c r="I63">
        <v>8.4433100000000007E-3</v>
      </c>
      <c r="J63">
        <v>1.11022E-2</v>
      </c>
      <c r="K63">
        <v>1.45133E-2</v>
      </c>
      <c r="L63">
        <v>1.8268900000000001E-2</v>
      </c>
      <c r="M63">
        <v>2.2078799999999999E-2</v>
      </c>
      <c r="N63">
        <v>2.5962200000000001E-2</v>
      </c>
      <c r="O63">
        <v>2.97837E-2</v>
      </c>
      <c r="P63">
        <v>3.3390099999999999E-2</v>
      </c>
      <c r="Q63">
        <v>3.6419600000000003E-2</v>
      </c>
      <c r="R63">
        <v>3.8970900000000003E-2</v>
      </c>
      <c r="S63">
        <v>4.0777399999999998E-2</v>
      </c>
      <c r="T63">
        <v>4.1863299999999999E-2</v>
      </c>
      <c r="U63">
        <v>4.2019399999999998E-2</v>
      </c>
      <c r="V63">
        <v>4.1446900000000002E-2</v>
      </c>
      <c r="W63">
        <v>4.0260900000000002E-2</v>
      </c>
      <c r="X63">
        <v>3.8647899999999999E-2</v>
      </c>
      <c r="Y63">
        <v>3.67677E-2</v>
      </c>
      <c r="Z63" s="49" t="s">
        <v>684</v>
      </c>
    </row>
    <row r="64" spans="1:27">
      <c r="A64" t="s">
        <v>3712</v>
      </c>
      <c r="B64" t="s">
        <v>142</v>
      </c>
      <c r="C64" t="s">
        <v>3713</v>
      </c>
      <c r="D64" t="s">
        <v>3724</v>
      </c>
      <c r="E64" s="546">
        <v>8.6978499999999998E-4</v>
      </c>
      <c r="F64">
        <v>3.9143900000000002E-3</v>
      </c>
      <c r="G64">
        <v>5.2999600000000003E-3</v>
      </c>
      <c r="H64">
        <v>8.0044699999999996E-3</v>
      </c>
      <c r="I64">
        <v>1.05238E-2</v>
      </c>
      <c r="J64">
        <v>1.37771E-2</v>
      </c>
      <c r="K64">
        <v>1.7966900000000001E-2</v>
      </c>
      <c r="L64">
        <v>2.2344599999999999E-2</v>
      </c>
      <c r="M64">
        <v>2.6706299999999999E-2</v>
      </c>
      <c r="N64">
        <v>3.1020900000000001E-2</v>
      </c>
      <c r="O64">
        <v>3.5084799999999999E-2</v>
      </c>
      <c r="P64">
        <v>3.8759299999999997E-2</v>
      </c>
      <c r="Q64">
        <v>4.1680099999999998E-2</v>
      </c>
      <c r="R64">
        <v>4.39424E-2</v>
      </c>
      <c r="S64">
        <v>4.5328399999999998E-2</v>
      </c>
      <c r="T64">
        <v>4.5896800000000001E-2</v>
      </c>
      <c r="U64">
        <v>4.5508300000000002E-2</v>
      </c>
      <c r="V64">
        <v>4.4407200000000001E-2</v>
      </c>
      <c r="W64">
        <v>4.2716700000000003E-2</v>
      </c>
      <c r="X64">
        <v>4.0624399999999998E-2</v>
      </c>
      <c r="Y64">
        <v>3.8342599999999998E-2</v>
      </c>
      <c r="Z64" s="49" t="s">
        <v>684</v>
      </c>
    </row>
    <row r="65" spans="1:26">
      <c r="A65" t="s">
        <v>3712</v>
      </c>
      <c r="B65" t="s">
        <v>142</v>
      </c>
      <c r="C65" t="s">
        <v>3713</v>
      </c>
      <c r="D65" t="s">
        <v>3725</v>
      </c>
      <c r="E65">
        <v>1.0862700000000001E-3</v>
      </c>
      <c r="F65">
        <v>4.7917699999999999E-3</v>
      </c>
      <c r="G65">
        <v>6.7515500000000003E-3</v>
      </c>
      <c r="H65">
        <v>1.0012999999999999E-2</v>
      </c>
      <c r="I65">
        <v>1.27939E-2</v>
      </c>
      <c r="J65">
        <v>1.6686699999999999E-2</v>
      </c>
      <c r="K65">
        <v>2.16311E-2</v>
      </c>
      <c r="L65">
        <v>2.66091E-2</v>
      </c>
      <c r="M65">
        <v>3.1480800000000003E-2</v>
      </c>
      <c r="N65">
        <v>3.6153299999999999E-2</v>
      </c>
      <c r="O65">
        <v>4.0355200000000001E-2</v>
      </c>
      <c r="P65">
        <v>4.39808E-2</v>
      </c>
      <c r="Q65">
        <v>4.6681500000000001E-2</v>
      </c>
      <c r="R65">
        <v>4.85511E-2</v>
      </c>
      <c r="S65">
        <v>4.9440400000000002E-2</v>
      </c>
      <c r="T65">
        <v>4.9444500000000002E-2</v>
      </c>
      <c r="U65">
        <v>4.8498899999999998E-2</v>
      </c>
      <c r="V65">
        <v>4.6882500000000001E-2</v>
      </c>
      <c r="W65">
        <v>4.4719599999999998E-2</v>
      </c>
      <c r="X65">
        <v>4.2194200000000001E-2</v>
      </c>
      <c r="Y65">
        <v>3.9561600000000002E-2</v>
      </c>
      <c r="Z65" s="49" t="s">
        <v>684</v>
      </c>
    </row>
    <row r="66" spans="1:26">
      <c r="A66" t="s">
        <v>3712</v>
      </c>
      <c r="B66" t="s">
        <v>142</v>
      </c>
      <c r="C66" t="s">
        <v>3713</v>
      </c>
      <c r="D66" t="s">
        <v>3726</v>
      </c>
      <c r="E66">
        <v>1.3340299999999999E-3</v>
      </c>
      <c r="F66">
        <v>5.8067400000000003E-3</v>
      </c>
      <c r="G66">
        <v>8.5457599999999995E-3</v>
      </c>
      <c r="H66">
        <v>1.2398299999999999E-2</v>
      </c>
      <c r="I66">
        <v>1.5497199999999999E-2</v>
      </c>
      <c r="J66">
        <v>2.0118899999999999E-2</v>
      </c>
      <c r="K66">
        <v>2.5901400000000002E-2</v>
      </c>
      <c r="L66">
        <v>3.15106E-2</v>
      </c>
      <c r="M66">
        <v>3.6891E-2</v>
      </c>
      <c r="N66">
        <v>4.1873800000000003E-2</v>
      </c>
      <c r="O66">
        <v>4.6118699999999999E-2</v>
      </c>
      <c r="P66">
        <v>4.9576599999999998E-2</v>
      </c>
      <c r="Q66">
        <v>5.1932899999999997E-2</v>
      </c>
      <c r="R66">
        <v>5.32836E-2</v>
      </c>
      <c r="S66">
        <v>5.3570800000000002E-2</v>
      </c>
      <c r="T66">
        <v>5.2928599999999999E-2</v>
      </c>
      <c r="U66">
        <v>5.1373099999999998E-2</v>
      </c>
      <c r="V66">
        <v>4.9212100000000002E-2</v>
      </c>
      <c r="W66">
        <v>4.6565200000000001E-2</v>
      </c>
      <c r="X66">
        <v>4.3608899999999999E-2</v>
      </c>
      <c r="Y66">
        <v>4.0636600000000002E-2</v>
      </c>
      <c r="Z66" s="49" t="s">
        <v>684</v>
      </c>
    </row>
    <row r="67" spans="1:26">
      <c r="A67" t="s">
        <v>3712</v>
      </c>
      <c r="B67" t="s">
        <v>142</v>
      </c>
      <c r="C67" t="s">
        <v>3713</v>
      </c>
      <c r="D67" t="s">
        <v>3727</v>
      </c>
      <c r="E67">
        <v>1.64718E-3</v>
      </c>
      <c r="F67">
        <v>7.1866200000000003E-3</v>
      </c>
      <c r="G67">
        <v>1.0925300000000001E-2</v>
      </c>
      <c r="H67">
        <v>1.5506300000000001E-2</v>
      </c>
      <c r="I67">
        <v>1.90659E-2</v>
      </c>
      <c r="J67">
        <v>2.46013E-2</v>
      </c>
      <c r="K67">
        <v>3.1399099999999999E-2</v>
      </c>
      <c r="L67">
        <v>3.7721600000000001E-2</v>
      </c>
      <c r="M67">
        <v>4.3635399999999998E-2</v>
      </c>
      <c r="N67">
        <v>4.8872400000000003E-2</v>
      </c>
      <c r="O67">
        <v>5.30249E-2</v>
      </c>
      <c r="P67">
        <v>5.6138199999999999E-2</v>
      </c>
      <c r="Q67">
        <v>5.7958500000000003E-2</v>
      </c>
      <c r="R67">
        <v>5.8590200000000002E-2</v>
      </c>
      <c r="S67">
        <v>5.8100899999999997E-2</v>
      </c>
      <c r="T67">
        <v>5.6666300000000003E-2</v>
      </c>
      <c r="U67">
        <v>5.4392799999999998E-2</v>
      </c>
      <c r="V67">
        <v>5.1610400000000001E-2</v>
      </c>
      <c r="W67">
        <v>4.8426700000000003E-2</v>
      </c>
      <c r="X67">
        <v>4.5005799999999999E-2</v>
      </c>
      <c r="Y67">
        <v>4.1675700000000003E-2</v>
      </c>
      <c r="Z67" s="49" t="s">
        <v>684</v>
      </c>
    </row>
    <row r="68" spans="1:26">
      <c r="A68" t="s">
        <v>3712</v>
      </c>
      <c r="B68" t="s">
        <v>142</v>
      </c>
      <c r="C68" t="s">
        <v>3713</v>
      </c>
      <c r="D68" t="s">
        <v>3728</v>
      </c>
      <c r="E68">
        <v>2.1015399999999998E-3</v>
      </c>
      <c r="F68">
        <v>9.2207299999999999E-3</v>
      </c>
      <c r="G68">
        <v>1.4236E-2</v>
      </c>
      <c r="H68">
        <v>2.00923E-2</v>
      </c>
      <c r="I68">
        <v>2.42846E-2</v>
      </c>
      <c r="J68">
        <v>3.1068100000000001E-2</v>
      </c>
      <c r="K68">
        <v>3.9187899999999998E-2</v>
      </c>
      <c r="L68">
        <v>4.6344799999999998E-2</v>
      </c>
      <c r="M68">
        <v>5.28041E-2</v>
      </c>
      <c r="N68">
        <v>5.8166799999999998E-2</v>
      </c>
      <c r="O68">
        <v>6.1972100000000002E-2</v>
      </c>
      <c r="P68">
        <v>6.4426800000000006E-2</v>
      </c>
      <c r="Q68">
        <v>6.5382200000000001E-2</v>
      </c>
      <c r="R68">
        <v>6.4964400000000005E-2</v>
      </c>
      <c r="S68">
        <v>6.3415600000000003E-2</v>
      </c>
      <c r="T68">
        <v>6.0953199999999999E-2</v>
      </c>
      <c r="U68">
        <v>5.7783300000000003E-2</v>
      </c>
      <c r="V68">
        <v>5.42481E-2</v>
      </c>
      <c r="W68">
        <v>5.0432100000000001E-2</v>
      </c>
      <c r="X68">
        <v>4.6479399999999997E-2</v>
      </c>
      <c r="Y68">
        <v>4.2748500000000002E-2</v>
      </c>
      <c r="Z68" s="49" t="s">
        <v>684</v>
      </c>
    </row>
    <row r="69" spans="1:26">
      <c r="A69" t="s">
        <v>3712</v>
      </c>
      <c r="B69" t="s">
        <v>142</v>
      </c>
      <c r="C69" t="s">
        <v>3713</v>
      </c>
      <c r="D69" t="s">
        <v>3729</v>
      </c>
      <c r="E69">
        <v>3.0071199999999998E-3</v>
      </c>
      <c r="F69">
        <v>1.29777E-2</v>
      </c>
      <c r="G69">
        <v>1.9434199999999999E-2</v>
      </c>
      <c r="H69">
        <v>2.8025399999999999E-2</v>
      </c>
      <c r="I69">
        <v>3.3810300000000001E-2</v>
      </c>
      <c r="J69">
        <v>4.2612900000000002E-2</v>
      </c>
      <c r="K69">
        <v>5.2686900000000002E-2</v>
      </c>
      <c r="L69">
        <v>6.0837700000000001E-2</v>
      </c>
      <c r="M69">
        <v>6.7724999999999994E-2</v>
      </c>
      <c r="N69">
        <v>7.2778999999999996E-2</v>
      </c>
      <c r="O69">
        <v>7.5566599999999998E-2</v>
      </c>
      <c r="P69">
        <v>7.6607800000000004E-2</v>
      </c>
      <c r="Q69">
        <v>7.5945700000000005E-2</v>
      </c>
      <c r="R69">
        <v>7.3766600000000002E-2</v>
      </c>
      <c r="S69">
        <v>7.05683E-2</v>
      </c>
      <c r="T69">
        <v>6.6595000000000001E-2</v>
      </c>
      <c r="U69">
        <v>6.2156099999999999E-2</v>
      </c>
      <c r="V69">
        <v>5.7584400000000001E-2</v>
      </c>
      <c r="W69">
        <v>5.2921099999999999E-2</v>
      </c>
      <c r="X69">
        <v>4.8277599999999997E-2</v>
      </c>
      <c r="Y69">
        <v>4.4032399999999999E-2</v>
      </c>
      <c r="Z69" s="49" t="s">
        <v>684</v>
      </c>
    </row>
    <row r="70" spans="1:26">
      <c r="A70" t="s">
        <v>3712</v>
      </c>
      <c r="B70" t="s">
        <v>142</v>
      </c>
      <c r="C70" t="s">
        <v>3713</v>
      </c>
      <c r="D70" t="s">
        <v>3730</v>
      </c>
      <c r="E70" s="546">
        <v>1.88853E-4</v>
      </c>
      <c r="F70" s="546">
        <v>8.8302300000000003E-4</v>
      </c>
      <c r="G70">
        <v>1.3664199999999999E-3</v>
      </c>
      <c r="H70">
        <v>2.10092E-3</v>
      </c>
      <c r="I70">
        <v>3.6099499999999998E-3</v>
      </c>
      <c r="J70">
        <v>5.7883199999999996E-3</v>
      </c>
      <c r="K70">
        <v>9.0732199999999999E-3</v>
      </c>
      <c r="L70">
        <v>1.28722E-2</v>
      </c>
      <c r="M70">
        <v>1.7830499999999999E-2</v>
      </c>
      <c r="N70">
        <v>2.40258E-2</v>
      </c>
      <c r="O70">
        <v>3.1292100000000003E-2</v>
      </c>
      <c r="P70">
        <v>3.9798600000000003E-2</v>
      </c>
      <c r="Q70">
        <v>4.8917299999999997E-2</v>
      </c>
      <c r="R70">
        <v>5.8814600000000002E-2</v>
      </c>
      <c r="S70">
        <v>6.8547200000000003E-2</v>
      </c>
      <c r="T70">
        <v>7.8112799999999996E-2</v>
      </c>
      <c r="U70">
        <v>8.6188200000000006E-2</v>
      </c>
      <c r="V70">
        <v>9.2836600000000005E-2</v>
      </c>
      <c r="W70">
        <v>9.8107700000000006E-2</v>
      </c>
      <c r="X70">
        <v>0.10228</v>
      </c>
      <c r="Y70">
        <v>0.10516499999999999</v>
      </c>
      <c r="Z70" s="49" t="s">
        <v>684</v>
      </c>
    </row>
    <row r="71" spans="1:26">
      <c r="A71" t="s">
        <v>3712</v>
      </c>
      <c r="B71" t="s">
        <v>142</v>
      </c>
      <c r="C71" t="s">
        <v>3713</v>
      </c>
      <c r="D71" t="s">
        <v>3731</v>
      </c>
      <c r="E71">
        <v>5.1980699999999999E-3</v>
      </c>
      <c r="F71">
        <v>2.1954499999999998E-2</v>
      </c>
      <c r="G71">
        <v>3.2233900000000003E-2</v>
      </c>
      <c r="H71">
        <v>5.0256299999999997E-2</v>
      </c>
      <c r="I71">
        <v>7.3924900000000002E-2</v>
      </c>
      <c r="J71">
        <v>0.102365</v>
      </c>
      <c r="K71">
        <v>0.13695199999999999</v>
      </c>
      <c r="L71">
        <v>0.16225600000000001</v>
      </c>
      <c r="M71">
        <v>0.183059</v>
      </c>
      <c r="N71">
        <v>0.19927800000000001</v>
      </c>
      <c r="O71">
        <v>0.20851</v>
      </c>
      <c r="P71">
        <v>0.214783</v>
      </c>
      <c r="Q71">
        <v>0.21767300000000001</v>
      </c>
      <c r="R71">
        <v>0.217582</v>
      </c>
      <c r="S71">
        <v>0.21523800000000001</v>
      </c>
      <c r="T71">
        <v>0.21118600000000001</v>
      </c>
      <c r="U71">
        <v>0.205757</v>
      </c>
      <c r="V71">
        <v>0.19988700000000001</v>
      </c>
      <c r="W71">
        <v>0.19348799999999999</v>
      </c>
      <c r="X71">
        <v>0.18668100000000001</v>
      </c>
      <c r="Y71">
        <v>0.180919</v>
      </c>
      <c r="Z71" s="49" t="s">
        <v>684</v>
      </c>
    </row>
    <row r="72" spans="1:26">
      <c r="A72" t="s">
        <v>3712</v>
      </c>
      <c r="B72" t="s">
        <v>142</v>
      </c>
      <c r="C72" t="s">
        <v>3713</v>
      </c>
      <c r="D72" t="s">
        <v>3732</v>
      </c>
      <c r="E72" s="546">
        <v>3.9267799999999998E-4</v>
      </c>
      <c r="F72">
        <v>1.8934100000000001E-3</v>
      </c>
      <c r="G72">
        <v>2.5308800000000001E-3</v>
      </c>
      <c r="H72">
        <v>3.7979400000000001E-3</v>
      </c>
      <c r="I72">
        <v>6.6404799999999998E-3</v>
      </c>
      <c r="J72">
        <v>1.04379E-2</v>
      </c>
      <c r="K72">
        <v>1.6190300000000001E-2</v>
      </c>
      <c r="L72">
        <v>2.3202E-2</v>
      </c>
      <c r="M72">
        <v>3.1251500000000002E-2</v>
      </c>
      <c r="N72">
        <v>4.0884400000000001E-2</v>
      </c>
      <c r="O72">
        <v>5.15177E-2</v>
      </c>
      <c r="P72">
        <v>6.3309699999999997E-2</v>
      </c>
      <c r="Q72">
        <v>7.5217400000000004E-2</v>
      </c>
      <c r="R72">
        <v>8.7254600000000002E-2</v>
      </c>
      <c r="S72">
        <v>9.8164600000000005E-2</v>
      </c>
      <c r="T72">
        <v>0.107963</v>
      </c>
      <c r="U72">
        <v>0.11532100000000001</v>
      </c>
      <c r="V72">
        <v>0.120611</v>
      </c>
      <c r="W72">
        <v>0.124024</v>
      </c>
      <c r="X72">
        <v>0.12595400000000001</v>
      </c>
      <c r="Y72">
        <v>0.12670000000000001</v>
      </c>
      <c r="Z72" s="49" t="s">
        <v>684</v>
      </c>
    </row>
    <row r="73" spans="1:26">
      <c r="A73" t="s">
        <v>3712</v>
      </c>
      <c r="B73" t="s">
        <v>142</v>
      </c>
      <c r="C73" t="s">
        <v>3713</v>
      </c>
      <c r="D73" t="s">
        <v>3733</v>
      </c>
      <c r="E73" s="546">
        <v>5.6148400000000001E-4</v>
      </c>
      <c r="F73">
        <v>2.6066000000000001E-3</v>
      </c>
      <c r="G73">
        <v>3.4050700000000001E-3</v>
      </c>
      <c r="H73">
        <v>5.0463599999999997E-3</v>
      </c>
      <c r="I73">
        <v>8.7826299999999996E-3</v>
      </c>
      <c r="J73">
        <v>1.3661299999999999E-2</v>
      </c>
      <c r="K73">
        <v>2.13203E-2</v>
      </c>
      <c r="L73">
        <v>3.0096100000000001E-2</v>
      </c>
      <c r="M73">
        <v>3.9981799999999998E-2</v>
      </c>
      <c r="N73">
        <v>5.1507799999999999E-2</v>
      </c>
      <c r="O73">
        <v>6.37577E-2</v>
      </c>
      <c r="P73">
        <v>7.6905899999999999E-2</v>
      </c>
      <c r="Q73">
        <v>8.9718900000000004E-2</v>
      </c>
      <c r="R73">
        <v>0.102113</v>
      </c>
      <c r="S73">
        <v>0.1128</v>
      </c>
      <c r="T73">
        <v>0.121875</v>
      </c>
      <c r="U73">
        <v>0.12817300000000001</v>
      </c>
      <c r="V73">
        <v>0.13225799999999999</v>
      </c>
      <c r="W73">
        <v>0.13439100000000001</v>
      </c>
      <c r="X73">
        <v>0.13501099999999999</v>
      </c>
      <c r="Y73">
        <v>0.134658</v>
      </c>
      <c r="Z73" s="49" t="s">
        <v>684</v>
      </c>
    </row>
    <row r="74" spans="1:26">
      <c r="A74" t="s">
        <v>3712</v>
      </c>
      <c r="B74" t="s">
        <v>142</v>
      </c>
      <c r="C74" t="s">
        <v>3713</v>
      </c>
      <c r="D74" t="s">
        <v>3734</v>
      </c>
      <c r="E74" s="546">
        <v>7.2523300000000004E-4</v>
      </c>
      <c r="F74">
        <v>3.28868E-3</v>
      </c>
      <c r="G74">
        <v>4.3578200000000001E-3</v>
      </c>
      <c r="H74">
        <v>6.5872400000000003E-3</v>
      </c>
      <c r="I74">
        <v>1.08611E-2</v>
      </c>
      <c r="J74">
        <v>1.6881E-2</v>
      </c>
      <c r="K74">
        <v>2.6207299999999999E-2</v>
      </c>
      <c r="L74">
        <v>3.6551E-2</v>
      </c>
      <c r="M74">
        <v>4.8014300000000003E-2</v>
      </c>
      <c r="N74">
        <v>6.1072300000000003E-2</v>
      </c>
      <c r="O74">
        <v>7.4484999999999996E-2</v>
      </c>
      <c r="P74">
        <v>8.8472099999999998E-2</v>
      </c>
      <c r="Q74">
        <v>0.10168199999999999</v>
      </c>
      <c r="R74">
        <v>0.113958</v>
      </c>
      <c r="S74">
        <v>0.124075</v>
      </c>
      <c r="T74">
        <v>0.13222500000000001</v>
      </c>
      <c r="U74">
        <v>0.13743900000000001</v>
      </c>
      <c r="V74">
        <v>0.140428</v>
      </c>
      <c r="W74">
        <v>0.14149300000000001</v>
      </c>
      <c r="X74">
        <v>0.141092</v>
      </c>
      <c r="Y74">
        <v>0.139934</v>
      </c>
      <c r="Z74" s="49" t="s">
        <v>684</v>
      </c>
    </row>
    <row r="75" spans="1:26">
      <c r="A75" t="s">
        <v>3712</v>
      </c>
      <c r="B75" t="s">
        <v>142</v>
      </c>
      <c r="C75" t="s">
        <v>3713</v>
      </c>
      <c r="D75" t="s">
        <v>3735</v>
      </c>
      <c r="E75" s="546">
        <v>9.0187899999999996E-4</v>
      </c>
      <c r="F75">
        <v>4.0068100000000004E-3</v>
      </c>
      <c r="G75">
        <v>5.5357799999999997E-3</v>
      </c>
      <c r="H75">
        <v>8.21998E-3</v>
      </c>
      <c r="I75">
        <v>1.3159499999999999E-2</v>
      </c>
      <c r="J75">
        <v>2.0347199999999999E-2</v>
      </c>
      <c r="K75">
        <v>3.1352699999999997E-2</v>
      </c>
      <c r="L75">
        <v>4.3242000000000003E-2</v>
      </c>
      <c r="M75">
        <v>5.6209099999999998E-2</v>
      </c>
      <c r="N75">
        <v>7.0643899999999996E-2</v>
      </c>
      <c r="O75">
        <v>8.4975099999999998E-2</v>
      </c>
      <c r="P75">
        <v>9.9502099999999996E-2</v>
      </c>
      <c r="Q75">
        <v>0.112801</v>
      </c>
      <c r="R75">
        <v>0.124665</v>
      </c>
      <c r="S75">
        <v>0.133994</v>
      </c>
      <c r="T75">
        <v>0.14108899999999999</v>
      </c>
      <c r="U75">
        <v>0.14519199999999999</v>
      </c>
      <c r="V75">
        <v>0.14713200000000001</v>
      </c>
      <c r="W75">
        <v>0.14723</v>
      </c>
      <c r="X75">
        <v>0.14594799999999999</v>
      </c>
      <c r="Y75">
        <v>0.144122</v>
      </c>
      <c r="Z75" s="49" t="s">
        <v>684</v>
      </c>
    </row>
    <row r="76" spans="1:26">
      <c r="A76" t="s">
        <v>3712</v>
      </c>
      <c r="B76" t="s">
        <v>142</v>
      </c>
      <c r="C76" t="s">
        <v>3713</v>
      </c>
      <c r="D76" t="s">
        <v>3736</v>
      </c>
      <c r="E76">
        <v>1.1025E-3</v>
      </c>
      <c r="F76">
        <v>4.8302800000000002E-3</v>
      </c>
      <c r="G76">
        <v>6.98382E-3</v>
      </c>
      <c r="H76">
        <v>1.0149699999999999E-2</v>
      </c>
      <c r="I76">
        <v>1.58826E-2</v>
      </c>
      <c r="J76">
        <v>2.4410600000000001E-2</v>
      </c>
      <c r="K76">
        <v>3.7300699999999999E-2</v>
      </c>
      <c r="L76">
        <v>5.0855699999999997E-2</v>
      </c>
      <c r="M76">
        <v>6.5383899999999995E-2</v>
      </c>
      <c r="N76">
        <v>8.1156599999999995E-2</v>
      </c>
      <c r="O76">
        <v>9.6247899999999997E-2</v>
      </c>
      <c r="P76">
        <v>0.111084</v>
      </c>
      <c r="Q76">
        <v>0.124207</v>
      </c>
      <c r="R76">
        <v>0.13538700000000001</v>
      </c>
      <c r="S76">
        <v>0.143705</v>
      </c>
      <c r="T76">
        <v>0.149587</v>
      </c>
      <c r="U76">
        <v>0.15249599999999999</v>
      </c>
      <c r="V76">
        <v>0.153364</v>
      </c>
      <c r="W76">
        <v>0.15251400000000001</v>
      </c>
      <c r="X76">
        <v>0.150398</v>
      </c>
      <c r="Y76">
        <v>0.14796200000000001</v>
      </c>
      <c r="Z76" s="49" t="s">
        <v>684</v>
      </c>
    </row>
    <row r="77" spans="1:26">
      <c r="A77" t="s">
        <v>3712</v>
      </c>
      <c r="B77" t="s">
        <v>142</v>
      </c>
      <c r="C77" t="s">
        <v>3713</v>
      </c>
      <c r="D77" t="s">
        <v>3737</v>
      </c>
      <c r="E77">
        <v>1.3538300000000001E-3</v>
      </c>
      <c r="F77">
        <v>5.9379999999999997E-3</v>
      </c>
      <c r="G77">
        <v>8.8912799999999997E-3</v>
      </c>
      <c r="H77">
        <v>1.26496E-2</v>
      </c>
      <c r="I77">
        <v>1.9455299999999998E-2</v>
      </c>
      <c r="J77">
        <v>2.9677499999999999E-2</v>
      </c>
      <c r="K77">
        <v>4.4883399999999997E-2</v>
      </c>
      <c r="L77">
        <v>6.03869E-2</v>
      </c>
      <c r="M77">
        <v>7.6655600000000004E-2</v>
      </c>
      <c r="N77">
        <v>9.3793399999999999E-2</v>
      </c>
      <c r="O77">
        <v>0.10947800000000001</v>
      </c>
      <c r="P77">
        <v>0.124345</v>
      </c>
      <c r="Q77">
        <v>0.13695399999999999</v>
      </c>
      <c r="R77">
        <v>0.14708099999999999</v>
      </c>
      <c r="S77">
        <v>0.15407599999999999</v>
      </c>
      <c r="T77">
        <v>0.158494</v>
      </c>
      <c r="U77">
        <v>0.160048</v>
      </c>
      <c r="V77">
        <v>0.159748</v>
      </c>
      <c r="W77">
        <v>0.15790299999999999</v>
      </c>
      <c r="X77">
        <v>0.154941</v>
      </c>
      <c r="Y77">
        <v>0.15190200000000001</v>
      </c>
      <c r="Z77" s="49" t="s">
        <v>684</v>
      </c>
    </row>
    <row r="78" spans="1:26">
      <c r="A78" t="s">
        <v>3712</v>
      </c>
      <c r="B78" t="s">
        <v>142</v>
      </c>
      <c r="C78" t="s">
        <v>3713</v>
      </c>
      <c r="D78" t="s">
        <v>3738</v>
      </c>
      <c r="E78">
        <v>1.71437E-3</v>
      </c>
      <c r="F78">
        <v>7.5474000000000001E-3</v>
      </c>
      <c r="G78">
        <v>1.1521699999999999E-2</v>
      </c>
      <c r="H78">
        <v>1.6309000000000001E-2</v>
      </c>
      <c r="I78">
        <v>2.4637200000000001E-2</v>
      </c>
      <c r="J78">
        <v>3.7199700000000002E-2</v>
      </c>
      <c r="K78">
        <v>5.5485E-2</v>
      </c>
      <c r="L78">
        <v>7.3405100000000001E-2</v>
      </c>
      <c r="M78">
        <v>9.1682600000000003E-2</v>
      </c>
      <c r="N78">
        <v>0.11018799999999999</v>
      </c>
      <c r="O78">
        <v>0.12615999999999999</v>
      </c>
      <c r="P78">
        <v>0.140597</v>
      </c>
      <c r="Q78">
        <v>0.15215799999999999</v>
      </c>
      <c r="R78">
        <v>0.16068399999999999</v>
      </c>
      <c r="S78">
        <v>0.16589999999999999</v>
      </c>
      <c r="T78">
        <v>0.16850000000000001</v>
      </c>
      <c r="U78">
        <v>0.16845499999999999</v>
      </c>
      <c r="V78">
        <v>0.16683400000000001</v>
      </c>
      <c r="W78">
        <v>0.16390199999999999</v>
      </c>
      <c r="X78">
        <v>0.16004099999999999</v>
      </c>
      <c r="Y78">
        <v>0.15637499999999999</v>
      </c>
      <c r="Z78" s="49" t="s">
        <v>684</v>
      </c>
    </row>
    <row r="79" spans="1:26">
      <c r="A79" t="s">
        <v>3712</v>
      </c>
      <c r="B79" t="s">
        <v>142</v>
      </c>
      <c r="C79" t="s">
        <v>3713</v>
      </c>
      <c r="D79" t="s">
        <v>3739</v>
      </c>
      <c r="E79">
        <v>2.4194199999999998E-3</v>
      </c>
      <c r="F79">
        <v>1.0451200000000001E-2</v>
      </c>
      <c r="G79">
        <v>1.5599200000000001E-2</v>
      </c>
      <c r="H79">
        <v>2.25594E-2</v>
      </c>
      <c r="I79">
        <v>3.3964399999999999E-2</v>
      </c>
      <c r="J79">
        <v>5.0407399999999998E-2</v>
      </c>
      <c r="K79">
        <v>7.3473999999999998E-2</v>
      </c>
      <c r="L79">
        <v>9.4724299999999997E-2</v>
      </c>
      <c r="M79">
        <v>0.11540300000000001</v>
      </c>
      <c r="N79">
        <v>0.13506099999999999</v>
      </c>
      <c r="O79">
        <v>0.15052099999999999</v>
      </c>
      <c r="P79">
        <v>0.163496</v>
      </c>
      <c r="Q79">
        <v>0.17290800000000001</v>
      </c>
      <c r="R79">
        <v>0.17880199999999999</v>
      </c>
      <c r="S79">
        <v>0.181425</v>
      </c>
      <c r="T79">
        <v>0.181586</v>
      </c>
      <c r="U79">
        <v>0.179509</v>
      </c>
      <c r="V79">
        <v>0.17627200000000001</v>
      </c>
      <c r="W79">
        <v>0.172046</v>
      </c>
      <c r="X79">
        <v>0.16713600000000001</v>
      </c>
      <c r="Y79">
        <v>0.162747</v>
      </c>
      <c r="Z79" s="49" t="s">
        <v>684</v>
      </c>
    </row>
    <row r="80" spans="1:26">
      <c r="A80" t="s">
        <v>3712</v>
      </c>
      <c r="B80" t="s">
        <v>142</v>
      </c>
      <c r="C80" t="s">
        <v>3740</v>
      </c>
      <c r="D80" t="s">
        <v>3741</v>
      </c>
      <c r="E80">
        <v>0</v>
      </c>
      <c r="F80">
        <v>0</v>
      </c>
      <c r="G80">
        <v>0</v>
      </c>
      <c r="H80">
        <v>0</v>
      </c>
      <c r="I80" s="546">
        <v>8.5206000000000002E-7</v>
      </c>
      <c r="J80" s="546">
        <v>7.0773028637000006E-5</v>
      </c>
      <c r="K80" s="546">
        <v>4.7078366433999898E-4</v>
      </c>
      <c r="L80">
        <v>1.1956253639589999E-3</v>
      </c>
      <c r="M80">
        <v>1.6818659162239999E-3</v>
      </c>
      <c r="N80">
        <v>2.0166933010169999E-3</v>
      </c>
      <c r="O80">
        <v>2.261258047844E-3</v>
      </c>
      <c r="P80">
        <v>2.5384598204109998E-3</v>
      </c>
      <c r="Q80">
        <v>2.8406861055999899E-3</v>
      </c>
      <c r="R80">
        <v>3.1682019989999902E-3</v>
      </c>
      <c r="S80">
        <v>3.4241286699999902E-3</v>
      </c>
      <c r="T80">
        <v>3.68481873E-3</v>
      </c>
      <c r="U80">
        <v>3.7432600299999999E-3</v>
      </c>
      <c r="V80">
        <v>3.8045082600000001E-3</v>
      </c>
      <c r="W80">
        <v>3.89277419E-3</v>
      </c>
      <c r="X80">
        <v>4.0096013600000001E-3</v>
      </c>
      <c r="Y80">
        <v>4.1150841699999904E-3</v>
      </c>
      <c r="Z80" s="49" t="s">
        <v>684</v>
      </c>
    </row>
    <row r="81" spans="1:27" s="537" customFormat="1">
      <c r="A81" s="537" t="s">
        <v>3712</v>
      </c>
      <c r="B81" s="537" t="s">
        <v>142</v>
      </c>
      <c r="C81" s="537" t="s">
        <v>3740</v>
      </c>
      <c r="D81" s="537" t="s">
        <v>3742</v>
      </c>
      <c r="E81" s="537">
        <v>0</v>
      </c>
      <c r="F81" s="537">
        <v>0</v>
      </c>
      <c r="G81" s="537">
        <v>0</v>
      </c>
      <c r="H81" s="537">
        <v>0</v>
      </c>
      <c r="I81" s="537">
        <v>0</v>
      </c>
      <c r="J81" s="1043">
        <v>2.0081E-4</v>
      </c>
      <c r="K81" s="1043">
        <v>5.7058415000000001E-4</v>
      </c>
      <c r="L81" s="537">
        <v>1.8725224399999999E-3</v>
      </c>
      <c r="M81" s="537">
        <v>4.3176445100000004E-3</v>
      </c>
      <c r="N81" s="537">
        <v>7.0969242999999998E-3</v>
      </c>
      <c r="O81" s="537">
        <v>1.023023E-2</v>
      </c>
      <c r="P81" s="537">
        <v>1.3341815E-2</v>
      </c>
      <c r="Q81" s="537">
        <v>1.6590735999999998E-2</v>
      </c>
      <c r="R81" s="537">
        <v>1.97704849999999E-2</v>
      </c>
      <c r="S81" s="537">
        <v>2.2702E-2</v>
      </c>
      <c r="T81" s="537">
        <v>2.5121060000000001E-2</v>
      </c>
      <c r="U81" s="537">
        <v>2.7536350000000001E-2</v>
      </c>
      <c r="V81" s="537">
        <v>2.9700790000000001E-2</v>
      </c>
      <c r="W81" s="537">
        <v>3.1670089999999998E-2</v>
      </c>
      <c r="X81" s="537">
        <v>3.3573800000000001E-2</v>
      </c>
      <c r="Y81" s="537">
        <v>3.4658099999999997E-2</v>
      </c>
      <c r="Z81" s="549" t="s">
        <v>684</v>
      </c>
      <c r="AA81" s="537">
        <v>1</v>
      </c>
    </row>
    <row r="82" spans="1:27">
      <c r="A82" t="s">
        <v>3712</v>
      </c>
      <c r="B82" t="s">
        <v>142</v>
      </c>
      <c r="C82" t="s">
        <v>3740</v>
      </c>
      <c r="D82" t="s">
        <v>3743</v>
      </c>
      <c r="E82">
        <v>0</v>
      </c>
      <c r="F82">
        <v>0</v>
      </c>
      <c r="G82">
        <v>0</v>
      </c>
      <c r="H82">
        <v>0</v>
      </c>
      <c r="I82" s="546">
        <v>3.7964499999999999E-6</v>
      </c>
      <c r="J82" s="546">
        <v>4.26017E-4</v>
      </c>
      <c r="K82">
        <v>1.21094E-3</v>
      </c>
      <c r="L82">
        <v>3.18746E-3</v>
      </c>
      <c r="M82">
        <v>4.8206400000000002E-3</v>
      </c>
      <c r="N82">
        <v>6.1046800000000003E-3</v>
      </c>
      <c r="O82">
        <v>7.0606999999999996E-3</v>
      </c>
      <c r="P82">
        <v>7.8825500000000003E-3</v>
      </c>
      <c r="Q82">
        <v>8.6655599999999992E-3</v>
      </c>
      <c r="R82">
        <v>9.6016199999999999E-3</v>
      </c>
      <c r="S82">
        <v>1.0364699999999999E-2</v>
      </c>
      <c r="T82">
        <v>1.1056699999999999E-2</v>
      </c>
      <c r="U82">
        <v>1.15768E-2</v>
      </c>
      <c r="V82">
        <v>1.20135E-2</v>
      </c>
      <c r="W82">
        <v>1.24119E-2</v>
      </c>
      <c r="X82">
        <v>1.2777800000000001E-2</v>
      </c>
      <c r="Y82">
        <v>1.307E-2</v>
      </c>
      <c r="Z82" s="49" t="s">
        <v>684</v>
      </c>
    </row>
    <row r="83" spans="1:27">
      <c r="A83" t="s">
        <v>3712</v>
      </c>
      <c r="B83" t="s">
        <v>142</v>
      </c>
      <c r="C83" t="s">
        <v>3740</v>
      </c>
      <c r="D83" t="s">
        <v>3744</v>
      </c>
      <c r="E83">
        <v>0</v>
      </c>
      <c r="F83">
        <v>0</v>
      </c>
      <c r="G83">
        <v>0</v>
      </c>
      <c r="H83">
        <v>0</v>
      </c>
      <c r="I83" s="546">
        <v>3.0606500000000001E-7</v>
      </c>
      <c r="J83" s="546">
        <v>1.6337700000000001E-5</v>
      </c>
      <c r="K83" s="546">
        <v>2.0752499999999999E-4</v>
      </c>
      <c r="L83" s="546">
        <v>5.2408399999999996E-4</v>
      </c>
      <c r="M83" s="546">
        <v>7.9909499999999999E-4</v>
      </c>
      <c r="N83">
        <v>1.03063E-3</v>
      </c>
      <c r="O83">
        <v>1.2147900000000001E-3</v>
      </c>
      <c r="P83">
        <v>1.38185E-3</v>
      </c>
      <c r="Q83">
        <v>1.5405900000000001E-3</v>
      </c>
      <c r="R83">
        <v>1.7051600000000001E-3</v>
      </c>
      <c r="S83">
        <v>1.8291099999999999E-3</v>
      </c>
      <c r="T83">
        <v>1.9395300000000001E-3</v>
      </c>
      <c r="U83">
        <v>2.0156800000000002E-3</v>
      </c>
      <c r="V83">
        <v>2.0747500000000002E-3</v>
      </c>
      <c r="W83">
        <v>2.1254400000000001E-3</v>
      </c>
      <c r="X83">
        <v>2.1665299999999998E-3</v>
      </c>
      <c r="Y83">
        <v>2.20536E-3</v>
      </c>
      <c r="Z83" s="49" t="s">
        <v>684</v>
      </c>
    </row>
    <row r="84" spans="1:27">
      <c r="A84" t="s">
        <v>3712</v>
      </c>
      <c r="B84" t="s">
        <v>142</v>
      </c>
      <c r="C84" t="s">
        <v>3740</v>
      </c>
      <c r="D84" t="s">
        <v>3745</v>
      </c>
      <c r="E84">
        <v>0</v>
      </c>
      <c r="F84">
        <v>1.2344999999999999E-3</v>
      </c>
      <c r="G84">
        <v>2.2504999999999999E-3</v>
      </c>
      <c r="H84">
        <v>3.3463E-3</v>
      </c>
      <c r="I84">
        <v>3.7925400000000001E-3</v>
      </c>
      <c r="J84">
        <v>4.8212970000000004E-3</v>
      </c>
      <c r="K84">
        <v>6.9925350000000002E-3</v>
      </c>
      <c r="L84">
        <v>9.8751489999999997E-3</v>
      </c>
      <c r="M84">
        <v>1.2998289999999999E-2</v>
      </c>
      <c r="N84">
        <v>1.7734804999999999E-2</v>
      </c>
      <c r="O84">
        <v>2.34268269999999E-2</v>
      </c>
      <c r="P84">
        <v>2.6711048000000001E-2</v>
      </c>
      <c r="Q84">
        <v>2.7968968E-2</v>
      </c>
      <c r="R84">
        <v>2.7994360999999999E-2</v>
      </c>
      <c r="S84">
        <v>2.7441699999999999E-2</v>
      </c>
      <c r="T84">
        <v>2.6790484E-2</v>
      </c>
      <c r="U84">
        <v>2.5956533999999899E-2</v>
      </c>
      <c r="V84">
        <v>2.494677E-2</v>
      </c>
      <c r="W84">
        <v>2.3818989999999901E-2</v>
      </c>
      <c r="X84">
        <v>2.2643743000000001E-2</v>
      </c>
      <c r="Y84">
        <v>2.1491395E-2</v>
      </c>
      <c r="Z84" s="49" t="s">
        <v>684</v>
      </c>
    </row>
    <row r="85" spans="1:27" s="537" customFormat="1">
      <c r="A85" s="537" t="s">
        <v>3712</v>
      </c>
      <c r="B85" s="537" t="s">
        <v>142</v>
      </c>
      <c r="C85" s="537" t="s">
        <v>3740</v>
      </c>
      <c r="D85" s="537" t="s">
        <v>3746</v>
      </c>
      <c r="E85" s="537">
        <v>1.57412E-2</v>
      </c>
      <c r="F85" s="537">
        <v>1.9448799999999999E-2</v>
      </c>
      <c r="G85" s="537">
        <v>9.5382699999999997E-3</v>
      </c>
      <c r="H85" s="537">
        <v>5.3232399999999999E-3</v>
      </c>
      <c r="I85" s="537">
        <v>1.041922E-2</v>
      </c>
      <c r="J85" s="537">
        <v>1.430177E-2</v>
      </c>
      <c r="K85" s="537">
        <v>1.8331670000000001E-2</v>
      </c>
      <c r="L85" s="537">
        <v>2.1708950000000001E-2</v>
      </c>
      <c r="M85" s="537">
        <v>2.4450103000000001E-2</v>
      </c>
      <c r="N85" s="537">
        <v>2.640764E-2</v>
      </c>
      <c r="O85" s="537">
        <v>2.7555477500000002E-2</v>
      </c>
      <c r="P85" s="537">
        <v>2.80537662E-2</v>
      </c>
      <c r="Q85" s="537">
        <v>2.79691189999999E-2</v>
      </c>
      <c r="R85" s="537">
        <v>2.73974445999999E-2</v>
      </c>
      <c r="S85" s="537">
        <v>2.64430859999999E-2</v>
      </c>
      <c r="T85" s="537">
        <v>2.5232932E-2</v>
      </c>
      <c r="U85" s="537">
        <v>2.38588263E-2</v>
      </c>
      <c r="V85" s="537">
        <v>2.2397340000000002E-2</v>
      </c>
      <c r="W85" s="537">
        <v>2.0901479399999999E-2</v>
      </c>
      <c r="X85" s="537">
        <v>1.94101948999999E-2</v>
      </c>
      <c r="Y85" s="537">
        <v>1.7951931399999999E-2</v>
      </c>
      <c r="Z85" s="549" t="s">
        <v>684</v>
      </c>
      <c r="AA85" s="537">
        <v>1</v>
      </c>
    </row>
    <row r="86" spans="1:27" s="537" customFormat="1">
      <c r="A86" s="537" t="s">
        <v>3712</v>
      </c>
      <c r="B86" s="537" t="s">
        <v>142</v>
      </c>
      <c r="C86" s="537" t="s">
        <v>3740</v>
      </c>
      <c r="D86" s="537" t="s">
        <v>3747</v>
      </c>
      <c r="E86" s="537">
        <v>6.0213599999999999E-3</v>
      </c>
      <c r="F86" s="537">
        <v>1.41713E-2</v>
      </c>
      <c r="G86" s="537">
        <v>1.6711899999999998E-2</v>
      </c>
      <c r="H86" s="537">
        <v>1.6711899999999998E-2</v>
      </c>
      <c r="I86" s="537">
        <v>2.1828480000000001E-2</v>
      </c>
      <c r="J86" s="537">
        <v>2.8318650000000001E-2</v>
      </c>
      <c r="K86" s="537">
        <v>3.4286230000000001E-2</v>
      </c>
      <c r="L86" s="537">
        <v>4.0021080000000001E-2</v>
      </c>
      <c r="M86" s="537">
        <v>4.4982429999999997E-2</v>
      </c>
      <c r="N86" s="537">
        <v>4.8384209999999997E-2</v>
      </c>
      <c r="O86" s="537">
        <v>5.0701892999999998E-2</v>
      </c>
      <c r="P86" s="537">
        <v>5.2427292899999901E-2</v>
      </c>
      <c r="Q86" s="537">
        <v>5.3605705699999999E-2</v>
      </c>
      <c r="R86" s="537">
        <v>5.4305676300000001E-2</v>
      </c>
      <c r="S86" s="537">
        <v>5.4583352000000002E-2</v>
      </c>
      <c r="T86" s="537">
        <v>5.4563702999999998E-2</v>
      </c>
      <c r="U86" s="537">
        <v>5.4264168000000002E-2</v>
      </c>
      <c r="V86" s="537">
        <v>5.3721275999999998E-2</v>
      </c>
      <c r="W86" s="537">
        <v>5.2981009000000003E-2</v>
      </c>
      <c r="X86" s="537">
        <v>5.2074098999999999E-2</v>
      </c>
      <c r="Y86" s="537">
        <v>5.1038617000000001E-2</v>
      </c>
      <c r="Z86" s="549" t="s">
        <v>684</v>
      </c>
      <c r="AA86" s="537">
        <v>1</v>
      </c>
    </row>
    <row r="87" spans="1:27">
      <c r="A87" t="s">
        <v>3712</v>
      </c>
      <c r="B87" t="s">
        <v>142</v>
      </c>
      <c r="C87" t="s">
        <v>3740</v>
      </c>
      <c r="D87" t="s">
        <v>3748</v>
      </c>
      <c r="E87">
        <v>0</v>
      </c>
      <c r="F87">
        <v>0</v>
      </c>
      <c r="G87">
        <v>0</v>
      </c>
      <c r="H87">
        <v>0</v>
      </c>
      <c r="I87">
        <v>0</v>
      </c>
      <c r="J87" s="546">
        <v>4.48783E-5</v>
      </c>
      <c r="K87" s="546">
        <v>1.772714E-4</v>
      </c>
      <c r="L87" s="546">
        <v>3.9100419999999999E-4</v>
      </c>
      <c r="M87" s="546">
        <v>6.5615005E-4</v>
      </c>
      <c r="N87">
        <v>1.0823073999999999E-3</v>
      </c>
      <c r="O87">
        <v>1.6175346000000001E-3</v>
      </c>
      <c r="P87">
        <v>1.9033832000000001E-3</v>
      </c>
      <c r="Q87">
        <v>1.970608E-3</v>
      </c>
      <c r="R87">
        <v>1.8991419999999999E-3</v>
      </c>
      <c r="S87">
        <v>1.7700229999999999E-3</v>
      </c>
      <c r="T87">
        <v>1.6375819999999901E-3</v>
      </c>
      <c r="U87">
        <v>1.503473E-3</v>
      </c>
      <c r="V87">
        <v>1.3699020000000001E-3</v>
      </c>
      <c r="W87">
        <v>1.2387170000000001E-3</v>
      </c>
      <c r="X87">
        <v>1.1114650000000001E-3</v>
      </c>
      <c r="Y87" s="546">
        <v>9.9103609999999899E-4</v>
      </c>
      <c r="Z87" s="49" t="s">
        <v>684</v>
      </c>
    </row>
    <row r="88" spans="1:27">
      <c r="A88" t="s">
        <v>3712</v>
      </c>
      <c r="B88" t="s">
        <v>142</v>
      </c>
      <c r="C88" t="s">
        <v>3740</v>
      </c>
      <c r="D88" t="s">
        <v>3749</v>
      </c>
      <c r="E88" s="546">
        <v>4.5271299999999999E-4</v>
      </c>
      <c r="F88" s="546">
        <v>2.78793E-4</v>
      </c>
      <c r="G88" s="546">
        <v>2.1839799999999999E-4</v>
      </c>
      <c r="H88" s="546">
        <v>1.58004E-4</v>
      </c>
      <c r="I88" s="546">
        <v>1.8229800000000001E-4</v>
      </c>
      <c r="J88" s="546">
        <v>2.1416800000000001E-4</v>
      </c>
      <c r="K88" s="546">
        <v>2.4418600000000002E-4</v>
      </c>
      <c r="L88" s="546">
        <v>2.7495699999999999E-4</v>
      </c>
      <c r="M88" s="546">
        <v>3.0543699999999998E-4</v>
      </c>
      <c r="N88" s="546">
        <v>3.2928599999999998E-4</v>
      </c>
      <c r="O88" s="546">
        <v>3.4843999999999999E-4</v>
      </c>
      <c r="P88" s="546">
        <v>3.6167000000000003E-4</v>
      </c>
      <c r="Q88" s="546">
        <v>3.701E-4</v>
      </c>
      <c r="R88" s="546">
        <v>3.7406199999999998E-4</v>
      </c>
      <c r="S88" s="546">
        <v>3.7395400000000002E-4</v>
      </c>
      <c r="T88" s="546">
        <v>3.69711E-4</v>
      </c>
      <c r="U88" s="546">
        <v>3.6402500000000003E-4</v>
      </c>
      <c r="V88" s="546">
        <v>3.5604799999999998E-4</v>
      </c>
      <c r="W88" s="546">
        <v>3.4614200000000002E-4</v>
      </c>
      <c r="X88" s="546">
        <v>3.3490899999999999E-4</v>
      </c>
      <c r="Y88" s="546">
        <v>3.2286100000000002E-4</v>
      </c>
      <c r="Z88" s="49" t="s">
        <v>684</v>
      </c>
    </row>
    <row r="89" spans="1:27" s="537" customFormat="1">
      <c r="A89" s="537" t="s">
        <v>3712</v>
      </c>
      <c r="B89" s="537" t="s">
        <v>142</v>
      </c>
      <c r="C89" s="537" t="s">
        <v>3740</v>
      </c>
      <c r="D89" s="537" t="s">
        <v>3750</v>
      </c>
      <c r="E89" s="537">
        <v>1.9820200000000001E-3</v>
      </c>
      <c r="F89" s="537">
        <v>9.2113799999999999E-3</v>
      </c>
      <c r="G89" s="537">
        <v>1.6198899999999999E-2</v>
      </c>
      <c r="H89" s="537">
        <v>2.5795499999999999E-2</v>
      </c>
      <c r="I89" s="537">
        <v>2.7649119999999999E-2</v>
      </c>
      <c r="J89" s="537">
        <v>2.948771E-2</v>
      </c>
      <c r="K89" s="537">
        <v>3.126309E-2</v>
      </c>
      <c r="L89" s="537">
        <v>3.2805819999999999E-2</v>
      </c>
      <c r="M89" s="537">
        <v>3.4116489999999999E-2</v>
      </c>
      <c r="N89" s="537">
        <v>3.5130307E-2</v>
      </c>
      <c r="O89" s="537">
        <v>3.5823583999999999E-2</v>
      </c>
      <c r="P89" s="537">
        <v>3.6254265299999998E-2</v>
      </c>
      <c r="Q89" s="537">
        <v>3.6433659200000003E-2</v>
      </c>
      <c r="R89" s="537">
        <v>3.6383700499999998E-2</v>
      </c>
      <c r="S89" s="537">
        <v>3.6131608999999898E-2</v>
      </c>
      <c r="T89" s="537">
        <v>3.5720226000000001E-2</v>
      </c>
      <c r="U89" s="537">
        <v>3.5185635E-2</v>
      </c>
      <c r="V89" s="537">
        <v>3.4556648299999999E-2</v>
      </c>
      <c r="W89" s="537">
        <v>3.38546931E-2</v>
      </c>
      <c r="X89" s="537">
        <v>3.3097576699999999E-2</v>
      </c>
      <c r="Y89" s="537">
        <v>3.2300038199999999E-2</v>
      </c>
      <c r="Z89" s="549" t="s">
        <v>684</v>
      </c>
      <c r="AA89" s="537">
        <v>1</v>
      </c>
    </row>
    <row r="90" spans="1:27">
      <c r="A90" t="s">
        <v>3712</v>
      </c>
      <c r="B90" t="s">
        <v>142</v>
      </c>
      <c r="C90" t="s">
        <v>3740</v>
      </c>
      <c r="D90" t="s">
        <v>3751</v>
      </c>
      <c r="E90" s="546">
        <v>9.7343500000000001E-5</v>
      </c>
      <c r="F90">
        <v>1.1673499999999999E-3</v>
      </c>
      <c r="G90">
        <v>1.4574200000000001E-3</v>
      </c>
      <c r="H90">
        <v>1.82343E-3</v>
      </c>
      <c r="I90">
        <v>3.3384299999999999E-3</v>
      </c>
      <c r="J90">
        <v>5.5739500000000003E-3</v>
      </c>
      <c r="K90">
        <v>8.4177799999999997E-3</v>
      </c>
      <c r="L90">
        <v>1.15613E-2</v>
      </c>
      <c r="M90">
        <v>1.50505E-2</v>
      </c>
      <c r="N90">
        <v>1.8701700000000002E-2</v>
      </c>
      <c r="O90">
        <v>2.23112E-2</v>
      </c>
      <c r="P90">
        <v>2.5835500000000001E-2</v>
      </c>
      <c r="Q90">
        <v>2.9157800000000001E-2</v>
      </c>
      <c r="R90">
        <v>3.2151800000000001E-2</v>
      </c>
      <c r="S90">
        <v>3.4732100000000002E-2</v>
      </c>
      <c r="T90">
        <v>3.6960800000000002E-2</v>
      </c>
      <c r="U90">
        <v>3.8821000000000001E-2</v>
      </c>
      <c r="V90">
        <v>4.0342700000000002E-2</v>
      </c>
      <c r="W90">
        <v>4.15424E-2</v>
      </c>
      <c r="X90">
        <v>4.2437599999999999E-2</v>
      </c>
      <c r="Y90">
        <v>4.3075599999999999E-2</v>
      </c>
      <c r="Z90" s="49" t="s">
        <v>684</v>
      </c>
    </row>
    <row r="91" spans="1:27">
      <c r="A91" t="s">
        <v>3712</v>
      </c>
      <c r="B91" t="s">
        <v>142</v>
      </c>
      <c r="C91" t="s">
        <v>3740</v>
      </c>
      <c r="D91" t="s">
        <v>3752</v>
      </c>
      <c r="E91" s="546">
        <v>9.0432000000000004E-5</v>
      </c>
      <c r="F91">
        <v>1.02048E-3</v>
      </c>
      <c r="G91">
        <v>1.2238800000000001E-3</v>
      </c>
      <c r="H91">
        <v>1.53151E-3</v>
      </c>
      <c r="I91">
        <v>1.92019E-3</v>
      </c>
      <c r="J91">
        <v>2.4106000000000002E-3</v>
      </c>
      <c r="K91">
        <v>2.9708899999999999E-3</v>
      </c>
      <c r="L91">
        <v>3.5009500000000001E-3</v>
      </c>
      <c r="M91">
        <v>4.0242100000000003E-3</v>
      </c>
      <c r="N91">
        <v>4.5243899999999997E-3</v>
      </c>
      <c r="O91">
        <v>4.9732800000000001E-3</v>
      </c>
      <c r="P91">
        <v>5.3764499999999996E-3</v>
      </c>
      <c r="Q91">
        <v>5.7237299999999998E-3</v>
      </c>
      <c r="R91">
        <v>6.0052600000000001E-3</v>
      </c>
      <c r="S91">
        <v>6.2189000000000003E-3</v>
      </c>
      <c r="T91">
        <v>6.3794400000000001E-3</v>
      </c>
      <c r="U91">
        <v>6.4875799999999997E-3</v>
      </c>
      <c r="V91">
        <v>6.5522699999999998E-3</v>
      </c>
      <c r="W91">
        <v>6.5787500000000004E-3</v>
      </c>
      <c r="X91">
        <v>6.5711199999999997E-3</v>
      </c>
      <c r="Y91">
        <v>6.5376200000000001E-3</v>
      </c>
      <c r="Z91" s="49" t="s">
        <v>684</v>
      </c>
    </row>
    <row r="92" spans="1:27">
      <c r="A92" t="s">
        <v>3712</v>
      </c>
      <c r="B92" t="s">
        <v>142</v>
      </c>
      <c r="C92" t="s">
        <v>3740</v>
      </c>
      <c r="D92" t="s">
        <v>3753</v>
      </c>
      <c r="E92" s="546">
        <v>2.0347200000000001E-4</v>
      </c>
      <c r="F92">
        <v>2.2960699999999999E-3</v>
      </c>
      <c r="G92">
        <v>2.7537299999999998E-3</v>
      </c>
      <c r="H92">
        <v>3.4459E-3</v>
      </c>
      <c r="I92">
        <v>4.3204300000000001E-3</v>
      </c>
      <c r="J92">
        <v>5.4238400000000001E-3</v>
      </c>
      <c r="K92">
        <v>6.6844900000000004E-3</v>
      </c>
      <c r="L92">
        <v>7.8771399999999995E-3</v>
      </c>
      <c r="M92">
        <v>9.0544800000000002E-3</v>
      </c>
      <c r="N92">
        <v>1.01799E-2</v>
      </c>
      <c r="O92">
        <v>1.1189899999999999E-2</v>
      </c>
      <c r="P92">
        <v>1.2097E-2</v>
      </c>
      <c r="Q92">
        <v>1.28784E-2</v>
      </c>
      <c r="R92">
        <v>1.3511799999999999E-2</v>
      </c>
      <c r="S92">
        <v>1.39925E-2</v>
      </c>
      <c r="T92">
        <v>1.43537E-2</v>
      </c>
      <c r="U92">
        <v>1.4597000000000001E-2</v>
      </c>
      <c r="V92">
        <v>1.47426E-2</v>
      </c>
      <c r="W92">
        <v>1.48022E-2</v>
      </c>
      <c r="X92">
        <v>1.4785E-2</v>
      </c>
      <c r="Y92">
        <v>1.4709699999999999E-2</v>
      </c>
      <c r="Z92" s="49" t="s">
        <v>684</v>
      </c>
    </row>
    <row r="93" spans="1:27" s="537" customFormat="1">
      <c r="A93" s="537" t="s">
        <v>3712</v>
      </c>
      <c r="B93" s="537" t="s">
        <v>142</v>
      </c>
      <c r="C93" s="537" t="s">
        <v>3740</v>
      </c>
      <c r="D93" s="537" t="s">
        <v>3754</v>
      </c>
      <c r="E93" s="537">
        <v>4.4750800000000002E-3</v>
      </c>
      <c r="F93" s="537">
        <v>5.6867000000000003E-3</v>
      </c>
      <c r="G93" s="537">
        <v>5.3371199999999999E-3</v>
      </c>
      <c r="H93" s="537">
        <v>4.772147E-3</v>
      </c>
      <c r="I93" s="537">
        <v>6.5810907999999998E-3</v>
      </c>
      <c r="J93" s="537">
        <v>9.7181579090000001E-3</v>
      </c>
      <c r="K93" s="537">
        <v>1.3747561280000001E-2</v>
      </c>
      <c r="L93" s="537">
        <v>1.8163457973000001E-2</v>
      </c>
      <c r="M93" s="537">
        <v>2.3293717334999998E-2</v>
      </c>
      <c r="N93" s="537">
        <v>2.9198752410000001E-2</v>
      </c>
      <c r="O93" s="537">
        <v>3.5624744450000002E-2</v>
      </c>
      <c r="P93" s="537">
        <v>4.2003514720000003E-2</v>
      </c>
      <c r="Q93" s="537">
        <v>4.7569203070000003E-2</v>
      </c>
      <c r="R93" s="537">
        <v>5.1885165800000001E-2</v>
      </c>
      <c r="S93" s="537">
        <v>5.4553450929999997E-2</v>
      </c>
      <c r="T93" s="537">
        <v>5.5939472329999997E-2</v>
      </c>
      <c r="U93" s="537">
        <v>5.6545553899999997E-2</v>
      </c>
      <c r="V93" s="537">
        <v>5.6593485700000001E-2</v>
      </c>
      <c r="W93" s="537">
        <v>5.6409281499999998E-2</v>
      </c>
      <c r="X93" s="537">
        <v>5.6123629199999997E-2</v>
      </c>
      <c r="Y93" s="537">
        <v>5.5671167199999899E-2</v>
      </c>
      <c r="Z93" s="549" t="s">
        <v>684</v>
      </c>
      <c r="AA93" s="537">
        <v>1</v>
      </c>
    </row>
    <row r="94" spans="1:27">
      <c r="A94" t="s">
        <v>3712</v>
      </c>
      <c r="B94" t="s">
        <v>142</v>
      </c>
      <c r="C94" t="s">
        <v>3740</v>
      </c>
      <c r="D94" t="s">
        <v>3755</v>
      </c>
      <c r="E94">
        <v>4.79307E-3</v>
      </c>
      <c r="F94">
        <v>5.5454600000000003E-3</v>
      </c>
      <c r="G94">
        <v>6.0781000000000003E-3</v>
      </c>
      <c r="H94">
        <v>6.1124999999999999E-3</v>
      </c>
      <c r="I94">
        <v>6.7423600000000002E-3</v>
      </c>
      <c r="J94">
        <v>7.1858800000000004E-3</v>
      </c>
      <c r="K94">
        <v>7.5271399999999999E-3</v>
      </c>
      <c r="L94">
        <v>7.77934E-3</v>
      </c>
      <c r="M94">
        <v>8.0515699999999992E-3</v>
      </c>
      <c r="N94">
        <v>8.3295999999999995E-3</v>
      </c>
      <c r="O94">
        <v>8.5558000000000006E-3</v>
      </c>
      <c r="P94">
        <v>8.6428800000000004E-3</v>
      </c>
      <c r="Q94">
        <v>8.7179300000000005E-3</v>
      </c>
      <c r="R94">
        <v>8.7429900000000008E-3</v>
      </c>
      <c r="S94">
        <v>8.7178499999999992E-3</v>
      </c>
      <c r="T94">
        <v>8.6601000000000004E-3</v>
      </c>
      <c r="U94">
        <v>8.5836599999999999E-3</v>
      </c>
      <c r="V94">
        <v>8.4925799999999996E-3</v>
      </c>
      <c r="W94">
        <v>8.38735E-3</v>
      </c>
      <c r="X94">
        <v>8.2694799999999992E-3</v>
      </c>
      <c r="Y94">
        <v>8.1415700000000008E-3</v>
      </c>
      <c r="Z94" s="49" t="s">
        <v>684</v>
      </c>
    </row>
    <row r="95" spans="1:27">
      <c r="A95" t="s">
        <v>3712</v>
      </c>
      <c r="B95" t="s">
        <v>142</v>
      </c>
      <c r="C95" t="s">
        <v>3740</v>
      </c>
      <c r="D95" t="s">
        <v>3756</v>
      </c>
      <c r="E95">
        <v>0</v>
      </c>
      <c r="F95">
        <v>0</v>
      </c>
      <c r="G95">
        <v>0</v>
      </c>
      <c r="H95">
        <v>0</v>
      </c>
      <c r="I95">
        <v>0</v>
      </c>
      <c r="J95" s="546">
        <v>1.57813E-4</v>
      </c>
      <c r="K95" s="546">
        <v>6.2871999999999895E-4</v>
      </c>
      <c r="L95">
        <v>1.4076663E-3</v>
      </c>
      <c r="M95">
        <v>2.4017861E-3</v>
      </c>
      <c r="N95">
        <v>4.0094573999999899E-3</v>
      </c>
      <c r="O95">
        <v>6.0871429999999997E-3</v>
      </c>
      <c r="P95">
        <v>7.321269E-3</v>
      </c>
      <c r="Q95">
        <v>7.8021419999999998E-3</v>
      </c>
      <c r="R95">
        <v>7.8039069999999901E-3</v>
      </c>
      <c r="S95">
        <v>7.596406E-3</v>
      </c>
      <c r="T95">
        <v>7.3682230000000001E-3</v>
      </c>
      <c r="U95">
        <v>7.1182870000000001E-3</v>
      </c>
      <c r="V95">
        <v>6.8510229999999899E-3</v>
      </c>
      <c r="W95">
        <v>6.5730110000000001E-3</v>
      </c>
      <c r="X95">
        <v>6.292817E-3</v>
      </c>
      <c r="Y95">
        <v>6.025631E-3</v>
      </c>
      <c r="Z95" s="49" t="s">
        <v>684</v>
      </c>
    </row>
    <row r="96" spans="1:27" s="537" customFormat="1">
      <c r="A96" s="537" t="s">
        <v>3712</v>
      </c>
      <c r="B96" s="537" t="s">
        <v>142</v>
      </c>
      <c r="C96" s="537" t="s">
        <v>3740</v>
      </c>
      <c r="D96" s="537" t="s">
        <v>3757</v>
      </c>
      <c r="E96" s="537">
        <v>1.63079E-2</v>
      </c>
      <c r="F96" s="537">
        <v>9.4489199999999995E-2</v>
      </c>
      <c r="G96" s="537">
        <v>0.128053</v>
      </c>
      <c r="H96" s="537">
        <v>0.170519</v>
      </c>
      <c r="I96" s="537">
        <v>0.22720979999999999</v>
      </c>
      <c r="J96" s="537">
        <v>0.3195731</v>
      </c>
      <c r="K96" s="537">
        <v>0.44836559999999998</v>
      </c>
      <c r="L96" s="537">
        <v>0.59924789999999994</v>
      </c>
      <c r="M96" s="537">
        <v>0.76808399999999999</v>
      </c>
      <c r="N96" s="537">
        <v>0.93159145999999904</v>
      </c>
      <c r="O96" s="537">
        <v>1.0843014099999999</v>
      </c>
      <c r="P96" s="537">
        <v>1.232198116</v>
      </c>
      <c r="Q96" s="537">
        <v>1.37005876</v>
      </c>
      <c r="R96" s="537">
        <v>1.49353117</v>
      </c>
      <c r="S96" s="537">
        <v>1.59796052</v>
      </c>
      <c r="T96" s="537">
        <v>1.6875362199999999</v>
      </c>
      <c r="U96" s="537">
        <v>1.75856758</v>
      </c>
      <c r="V96" s="537">
        <v>1.8114204199999999</v>
      </c>
      <c r="W96" s="537">
        <v>1.8462470199999901</v>
      </c>
      <c r="X96" s="537">
        <v>1.8639123</v>
      </c>
      <c r="Y96" s="537">
        <v>1.8663712100000001</v>
      </c>
      <c r="Z96" s="549" t="s">
        <v>684</v>
      </c>
      <c r="AA96" s="537">
        <v>1</v>
      </c>
    </row>
    <row r="97" spans="1:27" s="537" customFormat="1">
      <c r="A97" s="537" t="s">
        <v>3712</v>
      </c>
      <c r="B97" s="537" t="s">
        <v>142</v>
      </c>
      <c r="C97" s="537" t="s">
        <v>3740</v>
      </c>
      <c r="D97" s="537" t="s">
        <v>3758</v>
      </c>
      <c r="E97" s="537">
        <v>0</v>
      </c>
      <c r="F97" s="537">
        <v>0</v>
      </c>
      <c r="G97" s="537">
        <v>0</v>
      </c>
      <c r="H97" s="537">
        <v>0</v>
      </c>
      <c r="I97" s="537">
        <v>0</v>
      </c>
      <c r="J97" s="1043">
        <v>3.0140249999999898E-5</v>
      </c>
      <c r="K97" s="1043">
        <v>1.4854555000000001E-4</v>
      </c>
      <c r="L97" s="1043">
        <v>5.2397660999999995E-4</v>
      </c>
      <c r="M97" s="537">
        <v>1.1096270659999999E-3</v>
      </c>
      <c r="N97" s="537">
        <v>1.571223887E-3</v>
      </c>
      <c r="O97" s="537">
        <v>1.9662104599999998E-3</v>
      </c>
      <c r="P97" s="537">
        <v>2.3672977000000002E-3</v>
      </c>
      <c r="Q97" s="537">
        <v>2.7574143969999998E-3</v>
      </c>
      <c r="R97" s="537">
        <v>3.0420542390000001E-3</v>
      </c>
      <c r="S97" s="537">
        <v>3.1583570599999999E-3</v>
      </c>
      <c r="T97" s="537">
        <v>3.1811620500000002E-3</v>
      </c>
      <c r="U97" s="537">
        <v>3.1865772299999998E-3</v>
      </c>
      <c r="V97" s="537">
        <v>3.1872828400000002E-3</v>
      </c>
      <c r="W97" s="537">
        <v>3.1540060599999902E-3</v>
      </c>
      <c r="X97" s="537">
        <v>3.0768111399999999E-3</v>
      </c>
      <c r="Y97" s="537">
        <v>2.9639404799999998E-3</v>
      </c>
      <c r="Z97" s="549" t="s">
        <v>684</v>
      </c>
      <c r="AA97" s="537">
        <v>1</v>
      </c>
    </row>
    <row r="98" spans="1:27" s="537" customFormat="1">
      <c r="A98" s="537" t="s">
        <v>3712</v>
      </c>
      <c r="B98" s="537" t="s">
        <v>142</v>
      </c>
      <c r="C98" s="537" t="s">
        <v>3740</v>
      </c>
      <c r="D98" s="537" t="s">
        <v>3759</v>
      </c>
      <c r="E98" s="537">
        <v>0</v>
      </c>
      <c r="F98" s="537">
        <v>0</v>
      </c>
      <c r="G98" s="537">
        <v>0</v>
      </c>
      <c r="H98" s="537">
        <v>0</v>
      </c>
      <c r="I98" s="537">
        <v>0</v>
      </c>
      <c r="J98" s="1043">
        <v>5.61796E-5</v>
      </c>
      <c r="K98" s="1043">
        <v>2.16624373999999E-4</v>
      </c>
      <c r="L98" s="1043">
        <v>4.3437514699999998E-4</v>
      </c>
      <c r="M98" s="1043">
        <v>5.7580102500000003E-4</v>
      </c>
      <c r="N98" s="1043">
        <v>6.012853516E-4</v>
      </c>
      <c r="O98" s="1043">
        <v>6.3656446439999995E-4</v>
      </c>
      <c r="P98" s="1043">
        <v>7.4960450129999995E-4</v>
      </c>
      <c r="Q98" s="1043">
        <v>8.8832730772000004E-4</v>
      </c>
      <c r="R98" s="1043">
        <v>9.905279668999999E-4</v>
      </c>
      <c r="S98" s="537">
        <v>1.0336346535999999E-3</v>
      </c>
      <c r="T98" s="537">
        <v>1.0643781666999899E-3</v>
      </c>
      <c r="U98" s="537">
        <v>1.0854375390000001E-3</v>
      </c>
      <c r="V98" s="537">
        <v>1.0950070683E-3</v>
      </c>
      <c r="W98" s="537">
        <v>1.0811514606E-3</v>
      </c>
      <c r="X98" s="537">
        <v>1.0509251353E-3</v>
      </c>
      <c r="Y98" s="537">
        <v>1.0175436245999901E-3</v>
      </c>
      <c r="Z98" s="549" t="s">
        <v>684</v>
      </c>
      <c r="AA98" s="537">
        <v>1</v>
      </c>
    </row>
    <row r="99" spans="1:27" s="537" customFormat="1">
      <c r="A99" s="537" t="s">
        <v>3712</v>
      </c>
      <c r="B99" s="537" t="s">
        <v>142</v>
      </c>
      <c r="C99" s="537" t="s">
        <v>3740</v>
      </c>
      <c r="D99" s="537" t="s">
        <v>3760</v>
      </c>
      <c r="E99" s="537">
        <v>0</v>
      </c>
      <c r="F99" s="537">
        <v>0</v>
      </c>
      <c r="G99" s="537">
        <v>0</v>
      </c>
      <c r="H99" s="537">
        <v>0</v>
      </c>
      <c r="I99" s="537">
        <v>2.2229699999999999E-3</v>
      </c>
      <c r="J99" s="537">
        <v>3.7039099999999999E-3</v>
      </c>
      <c r="K99" s="537">
        <v>5.0076799999999996E-3</v>
      </c>
      <c r="L99" s="537">
        <v>6.48344E-3</v>
      </c>
      <c r="M99" s="537">
        <v>8.7443999999999994E-3</v>
      </c>
      <c r="N99" s="537">
        <v>1.16704699999999E-2</v>
      </c>
      <c r="O99" s="537">
        <v>1.4727519999999999E-2</v>
      </c>
      <c r="P99" s="537">
        <v>1.7233834999999999E-2</v>
      </c>
      <c r="Q99" s="537">
        <v>1.9107753000000002E-2</v>
      </c>
      <c r="R99" s="537">
        <v>2.0581344200000001E-2</v>
      </c>
      <c r="S99" s="537">
        <v>2.15910084E-2</v>
      </c>
      <c r="T99" s="537">
        <v>2.24540900999999E-2</v>
      </c>
      <c r="U99" s="537">
        <v>2.3349848999999999E-2</v>
      </c>
      <c r="V99" s="537">
        <v>2.4206043E-2</v>
      </c>
      <c r="W99" s="537">
        <v>2.5039390999999901E-2</v>
      </c>
      <c r="X99" s="537">
        <v>2.5824526E-2</v>
      </c>
      <c r="Y99" s="537">
        <v>2.6632843999999999E-2</v>
      </c>
      <c r="Z99" s="549" t="s">
        <v>684</v>
      </c>
      <c r="AA99" s="537">
        <v>1</v>
      </c>
    </row>
    <row r="100" spans="1:27">
      <c r="A100" t="s">
        <v>3712</v>
      </c>
      <c r="B100" t="s">
        <v>142</v>
      </c>
      <c r="C100" t="s">
        <v>3761</v>
      </c>
      <c r="D100" t="s">
        <v>3762</v>
      </c>
      <c r="E100">
        <v>0</v>
      </c>
      <c r="F100">
        <v>0</v>
      </c>
      <c r="G100">
        <v>0</v>
      </c>
      <c r="H100">
        <v>0</v>
      </c>
      <c r="I100">
        <v>0</v>
      </c>
      <c r="J100" s="546">
        <v>6.7184229999999996E-4</v>
      </c>
      <c r="K100">
        <v>4.0932251100000002E-3</v>
      </c>
      <c r="L100">
        <v>1.253518874E-2</v>
      </c>
      <c r="M100">
        <v>2.3005556890000001E-2</v>
      </c>
      <c r="N100">
        <v>3.3843704500000002E-2</v>
      </c>
      <c r="O100">
        <v>4.3755019999999999E-2</v>
      </c>
      <c r="P100">
        <v>5.1661187999999997E-2</v>
      </c>
      <c r="Q100">
        <v>5.8447736E-2</v>
      </c>
      <c r="R100">
        <v>6.507346E-2</v>
      </c>
      <c r="S100">
        <v>7.1338390000000002E-2</v>
      </c>
      <c r="T100">
        <v>7.7359968000000001E-2</v>
      </c>
      <c r="U100">
        <v>8.2456506999999901E-2</v>
      </c>
      <c r="V100">
        <v>8.6606163999999999E-2</v>
      </c>
      <c r="W100">
        <v>9.0034582000000002E-2</v>
      </c>
      <c r="X100">
        <v>9.2912333999999999E-2</v>
      </c>
      <c r="Y100">
        <v>9.4975037999999998E-2</v>
      </c>
      <c r="Z100" s="49" t="s">
        <v>684</v>
      </c>
    </row>
    <row r="101" spans="1:27">
      <c r="A101" t="s">
        <v>3712</v>
      </c>
      <c r="B101" t="s">
        <v>142</v>
      </c>
      <c r="C101" t="s">
        <v>3761</v>
      </c>
      <c r="D101" t="s">
        <v>3763</v>
      </c>
      <c r="E101">
        <v>0</v>
      </c>
      <c r="F101">
        <v>0</v>
      </c>
      <c r="G101">
        <v>0</v>
      </c>
      <c r="H101">
        <v>0</v>
      </c>
      <c r="I101">
        <v>0</v>
      </c>
      <c r="J101">
        <v>0</v>
      </c>
      <c r="K101">
        <v>0</v>
      </c>
      <c r="L101" s="546">
        <v>4.8167499999999998E-8</v>
      </c>
      <c r="M101" s="546">
        <v>4.4779200000000002E-7</v>
      </c>
      <c r="N101" s="546">
        <v>3.9879100000000002E-6</v>
      </c>
      <c r="O101" s="546">
        <v>3.2333499999999998E-5</v>
      </c>
      <c r="P101" s="546">
        <v>6.7727799999999999E-5</v>
      </c>
      <c r="Q101" s="546">
        <v>1.2909600000000001E-4</v>
      </c>
      <c r="R101" s="546">
        <v>2.1776400000000001E-4</v>
      </c>
      <c r="S101" s="546">
        <v>3.1684900000000002E-4</v>
      </c>
      <c r="T101" s="546">
        <v>4.0939299999999997E-4</v>
      </c>
      <c r="U101" s="546">
        <v>4.77338E-4</v>
      </c>
      <c r="V101" s="546">
        <v>5.2309600000000002E-4</v>
      </c>
      <c r="W101" s="546">
        <v>5.5308199999999999E-4</v>
      </c>
      <c r="X101" s="546">
        <v>5.7278400000000001E-4</v>
      </c>
      <c r="Y101" s="546">
        <v>5.8776800000000001E-4</v>
      </c>
      <c r="Z101" s="49" t="s">
        <v>684</v>
      </c>
    </row>
    <row r="102" spans="1:27">
      <c r="A102" t="s">
        <v>3712</v>
      </c>
      <c r="B102" t="s">
        <v>142</v>
      </c>
      <c r="C102" t="s">
        <v>3761</v>
      </c>
      <c r="D102" t="s">
        <v>3764</v>
      </c>
      <c r="E102">
        <v>0</v>
      </c>
      <c r="F102">
        <v>0</v>
      </c>
      <c r="G102">
        <v>0</v>
      </c>
      <c r="H102">
        <v>0</v>
      </c>
      <c r="I102">
        <v>0</v>
      </c>
      <c r="J102" s="546">
        <v>1.45174E-4</v>
      </c>
      <c r="K102" s="546">
        <v>6.9497299999999999E-4</v>
      </c>
      <c r="L102">
        <v>1.596573E-3</v>
      </c>
      <c r="M102">
        <v>2.342069E-3</v>
      </c>
      <c r="N102">
        <v>3.3356919999999999E-3</v>
      </c>
      <c r="O102">
        <v>5.0376799999999897E-3</v>
      </c>
      <c r="P102">
        <v>7.4805399999999999E-3</v>
      </c>
      <c r="Q102">
        <v>9.7752599999999992E-3</v>
      </c>
      <c r="R102">
        <v>1.1599430000000001E-2</v>
      </c>
      <c r="S102">
        <v>1.286239E-2</v>
      </c>
      <c r="T102">
        <v>1.4014489999999999E-2</v>
      </c>
      <c r="U102">
        <v>1.468624E-2</v>
      </c>
      <c r="V102">
        <v>1.51582E-2</v>
      </c>
      <c r="W102">
        <v>1.551837E-2</v>
      </c>
      <c r="X102">
        <v>1.58224E-2</v>
      </c>
      <c r="Y102">
        <v>1.622734E-2</v>
      </c>
      <c r="Z102" s="49" t="s">
        <v>684</v>
      </c>
    </row>
    <row r="103" spans="1:27">
      <c r="A103" t="s">
        <v>3712</v>
      </c>
      <c r="B103" t="s">
        <v>142</v>
      </c>
      <c r="C103" t="s">
        <v>3761</v>
      </c>
      <c r="D103" t="s">
        <v>3765</v>
      </c>
      <c r="E103">
        <v>0</v>
      </c>
      <c r="F103">
        <v>0</v>
      </c>
      <c r="G103">
        <v>0</v>
      </c>
      <c r="H103">
        <v>0</v>
      </c>
      <c r="I103">
        <v>0</v>
      </c>
      <c r="J103" s="546">
        <v>3.9664443E-4</v>
      </c>
      <c r="K103">
        <v>4.6600911209999998E-3</v>
      </c>
      <c r="L103">
        <v>2.32166679139999E-2</v>
      </c>
      <c r="M103">
        <v>5.5888681607000001E-2</v>
      </c>
      <c r="N103">
        <v>0.1036618674</v>
      </c>
      <c r="O103">
        <v>0.170163862999999</v>
      </c>
      <c r="P103">
        <v>0.22058855999999999</v>
      </c>
      <c r="Q103">
        <v>0.25907411000000002</v>
      </c>
      <c r="R103">
        <v>0.29002006000000002</v>
      </c>
      <c r="S103">
        <v>0.31407418999999998</v>
      </c>
      <c r="T103">
        <v>0.33752177</v>
      </c>
      <c r="U103">
        <v>0.35870400000000002</v>
      </c>
      <c r="V103">
        <v>0.37731466000000002</v>
      </c>
      <c r="W103">
        <v>0.39364055999999997</v>
      </c>
      <c r="X103">
        <v>0.40821453000000002</v>
      </c>
      <c r="Y103">
        <v>0.41780891999999997</v>
      </c>
      <c r="Z103" s="49" t="s">
        <v>684</v>
      </c>
    </row>
    <row r="104" spans="1:27">
      <c r="A104" t="s">
        <v>3712</v>
      </c>
      <c r="B104" t="s">
        <v>142</v>
      </c>
      <c r="C104" t="s">
        <v>3761</v>
      </c>
      <c r="D104" t="s">
        <v>3766</v>
      </c>
      <c r="E104">
        <v>0</v>
      </c>
      <c r="F104">
        <v>0</v>
      </c>
      <c r="G104">
        <v>0</v>
      </c>
      <c r="H104">
        <v>0</v>
      </c>
      <c r="I104" s="546">
        <v>7.4245200000000005E-5</v>
      </c>
      <c r="J104" s="546">
        <v>2.1149E-4</v>
      </c>
      <c r="K104" s="546">
        <v>4.5131099999999998E-4</v>
      </c>
      <c r="L104" s="546">
        <v>8.6083799999999995E-4</v>
      </c>
      <c r="M104">
        <v>1.577412E-3</v>
      </c>
      <c r="N104">
        <v>2.794599E-3</v>
      </c>
      <c r="O104">
        <v>4.8748699999999999E-3</v>
      </c>
      <c r="P104">
        <v>7.5969100000000001E-3</v>
      </c>
      <c r="Q104">
        <v>1.1419820000000001E-2</v>
      </c>
      <c r="R104">
        <v>1.6149150000000001E-2</v>
      </c>
      <c r="S104">
        <v>2.11516699999999E-2</v>
      </c>
      <c r="T104">
        <v>2.6003600000000002E-2</v>
      </c>
      <c r="U104">
        <v>3.0349600000000001E-2</v>
      </c>
      <c r="V104">
        <v>3.43001E-2</v>
      </c>
      <c r="W104">
        <v>3.7961799999999997E-2</v>
      </c>
      <c r="X104">
        <v>4.1407800000000002E-2</v>
      </c>
      <c r="Y104">
        <v>4.4693700000000003E-2</v>
      </c>
      <c r="Z104" s="49" t="s">
        <v>684</v>
      </c>
    </row>
    <row r="105" spans="1:27">
      <c r="A105" t="s">
        <v>3712</v>
      </c>
      <c r="B105" t="s">
        <v>142</v>
      </c>
      <c r="C105" t="s">
        <v>3761</v>
      </c>
      <c r="D105" t="s">
        <v>3767</v>
      </c>
      <c r="E105">
        <v>0</v>
      </c>
      <c r="F105">
        <v>0</v>
      </c>
      <c r="G105">
        <v>0</v>
      </c>
      <c r="H105">
        <v>0</v>
      </c>
      <c r="I105">
        <v>0</v>
      </c>
      <c r="J105" s="546">
        <v>7.5815799999999999E-4</v>
      </c>
      <c r="K105">
        <v>3.54558E-3</v>
      </c>
      <c r="L105">
        <v>1.0155600000000001E-2</v>
      </c>
      <c r="M105">
        <v>1.5796500000000002E-2</v>
      </c>
      <c r="N105">
        <v>1.85379E-2</v>
      </c>
      <c r="O105">
        <v>1.9839699999999998E-2</v>
      </c>
      <c r="P105">
        <v>2.00532E-2</v>
      </c>
      <c r="Q105">
        <v>2.0205299999999999E-2</v>
      </c>
      <c r="R105">
        <v>2.00539E-2</v>
      </c>
      <c r="S105">
        <v>1.9324399999999999E-2</v>
      </c>
      <c r="T105">
        <v>1.8516000000000001E-2</v>
      </c>
      <c r="U105">
        <v>1.76569E-2</v>
      </c>
      <c r="V105">
        <v>1.67764E-2</v>
      </c>
      <c r="W105">
        <v>1.59007E-2</v>
      </c>
      <c r="X105">
        <v>1.50467E-2</v>
      </c>
      <c r="Y105">
        <v>1.42338E-2</v>
      </c>
      <c r="Z105" s="49" t="s">
        <v>684</v>
      </c>
    </row>
    <row r="106" spans="1:27">
      <c r="A106" t="s">
        <v>3712</v>
      </c>
      <c r="B106" t="s">
        <v>142</v>
      </c>
      <c r="C106" t="s">
        <v>3761</v>
      </c>
      <c r="D106" t="s">
        <v>3768</v>
      </c>
      <c r="E106">
        <v>0</v>
      </c>
      <c r="F106">
        <v>0</v>
      </c>
      <c r="G106">
        <v>0</v>
      </c>
      <c r="H106">
        <v>0</v>
      </c>
      <c r="I106">
        <v>0</v>
      </c>
      <c r="J106">
        <v>4.6502000000000002E-3</v>
      </c>
      <c r="K106">
        <v>8.7101499999999998E-3</v>
      </c>
      <c r="L106">
        <v>8.5033899999999996E-3</v>
      </c>
      <c r="M106">
        <v>8.6220800000000007E-3</v>
      </c>
      <c r="N106">
        <v>8.4057000000000003E-3</v>
      </c>
      <c r="O106">
        <v>8.2484499999999992E-3</v>
      </c>
      <c r="P106">
        <v>8.1967199999999994E-3</v>
      </c>
      <c r="Q106">
        <v>8.2556999999999995E-3</v>
      </c>
      <c r="R106">
        <v>8.2881499999999993E-3</v>
      </c>
      <c r="S106">
        <v>8.5241699999999993E-3</v>
      </c>
      <c r="T106">
        <v>8.6190199999999998E-3</v>
      </c>
      <c r="U106">
        <v>8.7468000000000008E-3</v>
      </c>
      <c r="V106">
        <v>8.6833299999999995E-3</v>
      </c>
      <c r="W106">
        <v>8.7187800000000006E-3</v>
      </c>
      <c r="X106">
        <v>8.6327899999999996E-3</v>
      </c>
      <c r="Y106">
        <v>7.9369599999999998E-3</v>
      </c>
      <c r="Z106" s="49" t="s">
        <v>684</v>
      </c>
    </row>
    <row r="107" spans="1:27">
      <c r="A107" t="s">
        <v>3712</v>
      </c>
      <c r="B107" t="s">
        <v>142</v>
      </c>
      <c r="C107" t="s">
        <v>3761</v>
      </c>
      <c r="D107" t="s">
        <v>3769</v>
      </c>
      <c r="E107">
        <v>0</v>
      </c>
      <c r="F107">
        <v>0</v>
      </c>
      <c r="G107">
        <v>0</v>
      </c>
      <c r="H107">
        <v>0</v>
      </c>
      <c r="I107">
        <v>0</v>
      </c>
      <c r="J107">
        <v>2.7430789999999998E-3</v>
      </c>
      <c r="K107">
        <v>1.7825047E-2</v>
      </c>
      <c r="L107">
        <v>3.2014716999999998E-2</v>
      </c>
      <c r="M107">
        <v>4.3392931000000003E-2</v>
      </c>
      <c r="N107">
        <v>4.9885406600000001E-2</v>
      </c>
      <c r="O107">
        <v>5.3359158999999899E-2</v>
      </c>
      <c r="P107">
        <v>5.6466886000000001E-2</v>
      </c>
      <c r="Q107">
        <v>5.8686658999999898E-2</v>
      </c>
      <c r="R107">
        <v>6.07516239999999E-2</v>
      </c>
      <c r="S107">
        <v>6.3248558999999996E-2</v>
      </c>
      <c r="T107">
        <v>6.5166767E-2</v>
      </c>
      <c r="U107">
        <v>6.6364688000000005E-2</v>
      </c>
      <c r="V107">
        <v>6.6811799000000005E-2</v>
      </c>
      <c r="W107">
        <v>6.6567435999999994E-2</v>
      </c>
      <c r="X107">
        <v>6.5760754000000005E-2</v>
      </c>
      <c r="Y107">
        <v>6.4791273999999996E-2</v>
      </c>
      <c r="Z107" s="49" t="s">
        <v>684</v>
      </c>
    </row>
    <row r="108" spans="1:27">
      <c r="A108" t="s">
        <v>3712</v>
      </c>
      <c r="B108" t="s">
        <v>142</v>
      </c>
      <c r="C108" t="s">
        <v>3761</v>
      </c>
      <c r="D108" t="s">
        <v>3770</v>
      </c>
      <c r="E108">
        <v>0</v>
      </c>
      <c r="F108">
        <v>0</v>
      </c>
      <c r="G108">
        <v>0</v>
      </c>
      <c r="H108">
        <v>0</v>
      </c>
      <c r="I108">
        <v>0</v>
      </c>
      <c r="J108">
        <v>0</v>
      </c>
      <c r="K108">
        <v>0</v>
      </c>
      <c r="L108" s="546">
        <v>7.3118700000000005E-7</v>
      </c>
      <c r="M108" s="546">
        <v>2.2317799999999998E-6</v>
      </c>
      <c r="N108" s="546">
        <v>7.2148400000000002E-6</v>
      </c>
      <c r="O108" s="546">
        <v>1.9397000000000001E-5</v>
      </c>
      <c r="P108" s="546">
        <v>3.5992299999999998E-5</v>
      </c>
      <c r="Q108" s="546">
        <v>5.0754699999999997E-5</v>
      </c>
      <c r="R108" s="546">
        <v>6.1181500000000004E-5</v>
      </c>
      <c r="S108" s="546">
        <v>6.7071100000000002E-5</v>
      </c>
      <c r="T108" s="546">
        <v>7.1956E-5</v>
      </c>
      <c r="U108" s="546">
        <v>7.3530399999999997E-5</v>
      </c>
      <c r="V108" s="546">
        <v>7.3885099999999995E-5</v>
      </c>
      <c r="W108" s="546">
        <v>7.3694099999999996E-5</v>
      </c>
      <c r="X108" s="546">
        <v>7.3389199999999999E-5</v>
      </c>
      <c r="Y108" s="546">
        <v>7.3010999999999996E-5</v>
      </c>
      <c r="Z108" s="49" t="s">
        <v>684</v>
      </c>
    </row>
    <row r="110" spans="1:27">
      <c r="I110" s="23">
        <v>2020</v>
      </c>
      <c r="J110" s="23">
        <v>2025</v>
      </c>
      <c r="K110" s="23">
        <v>2030</v>
      </c>
      <c r="L110" s="23">
        <v>2035</v>
      </c>
      <c r="M110" s="23">
        <v>2040</v>
      </c>
      <c r="N110" s="23">
        <v>2045</v>
      </c>
      <c r="O110" s="23">
        <v>2050</v>
      </c>
    </row>
    <row r="111" spans="1:27">
      <c r="A111" t="s">
        <v>3771</v>
      </c>
      <c r="I111" s="501">
        <f>SUM(I54:I108)</f>
        <v>0.99576688857499984</v>
      </c>
      <c r="J111" s="501">
        <f t="shared" ref="J111:O111" si="3">SUM(J54:J108)</f>
        <v>1.3931630595176372</v>
      </c>
      <c r="K111" s="501">
        <f t="shared" si="3"/>
        <v>1.9600161736493407</v>
      </c>
      <c r="L111" s="501">
        <f t="shared" si="3"/>
        <v>2.5780148720424578</v>
      </c>
      <c r="M111" s="501">
        <f t="shared" si="3"/>
        <v>3.2525077070712256</v>
      </c>
      <c r="N111" s="501">
        <f t="shared" si="3"/>
        <v>3.9513015942996157</v>
      </c>
      <c r="O111" s="501">
        <f t="shared" si="3"/>
        <v>4.6326935790222423</v>
      </c>
    </row>
    <row r="112" spans="1:27">
      <c r="A112" t="s">
        <v>3772</v>
      </c>
      <c r="I112" s="27">
        <f>I111*'Unit Conversions'!$E$15</f>
        <v>276.60213477458632</v>
      </c>
      <c r="J112" s="27">
        <f>J111*'Unit Conversions'!$E$15</f>
        <v>386.99004834669023</v>
      </c>
      <c r="K112" s="27">
        <f>K111*'Unit Conversions'!$E$15</f>
        <v>544.44937268396654</v>
      </c>
      <c r="L112" s="27">
        <f>L111*'Unit Conversions'!$E$15</f>
        <v>716.1158151262099</v>
      </c>
      <c r="M112" s="27">
        <f>M111*'Unit Conversions'!$E$15</f>
        <v>903.47508585483092</v>
      </c>
      <c r="N112" s="27">
        <f>N111*'Unit Conversions'!$E$15</f>
        <v>1097.5846542613588</v>
      </c>
      <c r="O112" s="27">
        <f>O111*'Unit Conversions'!$E$15</f>
        <v>1286.8603569936406</v>
      </c>
    </row>
    <row r="114" spans="1:15">
      <c r="A114" t="s">
        <v>3773</v>
      </c>
      <c r="I114" s="501">
        <f>SUMPRODUCT(I$54:I$108,$AA$54:$AA$108)</f>
        <v>0.29591068079999999</v>
      </c>
      <c r="J114" s="501">
        <f t="shared" ref="J114:O114" si="4">SUMPRODUCT(J$54:J$108,$AA$54:$AA$108)</f>
        <v>0.40539042775899997</v>
      </c>
      <c r="K114" s="501">
        <f t="shared" si="4"/>
        <v>0.55193758535399995</v>
      </c>
      <c r="L114" s="501">
        <f t="shared" si="4"/>
        <v>0.72126152216999995</v>
      </c>
      <c r="M114" s="501">
        <f t="shared" si="4"/>
        <v>0.90967421293600004</v>
      </c>
      <c r="N114" s="501">
        <f t="shared" si="4"/>
        <v>1.0916522729485989</v>
      </c>
      <c r="O114" s="501">
        <f t="shared" si="4"/>
        <v>1.2615676338744</v>
      </c>
    </row>
    <row r="115" spans="1:15">
      <c r="A115" t="s">
        <v>3772</v>
      </c>
      <c r="I115" s="27">
        <f>I114*'Unit Conversions'!$E$15</f>
        <v>82.1974770912624</v>
      </c>
      <c r="J115" s="27">
        <f>J114*'Unit Conversions'!$E$15</f>
        <v>112.6085422420395</v>
      </c>
      <c r="K115" s="27">
        <f>K114*'Unit Conversions'!$E$15</f>
        <v>153.3161185844634</v>
      </c>
      <c r="L115" s="27">
        <f>L114*'Unit Conversions'!$E$15</f>
        <v>200.35058310533827</v>
      </c>
      <c r="M115" s="27">
        <f>M114*'Unit Conversions'!$E$15</f>
        <v>252.68748352093624</v>
      </c>
      <c r="N115" s="27">
        <f>N114*'Unit Conversions'!$E$15</f>
        <v>303.23698507511591</v>
      </c>
      <c r="O115" s="27">
        <f>O114*'Unit Conversions'!$E$15</f>
        <v>350.43573420236311</v>
      </c>
    </row>
    <row r="117" spans="1:15">
      <c r="A117" s="30" t="s">
        <v>164</v>
      </c>
      <c r="B117" s="30" t="s">
        <v>3774</v>
      </c>
      <c r="C117" s="30" t="s">
        <v>3775</v>
      </c>
    </row>
    <row r="118" spans="1:15">
      <c r="A118">
        <v>2022</v>
      </c>
      <c r="B118" s="793" cm="1">
        <f t="array" ref="B118">TREND(I112:J112,I110:J110,A118)</f>
        <v>320.75730020342598</v>
      </c>
      <c r="C118" s="793" cm="1">
        <f t="array" ref="C118">TREND(I115:J115,I110:J110,A118)</f>
        <v>94.361903151571823</v>
      </c>
    </row>
    <row r="119" spans="1:15">
      <c r="A119">
        <v>2025</v>
      </c>
      <c r="B119" s="793">
        <f t="array" ref="B119:B124">TRANSPOSE(J112:O112)</f>
        <v>386.99004834669023</v>
      </c>
      <c r="C119" s="793">
        <f t="array" ref="C119:C124">TRANSPOSE(J115:O115)</f>
        <v>112.6085422420395</v>
      </c>
    </row>
    <row r="120" spans="1:15">
      <c r="A120">
        <v>2030</v>
      </c>
      <c r="B120" s="793">
        <v>544.44937268396654</v>
      </c>
      <c r="C120" s="793">
        <v>153.3161185844634</v>
      </c>
    </row>
    <row r="121" spans="1:15">
      <c r="A121">
        <v>2035</v>
      </c>
      <c r="B121" s="793">
        <v>716.1158151262099</v>
      </c>
      <c r="C121" s="793">
        <v>200.35058310533827</v>
      </c>
    </row>
    <row r="122" spans="1:15">
      <c r="A122">
        <v>2040</v>
      </c>
      <c r="B122" s="793">
        <v>903.47508585483092</v>
      </c>
      <c r="C122" s="793">
        <v>252.68748352093624</v>
      </c>
    </row>
    <row r="123" spans="1:15">
      <c r="A123">
        <v>2045</v>
      </c>
      <c r="B123" s="793">
        <v>1097.5846542613588</v>
      </c>
      <c r="C123" s="793">
        <v>303.23698507511591</v>
      </c>
    </row>
    <row r="124" spans="1:15">
      <c r="A124">
        <v>2050</v>
      </c>
      <c r="B124" s="793">
        <v>1286.8603569936406</v>
      </c>
      <c r="C124" s="793">
        <v>350.43573420236311</v>
      </c>
    </row>
  </sheetData>
  <hyperlinks>
    <hyperlink ref="A50" r:id="rId1" xr:uid="{5368B6D8-6CAA-4A68-A038-8DB06BCFF6E4}"/>
  </hyperlinks>
  <pageMargins left="0.7" right="0.7" top="0.75" bottom="0.75" header="0.3" footer="0.3"/>
  <headerFooter>
    <oddFooter>&amp;R_x000D_&amp;1#&amp;"Aptos"&amp;10&amp;K000000 Official Use Only</oddFooter>
  </headerFooter>
  <ignoredErrors>
    <ignoredError sqref="I111:O111 B118:C118 B9:C9"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A802-54BD-4369-B4CA-10FAB58257A5}">
  <dimension ref="A1:F52"/>
  <sheetViews>
    <sheetView zoomScale="130" zoomScaleNormal="130" workbookViewId="0">
      <selection activeCell="A29" sqref="A29"/>
    </sheetView>
  </sheetViews>
  <sheetFormatPr defaultRowHeight="15"/>
  <cols>
    <col min="1" max="1" width="34.28515625" customWidth="1"/>
    <col min="2" max="2" width="16.140625" customWidth="1"/>
    <col min="3" max="3" width="19.140625" customWidth="1"/>
    <col min="4" max="9" width="16.140625" customWidth="1"/>
  </cols>
  <sheetData>
    <row r="1" spans="1:5">
      <c r="A1" s="535" t="s">
        <v>3776</v>
      </c>
      <c r="B1" s="536"/>
      <c r="C1" s="536"/>
      <c r="D1" s="536"/>
      <c r="E1" s="536"/>
    </row>
    <row r="2" spans="1:5">
      <c r="A2" s="538" t="s">
        <v>3777</v>
      </c>
    </row>
    <row r="4" spans="1:5">
      <c r="A4" s="58" t="s">
        <v>3778</v>
      </c>
      <c r="D4" s="794"/>
      <c r="E4" s="794"/>
    </row>
    <row r="5" spans="1:5">
      <c r="B5" s="30" t="s">
        <v>3779</v>
      </c>
      <c r="C5" s="1057" t="s">
        <v>3780</v>
      </c>
      <c r="D5" s="794"/>
    </row>
    <row r="6" spans="1:5">
      <c r="A6" t="s">
        <v>3781</v>
      </c>
      <c r="B6" s="959">
        <v>95054</v>
      </c>
      <c r="C6" s="794">
        <f>B6/($B$16-$B$10)</f>
        <v>0.35862396812700903</v>
      </c>
      <c r="D6" s="794"/>
    </row>
    <row r="7" spans="1:5">
      <c r="A7" t="s">
        <v>3782</v>
      </c>
      <c r="B7" s="959">
        <v>104921</v>
      </c>
      <c r="C7" s="794">
        <f>B7/($B$16-$B$10)</f>
        <v>0.39585062553763034</v>
      </c>
      <c r="D7" s="794"/>
    </row>
    <row r="8" spans="1:5">
      <c r="A8" t="s">
        <v>3783</v>
      </c>
      <c r="B8" s="959">
        <v>29563</v>
      </c>
      <c r="C8" s="794">
        <f>B8/($B$16-$B$10)</f>
        <v>0.11153660413805593</v>
      </c>
      <c r="D8" s="794"/>
    </row>
    <row r="9" spans="1:5">
      <c r="A9" t="s">
        <v>3784</v>
      </c>
      <c r="B9">
        <v>56</v>
      </c>
      <c r="C9" s="794">
        <f>B9/($B$16-$B$10)</f>
        <v>2.1127929613811629E-4</v>
      </c>
      <c r="D9" s="794"/>
    </row>
    <row r="10" spans="1:5">
      <c r="A10" s="537" t="s">
        <v>3785</v>
      </c>
      <c r="B10" s="1084">
        <v>3390</v>
      </c>
      <c r="C10" s="794"/>
      <c r="D10" s="794"/>
    </row>
    <row r="11" spans="1:5">
      <c r="A11" s="25" t="s">
        <v>3786</v>
      </c>
      <c r="B11" s="1058">
        <v>34757</v>
      </c>
      <c r="C11" s="794"/>
      <c r="D11" s="794"/>
    </row>
    <row r="12" spans="1:5">
      <c r="A12" s="948" t="s">
        <v>3787</v>
      </c>
      <c r="B12" s="959">
        <v>8852</v>
      </c>
      <c r="C12" s="794">
        <f>B12/($B$16-$B$10)</f>
        <v>3.3397220168117955E-2</v>
      </c>
      <c r="D12" s="794"/>
    </row>
    <row r="13" spans="1:5">
      <c r="A13" s="948" t="s">
        <v>3788</v>
      </c>
      <c r="B13" s="959">
        <v>25526</v>
      </c>
      <c r="C13" s="794">
        <f>B13/($B$16-$B$10)</f>
        <v>9.6305630593242084E-2</v>
      </c>
      <c r="D13" s="794"/>
    </row>
    <row r="14" spans="1:5">
      <c r="A14" s="948" t="s">
        <v>1242</v>
      </c>
      <c r="B14">
        <v>379</v>
      </c>
      <c r="C14" s="794">
        <f>B14/($B$16-$B$10)</f>
        <v>1.4299080935061799E-3</v>
      </c>
      <c r="D14" s="46"/>
    </row>
    <row r="15" spans="1:5">
      <c r="A15" t="s">
        <v>3789</v>
      </c>
      <c r="B15">
        <v>701</v>
      </c>
      <c r="C15" s="794">
        <f>B15/($B$16-$B$10)</f>
        <v>2.6447640463003485E-3</v>
      </c>
      <c r="D15" t="s">
        <v>3790</v>
      </c>
    </row>
    <row r="16" spans="1:5">
      <c r="A16" s="52" t="s">
        <v>3791</v>
      </c>
      <c r="B16" s="1059">
        <v>268442</v>
      </c>
    </row>
    <row r="18" spans="1:6">
      <c r="A18" s="23" t="s">
        <v>3792</v>
      </c>
    </row>
    <row r="20" spans="1:6">
      <c r="A20" t="s">
        <v>40</v>
      </c>
      <c r="B20" s="1060">
        <f>C7</f>
        <v>0.39585062553763034</v>
      </c>
    </row>
    <row r="21" spans="1:6">
      <c r="A21" t="s">
        <v>43</v>
      </c>
      <c r="B21" s="1060">
        <f>C9</f>
        <v>2.1127929613811629E-4</v>
      </c>
    </row>
    <row r="22" spans="1:6">
      <c r="A22" t="s">
        <v>365</v>
      </c>
      <c r="B22" s="1060">
        <f>C8</f>
        <v>0.11153660413805593</v>
      </c>
    </row>
    <row r="23" spans="1:6">
      <c r="A23" t="s">
        <v>366</v>
      </c>
      <c r="B23" s="1061">
        <v>0</v>
      </c>
    </row>
    <row r="24" spans="1:6">
      <c r="A24" t="s">
        <v>367</v>
      </c>
      <c r="B24" s="1060">
        <f>C6</f>
        <v>0.35862396812700903</v>
      </c>
    </row>
    <row r="25" spans="1:6">
      <c r="A25" t="s">
        <v>90</v>
      </c>
      <c r="B25" s="1060">
        <f>C14</f>
        <v>1.4299080935061799E-3</v>
      </c>
    </row>
    <row r="26" spans="1:6">
      <c r="A26" t="s">
        <v>368</v>
      </c>
      <c r="B26" s="1060">
        <f>C12</f>
        <v>3.3397220168117955E-2</v>
      </c>
    </row>
    <row r="27" spans="1:6">
      <c r="A27" t="s">
        <v>369</v>
      </c>
      <c r="B27" s="1060">
        <f>C13</f>
        <v>9.6305630593242084E-2</v>
      </c>
    </row>
    <row r="28" spans="1:6">
      <c r="A28" t="s">
        <v>370</v>
      </c>
      <c r="B28" s="1060">
        <f>C15</f>
        <v>2.6447640463003485E-3</v>
      </c>
      <c r="C28" t="s">
        <v>3793</v>
      </c>
    </row>
    <row r="30" spans="1:6">
      <c r="A30" s="535" t="s">
        <v>3794</v>
      </c>
      <c r="B30" s="536"/>
      <c r="C30" s="536"/>
      <c r="D30" s="536"/>
      <c r="E30" s="536"/>
      <c r="F30" s="536"/>
    </row>
    <row r="31" spans="1:6">
      <c r="A31" s="538" t="s">
        <v>3566</v>
      </c>
    </row>
    <row r="32" spans="1:6">
      <c r="A32" t="s">
        <v>957</v>
      </c>
    </row>
    <row r="34" spans="1:6" ht="30">
      <c r="A34" s="23" t="s">
        <v>1289</v>
      </c>
      <c r="B34" s="101" t="s">
        <v>164</v>
      </c>
      <c r="C34" s="101" t="s">
        <v>3795</v>
      </c>
      <c r="D34" s="101" t="s">
        <v>3796</v>
      </c>
      <c r="E34" s="101" t="s">
        <v>3797</v>
      </c>
      <c r="F34" s="23" t="s">
        <v>116</v>
      </c>
    </row>
    <row r="35" spans="1:6">
      <c r="A35" t="s">
        <v>3798</v>
      </c>
      <c r="B35">
        <v>2022</v>
      </c>
      <c r="C35" s="974">
        <v>250</v>
      </c>
      <c r="D35" s="61">
        <v>0.54</v>
      </c>
      <c r="E35" s="793">
        <f>C35*D35</f>
        <v>135</v>
      </c>
      <c r="F35" t="s">
        <v>373</v>
      </c>
    </row>
    <row r="36" spans="1:6">
      <c r="A36" t="s">
        <v>3798</v>
      </c>
      <c r="B36">
        <v>2025</v>
      </c>
      <c r="C36" s="974">
        <v>300</v>
      </c>
      <c r="D36" s="61">
        <f>$D$35+($D$41-$D$35)*(B36-$B$35)/($B$41-$B$35)</f>
        <v>0.54749999999999999</v>
      </c>
      <c r="E36" s="793">
        <f t="shared" ref="E36:E41" si="0">C36*D36</f>
        <v>164.25</v>
      </c>
      <c r="F36" t="s">
        <v>373</v>
      </c>
    </row>
    <row r="37" spans="1:6">
      <c r="A37" t="s">
        <v>3798</v>
      </c>
      <c r="B37">
        <v>2030</v>
      </c>
      <c r="C37" s="974">
        <v>410</v>
      </c>
      <c r="D37" s="61">
        <f>$D$35+($D$41-$D$35)*(B37-$B$35)/($B$41-$B$35)</f>
        <v>0.56000000000000005</v>
      </c>
      <c r="E37" s="793">
        <f t="shared" si="0"/>
        <v>229.60000000000002</v>
      </c>
      <c r="F37" t="s">
        <v>373</v>
      </c>
    </row>
    <row r="38" spans="1:6">
      <c r="A38" t="s">
        <v>3798</v>
      </c>
      <c r="B38">
        <v>2035</v>
      </c>
      <c r="C38" s="974">
        <v>550</v>
      </c>
      <c r="D38" s="61">
        <f>$D$35+($D$41-$D$35)*(B38-$B$35)/($B$41-$B$35)</f>
        <v>0.57250000000000001</v>
      </c>
      <c r="E38" s="793">
        <f t="shared" si="0"/>
        <v>314.875</v>
      </c>
      <c r="F38" t="s">
        <v>373</v>
      </c>
    </row>
    <row r="39" spans="1:6">
      <c r="A39" t="s">
        <v>3798</v>
      </c>
      <c r="B39">
        <v>2040</v>
      </c>
      <c r="C39" s="974">
        <v>725</v>
      </c>
      <c r="D39" s="61">
        <f>$D$35+($D$41-$D$35)*(B39-$B$35)/($B$41-$B$35)</f>
        <v>0.58499999999999996</v>
      </c>
      <c r="E39" s="793">
        <f t="shared" si="0"/>
        <v>424.125</v>
      </c>
      <c r="F39" t="s">
        <v>373</v>
      </c>
    </row>
    <row r="40" spans="1:6">
      <c r="A40" t="s">
        <v>3798</v>
      </c>
      <c r="B40">
        <v>2045</v>
      </c>
      <c r="C40" s="974">
        <v>910</v>
      </c>
      <c r="D40" s="61">
        <f>$D$35+($D$41-$D$35)*(B40-$B$35)/($B$41-$B$35)</f>
        <v>0.59750000000000003</v>
      </c>
      <c r="E40" s="793">
        <f t="shared" si="0"/>
        <v>543.72500000000002</v>
      </c>
      <c r="F40" t="s">
        <v>373</v>
      </c>
    </row>
    <row r="41" spans="1:6">
      <c r="A41" t="s">
        <v>3798</v>
      </c>
      <c r="B41">
        <v>2050</v>
      </c>
      <c r="C41" s="974">
        <v>1127</v>
      </c>
      <c r="D41" s="61">
        <v>0.61</v>
      </c>
      <c r="E41" s="793">
        <f t="shared" si="0"/>
        <v>687.47</v>
      </c>
      <c r="F41" t="s">
        <v>373</v>
      </c>
    </row>
    <row r="44" spans="1:6">
      <c r="A44" s="535" t="s">
        <v>3799</v>
      </c>
      <c r="B44" s="536"/>
      <c r="C44" s="536"/>
      <c r="D44" s="536"/>
      <c r="E44" s="536"/>
    </row>
    <row r="45" spans="1:6">
      <c r="A45" s="538" t="s">
        <v>3800</v>
      </c>
    </row>
    <row r="47" spans="1:6" s="33" customFormat="1" ht="30">
      <c r="B47" s="101" t="s">
        <v>3801</v>
      </c>
      <c r="C47" s="101" t="s">
        <v>3802</v>
      </c>
      <c r="D47" s="101" t="s">
        <v>3803</v>
      </c>
      <c r="E47" s="101" t="s">
        <v>3804</v>
      </c>
      <c r="F47" s="101" t="s">
        <v>3805</v>
      </c>
    </row>
    <row r="48" spans="1:6">
      <c r="A48" t="s">
        <v>3782</v>
      </c>
      <c r="B48">
        <v>86707337.290000007</v>
      </c>
      <c r="C48">
        <v>93543574.489999995</v>
      </c>
      <c r="D48" s="791">
        <f>B48*'Unit Conversions'!$E$6*10^3</f>
        <v>312.13774355690435</v>
      </c>
      <c r="E48" s="501">
        <f>C48/10^6</f>
        <v>93.543574489999997</v>
      </c>
      <c r="F48" s="824">
        <f>E48/D48</f>
        <v>0.29968684153362091</v>
      </c>
    </row>
    <row r="49" spans="1:6">
      <c r="A49" t="s">
        <v>3806</v>
      </c>
      <c r="B49">
        <v>28656965.510000002</v>
      </c>
      <c r="C49">
        <v>10174471.59</v>
      </c>
      <c r="D49" s="791">
        <f>B49*'Unit Conversions'!$E$6*10^3</f>
        <v>103.16221015486143</v>
      </c>
      <c r="E49" s="501">
        <f t="shared" ref="E49:E52" si="1">C49/10^6</f>
        <v>10.17447159</v>
      </c>
      <c r="F49" s="824">
        <f t="shared" ref="F49:F52" si="2">E49/D49</f>
        <v>9.8625955906980312E-2</v>
      </c>
    </row>
    <row r="50" spans="1:6">
      <c r="A50" t="s">
        <v>3807</v>
      </c>
      <c r="B50">
        <v>33792.400000000001</v>
      </c>
      <c r="C50">
        <v>29992.07</v>
      </c>
      <c r="D50" s="791">
        <f>B50*'Unit Conversions'!$E$6*10^3</f>
        <v>0.12164926077817441</v>
      </c>
      <c r="E50" s="501">
        <f t="shared" si="1"/>
        <v>2.9992069999999999E-2</v>
      </c>
      <c r="F50" s="500">
        <f t="shared" si="2"/>
        <v>0.2465454356906458</v>
      </c>
    </row>
    <row r="51" spans="1:6">
      <c r="A51" t="s">
        <v>3808</v>
      </c>
      <c r="B51">
        <v>22000</v>
      </c>
      <c r="C51">
        <v>16245.69</v>
      </c>
      <c r="D51" s="791">
        <f>B51*'Unit Conversions'!$E$6*10^3</f>
        <v>7.9197800011832145E-2</v>
      </c>
      <c r="E51" s="501">
        <f t="shared" si="1"/>
        <v>1.624569E-2</v>
      </c>
      <c r="F51" s="500">
        <f t="shared" si="2"/>
        <v>0.20512804645549365</v>
      </c>
    </row>
    <row r="52" spans="1:6">
      <c r="A52" s="25" t="s">
        <v>3809</v>
      </c>
      <c r="B52">
        <f>SUM(B50:B51)</f>
        <v>55792.4</v>
      </c>
      <c r="C52">
        <f>SUM(C50:C51)</f>
        <v>46237.760000000002</v>
      </c>
      <c r="D52" s="791">
        <f>B52*'Unit Conversions'!$E$6*10^3</f>
        <v>0.20084706079000655</v>
      </c>
      <c r="E52" s="501">
        <f t="shared" si="1"/>
        <v>4.6237760000000003E-2</v>
      </c>
      <c r="F52" s="824">
        <f t="shared" si="2"/>
        <v>0.23021377469070053</v>
      </c>
    </row>
  </sheetData>
  <phoneticPr fontId="52" type="noConversion"/>
  <pageMargins left="0.7" right="0.7" top="0.75" bottom="0.75" header="0.3" footer="0.3"/>
  <headerFooter>
    <oddFooter>&amp;R_x000D_&amp;1#&amp;"Aptos"&amp;10&amp;K000000 Official Use Only</oddFooter>
  </headerFooter>
  <ignoredErrors>
    <ignoredError sqref="B52:C52"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0B76F-2154-4B4D-9CD3-6E9C81215F58}">
  <sheetPr>
    <tabColor theme="3" tint="0.749992370372631"/>
  </sheetPr>
  <dimension ref="A1:E112"/>
  <sheetViews>
    <sheetView zoomScale="130" zoomScaleNormal="130" workbookViewId="0"/>
  </sheetViews>
  <sheetFormatPr defaultRowHeight="15"/>
  <sheetData>
    <row r="1" spans="1:4">
      <c r="A1" s="502" t="s">
        <v>189</v>
      </c>
      <c r="B1" s="537"/>
      <c r="C1" s="537"/>
      <c r="D1" s="537"/>
    </row>
    <row r="2" spans="1:4">
      <c r="A2" t="s">
        <v>190</v>
      </c>
    </row>
    <row r="3" spans="1:4">
      <c r="A3" t="s">
        <v>191</v>
      </c>
    </row>
    <row r="4" spans="1:4">
      <c r="A4" t="s">
        <v>192</v>
      </c>
    </row>
    <row r="5" spans="1:4">
      <c r="A5" t="s">
        <v>193</v>
      </c>
    </row>
    <row r="6" spans="1:4">
      <c r="A6" t="s">
        <v>194</v>
      </c>
    </row>
    <row r="7" spans="1:4">
      <c r="A7" t="s">
        <v>195</v>
      </c>
    </row>
    <row r="9" spans="1:4" ht="28.5">
      <c r="A9" s="1045" t="s">
        <v>196</v>
      </c>
      <c r="B9" s="537"/>
      <c r="C9" s="537"/>
      <c r="D9" s="537"/>
    </row>
    <row r="43" spans="1:5" ht="28.5">
      <c r="A43" s="1045" t="s">
        <v>197</v>
      </c>
      <c r="B43" s="537"/>
      <c r="C43" s="537"/>
      <c r="D43" s="537"/>
      <c r="E43" s="537"/>
    </row>
    <row r="77" spans="1:4" ht="28.5">
      <c r="A77" s="1045" t="s">
        <v>198</v>
      </c>
      <c r="B77" s="537"/>
      <c r="C77" s="537"/>
      <c r="D77" s="537"/>
    </row>
    <row r="112" spans="1:5" ht="28.5">
      <c r="A112" s="1045" t="s">
        <v>199</v>
      </c>
      <c r="B112" s="537"/>
      <c r="C112" s="537"/>
      <c r="D112" s="537"/>
      <c r="E112" s="537"/>
    </row>
  </sheetData>
  <pageMargins left="0.7" right="0.7" top="0.75" bottom="0.75" header="0.3" footer="0.3"/>
  <headerFooter>
    <oddFooter>&amp;R_x000D_&amp;1#&amp;"Aptos"&amp;10&amp;K000000 Official Use Only</oddFoot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B1A31-D192-481A-A738-FD49BE774ACE}">
  <dimension ref="A1:P200"/>
  <sheetViews>
    <sheetView topLeftCell="A20" zoomScale="115" zoomScaleNormal="115" workbookViewId="0">
      <selection activeCell="B20" sqref="B20"/>
    </sheetView>
  </sheetViews>
  <sheetFormatPr defaultColWidth="8.85546875" defaultRowHeight="15"/>
  <cols>
    <col min="1" max="1" width="47.7109375" customWidth="1"/>
    <col min="2" max="14" width="16.42578125" customWidth="1"/>
    <col min="15" max="15" width="12.28515625" customWidth="1"/>
    <col min="16" max="16" width="38.5703125" customWidth="1"/>
    <col min="17" max="22" width="12.28515625" customWidth="1"/>
  </cols>
  <sheetData>
    <row r="1" spans="1:14">
      <c r="A1" s="106" t="s">
        <v>3810</v>
      </c>
      <c r="B1" s="106"/>
      <c r="C1" s="106"/>
      <c r="D1" s="107"/>
      <c r="E1" s="107"/>
    </row>
    <row r="2" spans="1:14">
      <c r="A2" s="538" t="s">
        <v>3811</v>
      </c>
    </row>
    <row r="4" spans="1:14">
      <c r="A4" s="535" t="s">
        <v>3812</v>
      </c>
      <c r="B4" s="535"/>
      <c r="C4" s="535"/>
      <c r="D4" s="535"/>
      <c r="E4" s="535"/>
      <c r="F4" s="535"/>
      <c r="G4" s="535"/>
      <c r="H4" s="535"/>
      <c r="I4" s="788"/>
      <c r="J4" s="788"/>
      <c r="K4" s="788"/>
      <c r="L4" s="788"/>
      <c r="M4" s="788"/>
      <c r="N4" s="788"/>
    </row>
    <row r="5" spans="1:14" ht="45">
      <c r="A5" s="24" t="s">
        <v>114</v>
      </c>
      <c r="B5" s="36" t="s">
        <v>3813</v>
      </c>
      <c r="C5" s="37" t="s">
        <v>3814</v>
      </c>
      <c r="D5" s="37" t="s">
        <v>3815</v>
      </c>
      <c r="E5" s="37" t="s">
        <v>3816</v>
      </c>
      <c r="F5" s="37" t="s">
        <v>3817</v>
      </c>
      <c r="G5" s="37" t="s">
        <v>3818</v>
      </c>
      <c r="H5" s="37" t="s">
        <v>3819</v>
      </c>
      <c r="I5" s="37" t="s">
        <v>3820</v>
      </c>
      <c r="J5" s="37" t="s">
        <v>3821</v>
      </c>
      <c r="K5" s="37" t="s">
        <v>3822</v>
      </c>
      <c r="L5" s="37" t="s">
        <v>3823</v>
      </c>
      <c r="M5" s="37" t="s">
        <v>3824</v>
      </c>
      <c r="N5" s="37" t="s">
        <v>3825</v>
      </c>
    </row>
    <row r="6" spans="1:14">
      <c r="A6" t="s">
        <v>3826</v>
      </c>
      <c r="B6" s="49">
        <v>10</v>
      </c>
      <c r="C6">
        <v>6104349227</v>
      </c>
      <c r="D6">
        <v>66569550</v>
      </c>
      <c r="E6">
        <v>413716357</v>
      </c>
      <c r="F6">
        <v>13683761</v>
      </c>
      <c r="G6">
        <v>105569881</v>
      </c>
      <c r="H6">
        <v>10445731</v>
      </c>
      <c r="I6">
        <v>26459351</v>
      </c>
      <c r="J6">
        <v>25038371</v>
      </c>
      <c r="K6">
        <v>2965739</v>
      </c>
      <c r="L6">
        <v>49826848</v>
      </c>
      <c r="M6">
        <v>162364750</v>
      </c>
      <c r="N6">
        <v>16000452</v>
      </c>
    </row>
    <row r="7" spans="1:14">
      <c r="A7" t="s">
        <v>3827</v>
      </c>
      <c r="B7" s="49">
        <f>B6+1</f>
        <v>11</v>
      </c>
      <c r="C7">
        <v>1066782438</v>
      </c>
      <c r="D7">
        <v>3480503</v>
      </c>
      <c r="E7">
        <v>23152986</v>
      </c>
      <c r="F7">
        <v>4554837</v>
      </c>
      <c r="G7">
        <v>2797456</v>
      </c>
      <c r="H7">
        <v>20570</v>
      </c>
      <c r="I7">
        <v>163595</v>
      </c>
      <c r="J7">
        <v>840687</v>
      </c>
      <c r="K7">
        <v>26994</v>
      </c>
      <c r="L7">
        <v>2760807</v>
      </c>
      <c r="M7">
        <v>1337985</v>
      </c>
      <c r="N7">
        <v>289120</v>
      </c>
    </row>
    <row r="8" spans="1:14">
      <c r="A8" t="s">
        <v>3828</v>
      </c>
      <c r="B8" s="49">
        <f t="shared" ref="B8:B33" si="0">B7+1</f>
        <v>12</v>
      </c>
      <c r="C8">
        <v>400940760</v>
      </c>
      <c r="D8">
        <v>2954361</v>
      </c>
      <c r="E8">
        <v>14105138</v>
      </c>
      <c r="F8">
        <v>440932</v>
      </c>
      <c r="G8">
        <v>2421148</v>
      </c>
      <c r="H8">
        <v>625</v>
      </c>
      <c r="I8">
        <v>204882</v>
      </c>
      <c r="J8">
        <v>417497</v>
      </c>
      <c r="K8">
        <v>3338</v>
      </c>
      <c r="L8">
        <v>855027</v>
      </c>
      <c r="M8">
        <v>174</v>
      </c>
      <c r="N8">
        <v>258500</v>
      </c>
    </row>
    <row r="9" spans="1:14">
      <c r="A9" t="s">
        <v>461</v>
      </c>
      <c r="B9" s="49">
        <f t="shared" si="0"/>
        <v>13</v>
      </c>
      <c r="C9">
        <v>5526701197</v>
      </c>
      <c r="D9">
        <v>54634624</v>
      </c>
      <c r="E9">
        <v>42988809</v>
      </c>
      <c r="F9">
        <v>7240392</v>
      </c>
      <c r="G9">
        <v>3314000</v>
      </c>
      <c r="H9">
        <v>2324702</v>
      </c>
      <c r="I9">
        <v>14110936</v>
      </c>
      <c r="J9">
        <v>2574197</v>
      </c>
      <c r="K9">
        <v>438206</v>
      </c>
      <c r="L9">
        <v>5638931</v>
      </c>
      <c r="M9">
        <v>864828</v>
      </c>
      <c r="N9">
        <v>3681863</v>
      </c>
    </row>
    <row r="10" spans="1:14">
      <c r="A10" t="s">
        <v>3829</v>
      </c>
      <c r="B10" s="49">
        <f t="shared" si="0"/>
        <v>14</v>
      </c>
      <c r="C10">
        <v>2703715665</v>
      </c>
      <c r="D10">
        <v>41485814</v>
      </c>
      <c r="E10">
        <v>11825434</v>
      </c>
      <c r="F10">
        <v>2661168</v>
      </c>
      <c r="G10">
        <v>2357142</v>
      </c>
      <c r="H10">
        <v>475046</v>
      </c>
      <c r="I10">
        <v>4919209</v>
      </c>
      <c r="J10">
        <v>228255</v>
      </c>
      <c r="K10">
        <v>10063</v>
      </c>
      <c r="L10">
        <v>1381727</v>
      </c>
      <c r="M10">
        <v>51653</v>
      </c>
      <c r="N10">
        <v>693768</v>
      </c>
    </row>
    <row r="11" spans="1:14">
      <c r="A11" t="s">
        <v>3830</v>
      </c>
      <c r="B11" s="49">
        <f t="shared" si="0"/>
        <v>15</v>
      </c>
      <c r="C11">
        <v>1379886232</v>
      </c>
      <c r="D11">
        <v>4343409</v>
      </c>
      <c r="E11">
        <v>3289549</v>
      </c>
      <c r="F11">
        <v>69085</v>
      </c>
      <c r="G11">
        <v>1576522</v>
      </c>
      <c r="H11">
        <v>4111</v>
      </c>
      <c r="I11">
        <v>402590</v>
      </c>
      <c r="J11">
        <v>143814</v>
      </c>
      <c r="K11">
        <v>37259</v>
      </c>
      <c r="L11">
        <v>686606</v>
      </c>
      <c r="M11">
        <v>1288</v>
      </c>
      <c r="N11">
        <v>248043</v>
      </c>
    </row>
    <row r="12" spans="1:14">
      <c r="A12" t="s">
        <v>3831</v>
      </c>
      <c r="B12" s="49">
        <f t="shared" si="0"/>
        <v>16</v>
      </c>
      <c r="C12">
        <v>1420501626</v>
      </c>
      <c r="D12">
        <v>6820297</v>
      </c>
      <c r="E12">
        <v>46353253</v>
      </c>
      <c r="F12">
        <v>894949</v>
      </c>
      <c r="G12">
        <v>8216410</v>
      </c>
      <c r="H12">
        <v>28553</v>
      </c>
      <c r="I12">
        <v>135081</v>
      </c>
      <c r="J12">
        <v>120328</v>
      </c>
      <c r="K12">
        <v>41996</v>
      </c>
      <c r="L12">
        <v>1330573</v>
      </c>
      <c r="M12">
        <v>57649</v>
      </c>
      <c r="N12">
        <v>1467754</v>
      </c>
    </row>
    <row r="13" spans="1:14">
      <c r="A13" t="s">
        <v>3832</v>
      </c>
      <c r="B13" s="49">
        <f t="shared" si="0"/>
        <v>17</v>
      </c>
      <c r="C13">
        <v>3813930349</v>
      </c>
      <c r="D13">
        <v>4703674</v>
      </c>
      <c r="E13">
        <v>49557102</v>
      </c>
      <c r="F13">
        <v>1836013</v>
      </c>
      <c r="G13">
        <v>23910373</v>
      </c>
      <c r="H13">
        <v>1515012</v>
      </c>
      <c r="I13">
        <v>602714</v>
      </c>
      <c r="J13">
        <v>24797092</v>
      </c>
      <c r="K13">
        <v>7062</v>
      </c>
      <c r="L13">
        <v>2338122</v>
      </c>
      <c r="M13">
        <v>263194</v>
      </c>
      <c r="N13">
        <v>955396</v>
      </c>
    </row>
    <row r="14" spans="1:14">
      <c r="A14" t="s">
        <v>3833</v>
      </c>
      <c r="B14" s="49">
        <f t="shared" si="0"/>
        <v>18</v>
      </c>
      <c r="C14">
        <v>269124581</v>
      </c>
      <c r="D14">
        <v>3400454</v>
      </c>
      <c r="E14">
        <v>1690463</v>
      </c>
      <c r="F14">
        <v>81056</v>
      </c>
      <c r="G14">
        <v>496110</v>
      </c>
      <c r="H14">
        <v>0</v>
      </c>
      <c r="I14">
        <v>185</v>
      </c>
      <c r="J14">
        <v>17776</v>
      </c>
      <c r="K14">
        <v>6676</v>
      </c>
      <c r="L14">
        <v>218733</v>
      </c>
      <c r="M14">
        <v>0</v>
      </c>
      <c r="N14">
        <v>96185</v>
      </c>
    </row>
    <row r="15" spans="1:14">
      <c r="A15" t="s">
        <v>3834</v>
      </c>
      <c r="B15" s="49">
        <f t="shared" si="0"/>
        <v>19</v>
      </c>
      <c r="C15">
        <v>908465844</v>
      </c>
      <c r="D15">
        <v>921411</v>
      </c>
      <c r="E15">
        <v>15696671</v>
      </c>
      <c r="F15">
        <v>149320</v>
      </c>
      <c r="G15">
        <v>3246257</v>
      </c>
      <c r="H15">
        <v>6395</v>
      </c>
      <c r="I15">
        <v>7512103</v>
      </c>
      <c r="J15">
        <v>3830489</v>
      </c>
      <c r="K15">
        <v>1319839</v>
      </c>
      <c r="L15">
        <v>156012</v>
      </c>
      <c r="M15">
        <v>600</v>
      </c>
      <c r="N15">
        <v>1261734</v>
      </c>
    </row>
    <row r="16" spans="1:14">
      <c r="A16" t="s">
        <v>3835</v>
      </c>
      <c r="B16" s="49">
        <f t="shared" si="0"/>
        <v>20</v>
      </c>
      <c r="C16">
        <v>5751527858</v>
      </c>
      <c r="D16">
        <v>13675616</v>
      </c>
      <c r="E16">
        <v>30417119</v>
      </c>
      <c r="F16">
        <v>8299875</v>
      </c>
      <c r="G16">
        <v>14365792</v>
      </c>
      <c r="H16">
        <v>2180238</v>
      </c>
      <c r="I16">
        <v>11564888</v>
      </c>
      <c r="J16">
        <v>37493647</v>
      </c>
      <c r="K16">
        <v>2902200</v>
      </c>
      <c r="L16">
        <v>6814480</v>
      </c>
      <c r="M16">
        <v>4946082</v>
      </c>
      <c r="N16">
        <v>2274805</v>
      </c>
    </row>
    <row r="17" spans="1:14">
      <c r="A17" t="s">
        <v>3836</v>
      </c>
      <c r="B17" s="49">
        <f t="shared" si="0"/>
        <v>21</v>
      </c>
      <c r="C17">
        <v>528156375</v>
      </c>
      <c r="D17">
        <v>2890200</v>
      </c>
      <c r="E17">
        <v>15972623</v>
      </c>
      <c r="F17">
        <v>152487</v>
      </c>
      <c r="G17">
        <v>15586190</v>
      </c>
      <c r="H17">
        <v>22765</v>
      </c>
      <c r="I17">
        <v>674316</v>
      </c>
      <c r="J17">
        <v>670241</v>
      </c>
      <c r="K17">
        <v>552141</v>
      </c>
      <c r="L17">
        <v>1667056</v>
      </c>
      <c r="M17">
        <v>123219</v>
      </c>
      <c r="N17">
        <v>86783</v>
      </c>
    </row>
    <row r="18" spans="1:14">
      <c r="A18" t="s">
        <v>3837</v>
      </c>
      <c r="B18" s="49">
        <f t="shared" si="0"/>
        <v>22</v>
      </c>
      <c r="C18">
        <v>4285347791</v>
      </c>
      <c r="D18">
        <v>41342767</v>
      </c>
      <c r="E18">
        <v>42602440</v>
      </c>
      <c r="F18">
        <v>5549230</v>
      </c>
      <c r="G18">
        <v>23128749</v>
      </c>
      <c r="H18">
        <v>633622</v>
      </c>
      <c r="I18">
        <v>8934881</v>
      </c>
      <c r="J18">
        <v>14148764</v>
      </c>
      <c r="K18">
        <v>1027851</v>
      </c>
      <c r="L18">
        <v>14709495</v>
      </c>
      <c r="M18">
        <v>14737396</v>
      </c>
      <c r="N18">
        <v>2216391</v>
      </c>
    </row>
    <row r="19" spans="1:14">
      <c r="A19" t="s">
        <v>3838</v>
      </c>
      <c r="B19" s="49">
        <f t="shared" si="0"/>
        <v>23</v>
      </c>
      <c r="C19">
        <v>8478928231</v>
      </c>
      <c r="D19">
        <v>52061067</v>
      </c>
      <c r="E19">
        <v>133855679</v>
      </c>
      <c r="F19">
        <v>29472136</v>
      </c>
      <c r="G19">
        <v>37835514</v>
      </c>
      <c r="H19">
        <v>87869034</v>
      </c>
      <c r="I19">
        <v>6863835</v>
      </c>
      <c r="J19">
        <v>35723420</v>
      </c>
      <c r="K19">
        <v>6070789</v>
      </c>
      <c r="L19">
        <v>6366840</v>
      </c>
      <c r="M19">
        <v>27349334</v>
      </c>
      <c r="N19">
        <v>3701199</v>
      </c>
    </row>
    <row r="20" spans="1:14">
      <c r="A20" s="25" t="s">
        <v>3839</v>
      </c>
      <c r="B20" s="951">
        <f t="shared" si="0"/>
        <v>24</v>
      </c>
      <c r="C20" s="25">
        <v>10577626766</v>
      </c>
      <c r="D20" s="25">
        <v>4335093</v>
      </c>
      <c r="E20" s="25">
        <v>180974434</v>
      </c>
      <c r="F20" s="25">
        <v>76954101</v>
      </c>
      <c r="G20" s="25">
        <v>215708168</v>
      </c>
      <c r="H20" s="25">
        <v>12148181</v>
      </c>
      <c r="I20" s="25">
        <v>819101802</v>
      </c>
      <c r="J20" s="25">
        <v>6158963</v>
      </c>
      <c r="K20" s="25">
        <v>1811660</v>
      </c>
      <c r="L20" s="25">
        <v>99048450</v>
      </c>
      <c r="M20" s="25">
        <v>79871</v>
      </c>
      <c r="N20" s="25">
        <v>2488759</v>
      </c>
    </row>
    <row r="21" spans="1:14">
      <c r="A21" s="948" t="s">
        <v>3840</v>
      </c>
      <c r="B21" s="49">
        <v>241</v>
      </c>
      <c r="C21">
        <v>8221626623</v>
      </c>
      <c r="D21">
        <v>2619540</v>
      </c>
      <c r="E21">
        <v>104751017</v>
      </c>
      <c r="F21">
        <v>76570902</v>
      </c>
      <c r="G21">
        <v>1777263</v>
      </c>
      <c r="H21">
        <v>6924838</v>
      </c>
      <c r="I21">
        <v>818113952</v>
      </c>
      <c r="J21">
        <v>3105413</v>
      </c>
      <c r="K21">
        <v>47105</v>
      </c>
      <c r="L21">
        <v>95703697</v>
      </c>
      <c r="M21">
        <v>0</v>
      </c>
      <c r="N21">
        <v>1061929</v>
      </c>
    </row>
    <row r="22" spans="1:14">
      <c r="A22" s="948" t="s">
        <v>3841</v>
      </c>
      <c r="B22" s="49">
        <v>242</v>
      </c>
      <c r="C22">
        <v>2108489437</v>
      </c>
      <c r="D22">
        <v>1174588</v>
      </c>
      <c r="E22">
        <v>75205335</v>
      </c>
      <c r="F22">
        <v>338889</v>
      </c>
      <c r="G22">
        <v>213675167</v>
      </c>
      <c r="H22">
        <v>5219281</v>
      </c>
      <c r="I22">
        <v>744850</v>
      </c>
      <c r="J22">
        <v>2614388</v>
      </c>
      <c r="K22">
        <v>1468017</v>
      </c>
      <c r="L22">
        <v>3064662</v>
      </c>
      <c r="M22">
        <v>78119</v>
      </c>
      <c r="N22">
        <v>1373723</v>
      </c>
    </row>
    <row r="23" spans="1:14">
      <c r="A23" s="948" t="s">
        <v>3842</v>
      </c>
      <c r="B23" s="49">
        <v>2431</v>
      </c>
      <c r="C23">
        <v>202940915</v>
      </c>
      <c r="D23">
        <v>51826</v>
      </c>
      <c r="E23">
        <v>420165</v>
      </c>
      <c r="F23">
        <v>42522</v>
      </c>
      <c r="G23">
        <v>240483</v>
      </c>
      <c r="H23">
        <v>3108</v>
      </c>
      <c r="I23">
        <v>243000</v>
      </c>
      <c r="J23">
        <v>29429</v>
      </c>
      <c r="K23">
        <v>14</v>
      </c>
      <c r="L23">
        <v>190409</v>
      </c>
      <c r="M23">
        <v>54</v>
      </c>
      <c r="N23">
        <v>39269</v>
      </c>
    </row>
    <row r="24" spans="1:14">
      <c r="A24" s="948" t="s">
        <v>3843</v>
      </c>
      <c r="B24" s="49">
        <v>2432</v>
      </c>
      <c r="C24">
        <v>44569791</v>
      </c>
      <c r="D24">
        <v>489139</v>
      </c>
      <c r="E24">
        <v>597917</v>
      </c>
      <c r="F24">
        <v>1788</v>
      </c>
      <c r="G24">
        <v>15255</v>
      </c>
      <c r="H24">
        <v>954</v>
      </c>
      <c r="I24">
        <v>0</v>
      </c>
      <c r="J24">
        <v>409733</v>
      </c>
      <c r="K24">
        <v>296524</v>
      </c>
      <c r="L24">
        <v>89682</v>
      </c>
      <c r="M24">
        <v>1698</v>
      </c>
      <c r="N24">
        <v>13838</v>
      </c>
    </row>
    <row r="25" spans="1:14">
      <c r="A25" t="s">
        <v>3844</v>
      </c>
      <c r="B25" s="49">
        <f>B20+1</f>
        <v>25</v>
      </c>
      <c r="C25">
        <v>1152927643</v>
      </c>
      <c r="D25">
        <v>18764233</v>
      </c>
      <c r="E25">
        <v>22652314</v>
      </c>
      <c r="F25">
        <v>252249476</v>
      </c>
      <c r="G25">
        <v>2542244</v>
      </c>
      <c r="H25">
        <v>10698</v>
      </c>
      <c r="I25">
        <v>169528</v>
      </c>
      <c r="J25">
        <v>2447956</v>
      </c>
      <c r="K25">
        <v>29343</v>
      </c>
      <c r="L25">
        <v>8283361</v>
      </c>
      <c r="M25">
        <v>3591</v>
      </c>
      <c r="N25">
        <v>16192394</v>
      </c>
    </row>
    <row r="26" spans="1:14">
      <c r="A26" t="s">
        <v>3845</v>
      </c>
      <c r="B26" s="49">
        <f t="shared" si="0"/>
        <v>26</v>
      </c>
      <c r="C26">
        <v>1324876796</v>
      </c>
      <c r="D26">
        <v>11340569</v>
      </c>
      <c r="E26">
        <v>7102765</v>
      </c>
      <c r="F26">
        <v>106124</v>
      </c>
      <c r="G26">
        <v>4607341</v>
      </c>
      <c r="H26">
        <v>0</v>
      </c>
      <c r="I26">
        <v>0</v>
      </c>
      <c r="J26">
        <v>659133</v>
      </c>
      <c r="K26">
        <v>4788</v>
      </c>
      <c r="L26">
        <v>226677</v>
      </c>
      <c r="M26">
        <v>29</v>
      </c>
      <c r="N26">
        <v>218274</v>
      </c>
    </row>
    <row r="27" spans="1:14">
      <c r="A27" t="s">
        <v>3846</v>
      </c>
      <c r="B27" s="49">
        <f t="shared" si="0"/>
        <v>27</v>
      </c>
      <c r="C27">
        <v>1480805137</v>
      </c>
      <c r="D27">
        <v>9558423</v>
      </c>
      <c r="E27">
        <v>6416888</v>
      </c>
      <c r="F27">
        <v>2742323</v>
      </c>
      <c r="G27">
        <v>2139760</v>
      </c>
      <c r="H27">
        <v>201429</v>
      </c>
      <c r="I27">
        <v>54244</v>
      </c>
      <c r="J27">
        <v>2506943</v>
      </c>
      <c r="K27">
        <v>565</v>
      </c>
      <c r="L27">
        <v>1389848</v>
      </c>
      <c r="M27">
        <v>621021</v>
      </c>
      <c r="N27">
        <v>1057366</v>
      </c>
    </row>
    <row r="28" spans="1:14">
      <c r="A28" t="s">
        <v>3847</v>
      </c>
      <c r="B28" s="49">
        <f t="shared" si="0"/>
        <v>28</v>
      </c>
      <c r="C28">
        <v>589959539</v>
      </c>
      <c r="D28">
        <v>39556559</v>
      </c>
      <c r="E28">
        <v>10450549</v>
      </c>
      <c r="F28">
        <v>604306</v>
      </c>
      <c r="G28">
        <v>869166</v>
      </c>
      <c r="H28">
        <v>0</v>
      </c>
      <c r="I28">
        <v>144</v>
      </c>
      <c r="J28">
        <v>579091</v>
      </c>
      <c r="K28">
        <v>3477</v>
      </c>
      <c r="L28">
        <v>3151713</v>
      </c>
      <c r="M28">
        <v>33324</v>
      </c>
      <c r="N28">
        <v>631866</v>
      </c>
    </row>
    <row r="29" spans="1:14">
      <c r="A29" t="s">
        <v>3848</v>
      </c>
      <c r="B29" s="49">
        <f t="shared" si="0"/>
        <v>29</v>
      </c>
      <c r="C29">
        <v>1476165326</v>
      </c>
      <c r="D29">
        <v>17472274</v>
      </c>
      <c r="E29">
        <v>42234488</v>
      </c>
      <c r="F29">
        <v>477280</v>
      </c>
      <c r="G29">
        <v>3118562</v>
      </c>
      <c r="H29">
        <v>1</v>
      </c>
      <c r="I29">
        <v>950109</v>
      </c>
      <c r="J29">
        <v>5119819</v>
      </c>
      <c r="K29">
        <v>17241</v>
      </c>
      <c r="L29">
        <v>8395569</v>
      </c>
      <c r="M29">
        <v>206</v>
      </c>
      <c r="N29">
        <v>826203</v>
      </c>
    </row>
    <row r="30" spans="1:14">
      <c r="A30" t="s">
        <v>3849</v>
      </c>
      <c r="B30" s="49">
        <f t="shared" si="0"/>
        <v>30</v>
      </c>
      <c r="C30">
        <v>3184116168</v>
      </c>
      <c r="D30">
        <v>17213868</v>
      </c>
      <c r="E30">
        <v>46792082</v>
      </c>
      <c r="F30">
        <v>1100351</v>
      </c>
      <c r="G30">
        <v>3028672</v>
      </c>
      <c r="H30">
        <v>0</v>
      </c>
      <c r="I30">
        <v>376000</v>
      </c>
      <c r="J30">
        <v>1580761</v>
      </c>
      <c r="K30">
        <v>129483</v>
      </c>
      <c r="L30">
        <v>2666151</v>
      </c>
      <c r="M30">
        <v>2529</v>
      </c>
      <c r="N30">
        <v>882162</v>
      </c>
    </row>
    <row r="31" spans="1:14">
      <c r="A31" t="s">
        <v>3850</v>
      </c>
      <c r="B31" s="49">
        <f t="shared" si="0"/>
        <v>31</v>
      </c>
      <c r="C31">
        <v>690091420</v>
      </c>
      <c r="D31">
        <v>5198200</v>
      </c>
      <c r="E31">
        <v>9115942</v>
      </c>
      <c r="F31">
        <v>226514</v>
      </c>
      <c r="G31">
        <v>2924212</v>
      </c>
      <c r="H31">
        <v>3</v>
      </c>
      <c r="I31">
        <v>7773</v>
      </c>
      <c r="J31">
        <v>49055</v>
      </c>
      <c r="K31">
        <v>3001</v>
      </c>
      <c r="L31">
        <v>2486793</v>
      </c>
      <c r="M31">
        <v>1348</v>
      </c>
      <c r="N31">
        <v>325289</v>
      </c>
    </row>
    <row r="32" spans="1:14">
      <c r="A32" t="s">
        <v>77</v>
      </c>
      <c r="B32" s="49">
        <f t="shared" si="0"/>
        <v>32</v>
      </c>
      <c r="C32">
        <v>370209258</v>
      </c>
      <c r="D32">
        <v>10265125</v>
      </c>
      <c r="E32">
        <v>26643368</v>
      </c>
      <c r="F32">
        <v>182892</v>
      </c>
      <c r="G32">
        <v>661616</v>
      </c>
      <c r="H32">
        <v>4158</v>
      </c>
      <c r="I32">
        <v>144221</v>
      </c>
      <c r="J32">
        <v>216323</v>
      </c>
      <c r="K32">
        <v>16533</v>
      </c>
      <c r="L32">
        <v>1326387</v>
      </c>
      <c r="M32">
        <v>1058</v>
      </c>
      <c r="N32">
        <v>182790</v>
      </c>
    </row>
    <row r="33" spans="1:14" ht="15.75" thickBot="1">
      <c r="A33" s="953" t="s">
        <v>3851</v>
      </c>
      <c r="B33" s="954">
        <f t="shared" si="0"/>
        <v>33</v>
      </c>
      <c r="C33" s="953">
        <v>391203908</v>
      </c>
      <c r="D33" s="953">
        <v>4813990</v>
      </c>
      <c r="E33" s="953">
        <v>15236963</v>
      </c>
      <c r="F33" s="953">
        <v>74304</v>
      </c>
      <c r="G33" s="953">
        <v>2111197</v>
      </c>
      <c r="H33" s="953">
        <v>1399</v>
      </c>
      <c r="I33" s="953">
        <v>0</v>
      </c>
      <c r="J33" s="953">
        <v>40740</v>
      </c>
      <c r="K33" s="953">
        <v>34902</v>
      </c>
      <c r="L33" s="953">
        <v>3117835</v>
      </c>
      <c r="M33" s="953">
        <v>331</v>
      </c>
      <c r="N33" s="953">
        <v>1181049</v>
      </c>
    </row>
    <row r="34" spans="1:14">
      <c r="A34" s="23" t="s">
        <v>3852</v>
      </c>
      <c r="B34" s="23"/>
      <c r="C34" s="23">
        <v>63876340135</v>
      </c>
      <c r="D34" s="23">
        <v>437802081</v>
      </c>
      <c r="E34" s="23">
        <v>1212843416</v>
      </c>
      <c r="F34" s="23">
        <v>409802912</v>
      </c>
      <c r="G34" s="23">
        <v>482532482</v>
      </c>
      <c r="H34" s="23">
        <v>117892273</v>
      </c>
      <c r="I34" s="23">
        <v>903352387</v>
      </c>
      <c r="J34" s="23">
        <v>165403362</v>
      </c>
      <c r="K34" s="23">
        <v>17461146</v>
      </c>
      <c r="L34" s="23">
        <v>224844041</v>
      </c>
      <c r="M34" s="23">
        <v>212841460</v>
      </c>
      <c r="N34" s="23">
        <v>57218145</v>
      </c>
    </row>
    <row r="35" spans="1:14">
      <c r="A35" s="23" t="s">
        <v>3853</v>
      </c>
      <c r="B35" s="23"/>
      <c r="C35" s="23">
        <f>SUM(C6:C20,C25:C33)</f>
        <v>63876340135</v>
      </c>
      <c r="D35" s="23">
        <f t="shared" ref="D35:N35" si="1">SUM(D6:D20,D25:D33)</f>
        <v>437802081</v>
      </c>
      <c r="E35" s="23">
        <f t="shared" si="1"/>
        <v>1212843416</v>
      </c>
      <c r="F35" s="23">
        <f t="shared" si="1"/>
        <v>409802912</v>
      </c>
      <c r="G35" s="23">
        <f t="shared" si="1"/>
        <v>482532482</v>
      </c>
      <c r="H35" s="23">
        <f t="shared" si="1"/>
        <v>117892273</v>
      </c>
      <c r="I35" s="23">
        <f t="shared" si="1"/>
        <v>903352387</v>
      </c>
      <c r="J35" s="23">
        <f t="shared" si="1"/>
        <v>165403362</v>
      </c>
      <c r="K35" s="23">
        <f t="shared" si="1"/>
        <v>17461146</v>
      </c>
      <c r="L35" s="23">
        <f t="shared" si="1"/>
        <v>224844041</v>
      </c>
      <c r="M35" s="23">
        <f t="shared" si="1"/>
        <v>212841460</v>
      </c>
      <c r="N35" s="23">
        <f t="shared" si="1"/>
        <v>57218145</v>
      </c>
    </row>
    <row r="36" spans="1:14">
      <c r="A36" s="23" t="s">
        <v>3854</v>
      </c>
      <c r="B36" s="23"/>
      <c r="C36" s="955">
        <f>(C35-C34)</f>
        <v>0</v>
      </c>
      <c r="D36" s="955">
        <f t="shared" ref="D36:N36" si="2">(D35-D34)</f>
        <v>0</v>
      </c>
      <c r="E36" s="955">
        <f t="shared" si="2"/>
        <v>0</v>
      </c>
      <c r="F36" s="955">
        <f t="shared" si="2"/>
        <v>0</v>
      </c>
      <c r="G36" s="955">
        <f t="shared" si="2"/>
        <v>0</v>
      </c>
      <c r="H36" s="955">
        <f t="shared" si="2"/>
        <v>0</v>
      </c>
      <c r="I36" s="955">
        <f t="shared" si="2"/>
        <v>0</v>
      </c>
      <c r="J36" s="955">
        <f t="shared" si="2"/>
        <v>0</v>
      </c>
      <c r="K36" s="955">
        <f t="shared" si="2"/>
        <v>0</v>
      </c>
      <c r="L36" s="955">
        <f t="shared" si="2"/>
        <v>0</v>
      </c>
      <c r="M36" s="955">
        <f t="shared" si="2"/>
        <v>0</v>
      </c>
      <c r="N36" s="955">
        <f t="shared" si="2"/>
        <v>0</v>
      </c>
    </row>
    <row r="38" spans="1:14">
      <c r="A38" s="535" t="s">
        <v>3855</v>
      </c>
      <c r="B38" s="535"/>
      <c r="C38" s="535"/>
      <c r="D38" s="535"/>
      <c r="E38" s="535"/>
    </row>
    <row r="39" spans="1:14">
      <c r="A39" s="24" t="s">
        <v>3856</v>
      </c>
      <c r="B39" s="48" t="s">
        <v>3857</v>
      </c>
      <c r="C39" s="48" t="s">
        <v>116</v>
      </c>
      <c r="D39" s="48" t="s">
        <v>1443</v>
      </c>
      <c r="E39" s="48" t="s">
        <v>271</v>
      </c>
    </row>
    <row r="40" spans="1:14">
      <c r="A40" s="1208" t="s">
        <v>3858</v>
      </c>
      <c r="B40" s="1256">
        <v>1.0000000000000001E-9</v>
      </c>
      <c r="C40" s="1257" t="s">
        <v>3859</v>
      </c>
      <c r="D40" s="1257"/>
    </row>
    <row r="41" spans="1:14">
      <c r="A41" s="1208" t="s">
        <v>3860</v>
      </c>
      <c r="B41" s="1256">
        <v>1000</v>
      </c>
      <c r="C41" s="1257" t="s">
        <v>3861</v>
      </c>
      <c r="D41" s="949"/>
    </row>
    <row r="42" spans="1:14">
      <c r="A42" s="24" t="s">
        <v>3862</v>
      </c>
      <c r="B42" s="48" t="s">
        <v>3857</v>
      </c>
      <c r="C42" s="48" t="s">
        <v>116</v>
      </c>
      <c r="D42" s="48" t="s">
        <v>1443</v>
      </c>
      <c r="E42" s="48" t="s">
        <v>271</v>
      </c>
    </row>
    <row r="43" spans="1:14">
      <c r="A43" t="s">
        <v>3863</v>
      </c>
      <c r="B43" s="546">
        <f>3.6*B40</f>
        <v>3.6000000000000004E-9</v>
      </c>
      <c r="C43" t="s">
        <v>3864</v>
      </c>
      <c r="D43" s="28" t="s">
        <v>3865</v>
      </c>
    </row>
    <row r="44" spans="1:14">
      <c r="A44" t="s">
        <v>3178</v>
      </c>
      <c r="B44" s="546">
        <f>33.506*B40</f>
        <v>3.3506000000000002E-8</v>
      </c>
      <c r="C44" t="s">
        <v>3866</v>
      </c>
      <c r="D44" s="28" t="s">
        <v>3865</v>
      </c>
    </row>
    <row r="45" spans="1:14">
      <c r="A45" t="s">
        <v>3104</v>
      </c>
      <c r="B45" s="546">
        <f>38.29*B40</f>
        <v>3.8290000000000001E-8</v>
      </c>
      <c r="C45" t="s">
        <v>3866</v>
      </c>
      <c r="D45" s="28" t="s">
        <v>3865</v>
      </c>
    </row>
    <row r="46" spans="1:14">
      <c r="A46" t="s">
        <v>3867</v>
      </c>
      <c r="B46" s="546">
        <f>B45</f>
        <v>3.8290000000000001E-8</v>
      </c>
      <c r="C46" t="s">
        <v>3866</v>
      </c>
      <c r="D46" s="28"/>
      <c r="E46" t="s">
        <v>3868</v>
      </c>
    </row>
    <row r="47" spans="1:14">
      <c r="A47" t="s">
        <v>3869</v>
      </c>
      <c r="B47" s="546">
        <f>36.37*B40</f>
        <v>3.6370000000000001E-8</v>
      </c>
      <c r="C47" t="s">
        <v>3866</v>
      </c>
      <c r="D47" s="28" t="s">
        <v>3870</v>
      </c>
      <c r="E47" t="s">
        <v>3871</v>
      </c>
    </row>
    <row r="48" spans="1:14">
      <c r="A48" t="s">
        <v>40</v>
      </c>
      <c r="B48" s="546">
        <f>21887.292*B40</f>
        <v>2.1887292000000001E-5</v>
      </c>
      <c r="C48" t="s">
        <v>3872</v>
      </c>
      <c r="D48" s="28" t="s">
        <v>3865</v>
      </c>
    </row>
    <row r="49" spans="1:16">
      <c r="A49" t="s">
        <v>3873</v>
      </c>
      <c r="B49" s="546">
        <f>AVERAGE(0.97,0.72)*29.3*B40</f>
        <v>2.4758500000000003E-8</v>
      </c>
      <c r="C49" t="s">
        <v>3874</v>
      </c>
      <c r="D49" s="28" t="s">
        <v>3875</v>
      </c>
      <c r="E49" t="s">
        <v>3876</v>
      </c>
    </row>
    <row r="50" spans="1:16">
      <c r="A50" t="s">
        <v>44</v>
      </c>
      <c r="B50" s="546">
        <f>1005.019*B40</f>
        <v>1.005019E-6</v>
      </c>
      <c r="C50" t="s">
        <v>3877</v>
      </c>
      <c r="D50" s="28" t="s">
        <v>3865</v>
      </c>
    </row>
    <row r="51" spans="1:16">
      <c r="A51" t="s">
        <v>2783</v>
      </c>
      <c r="B51" s="546">
        <f>39.09*B40</f>
        <v>3.9090000000000008E-8</v>
      </c>
      <c r="C51" t="s">
        <v>3866</v>
      </c>
      <c r="D51" s="28" t="s">
        <v>3870</v>
      </c>
    </row>
    <row r="52" spans="1:16">
      <c r="A52" t="s">
        <v>3878</v>
      </c>
      <c r="B52" s="546">
        <f>47.16*B40</f>
        <v>4.716E-8</v>
      </c>
      <c r="C52" t="s">
        <v>183</v>
      </c>
      <c r="D52" s="28" t="s">
        <v>3870</v>
      </c>
    </row>
    <row r="53" spans="1:16">
      <c r="A53" t="s">
        <v>1242</v>
      </c>
      <c r="B53" s="546">
        <f>13/11*B40*B41</f>
        <v>1.181818181818182E-6</v>
      </c>
      <c r="C53" t="s">
        <v>3872</v>
      </c>
      <c r="D53" s="28" t="s">
        <v>3870</v>
      </c>
      <c r="E53" t="s">
        <v>3879</v>
      </c>
    </row>
    <row r="54" spans="1:16">
      <c r="A54" t="s">
        <v>3880</v>
      </c>
      <c r="B54" s="546">
        <f>B51</f>
        <v>3.9090000000000008E-8</v>
      </c>
      <c r="C54" t="s">
        <v>3866</v>
      </c>
      <c r="E54" t="s">
        <v>3881</v>
      </c>
    </row>
    <row r="56" spans="1:16">
      <c r="A56" s="535" t="s">
        <v>3882</v>
      </c>
      <c r="B56" s="535"/>
      <c r="C56" s="535"/>
      <c r="D56" s="535"/>
      <c r="E56" s="535"/>
      <c r="F56" s="535"/>
      <c r="G56" s="535"/>
      <c r="H56" s="535"/>
      <c r="I56" s="788"/>
      <c r="J56" s="788"/>
      <c r="K56" s="788"/>
      <c r="L56" s="788"/>
      <c r="M56" s="788"/>
      <c r="N56" s="788"/>
    </row>
    <row r="57" spans="1:16" ht="30">
      <c r="A57" s="24" t="s">
        <v>114</v>
      </c>
      <c r="B57" s="36" t="s">
        <v>3813</v>
      </c>
      <c r="C57" s="37" t="s">
        <v>3883</v>
      </c>
      <c r="D57" s="37" t="s">
        <v>3178</v>
      </c>
      <c r="E57" s="37" t="s">
        <v>3104</v>
      </c>
      <c r="F57" s="37" t="s">
        <v>3867</v>
      </c>
      <c r="G57" s="37" t="s">
        <v>3884</v>
      </c>
      <c r="H57" s="37" t="s">
        <v>40</v>
      </c>
      <c r="I57" s="37" t="s">
        <v>3873</v>
      </c>
      <c r="J57" s="37" t="s">
        <v>44</v>
      </c>
      <c r="K57" s="37" t="s">
        <v>2783</v>
      </c>
      <c r="L57" s="37" t="s">
        <v>3878</v>
      </c>
      <c r="M57" s="37" t="s">
        <v>1242</v>
      </c>
      <c r="N57" s="37" t="s">
        <v>3880</v>
      </c>
      <c r="P57" s="956" t="s">
        <v>3885</v>
      </c>
    </row>
    <row r="58" spans="1:16">
      <c r="A58" t="s">
        <v>3826</v>
      </c>
      <c r="B58" s="49">
        <v>10</v>
      </c>
      <c r="C58" s="27">
        <f t="shared" ref="C58:C85" si="3">C6*$B$43</f>
        <v>21.975657217200002</v>
      </c>
      <c r="D58" s="27">
        <f t="shared" ref="D58:D85" si="4">D6*$B$44</f>
        <v>2.2304793423000002</v>
      </c>
      <c r="E58" s="27">
        <f t="shared" ref="E58:E85" si="5">E6*$B$45</f>
        <v>15.841199309529999</v>
      </c>
      <c r="F58" s="27">
        <f t="shared" ref="F58:F85" si="6">F6*$B$46</f>
        <v>0.52395120869</v>
      </c>
      <c r="G58" s="27">
        <f t="shared" ref="G58:G85" si="7">G6*$B$47</f>
        <v>3.8395765719699999</v>
      </c>
      <c r="H58" s="27">
        <f t="shared" ref="H58:H85" si="8">H6*$B$48</f>
        <v>228.62876455045202</v>
      </c>
      <c r="I58" s="27">
        <f t="shared" ref="I58:I85" si="9">I6*$B$49</f>
        <v>0.65509384173350005</v>
      </c>
      <c r="J58" s="27">
        <f t="shared" ref="J58:J85" si="10">J6*$B$50</f>
        <v>25.164038584048999</v>
      </c>
      <c r="K58" s="27">
        <f t="shared" ref="K58:K85" si="11">K6*$B$51</f>
        <v>0.11593073751000002</v>
      </c>
      <c r="L58" s="27">
        <f t="shared" ref="L58:L85" si="12">L6*$B$52</f>
        <v>2.3498341516800001</v>
      </c>
      <c r="M58" s="27">
        <f t="shared" ref="M58:M85" si="13">M6*$B$53</f>
        <v>191.88561363636367</v>
      </c>
      <c r="N58" s="27">
        <f t="shared" ref="N58:N85" si="14">N6*$B$54</f>
        <v>0.62545766868000008</v>
      </c>
      <c r="P58" s="537" t="s">
        <v>63</v>
      </c>
    </row>
    <row r="59" spans="1:16">
      <c r="A59" t="s">
        <v>3827</v>
      </c>
      <c r="B59" s="49">
        <f>B58+1</f>
        <v>11</v>
      </c>
      <c r="C59" s="27">
        <f t="shared" si="3"/>
        <v>3.8404167768000006</v>
      </c>
      <c r="D59" s="27">
        <f t="shared" si="4"/>
        <v>0.11661773351800001</v>
      </c>
      <c r="E59" s="27">
        <f t="shared" si="5"/>
        <v>0.88652783394000001</v>
      </c>
      <c r="F59" s="27">
        <f t="shared" si="6"/>
        <v>0.17440470873</v>
      </c>
      <c r="G59" s="27">
        <f t="shared" si="7"/>
        <v>0.10174347472</v>
      </c>
      <c r="H59" s="27">
        <f t="shared" si="8"/>
        <v>0.45022159644000004</v>
      </c>
      <c r="I59" s="27">
        <f t="shared" si="9"/>
        <v>4.0503668075000006E-3</v>
      </c>
      <c r="J59" s="27">
        <f t="shared" si="10"/>
        <v>0.84490640805299999</v>
      </c>
      <c r="K59" s="27">
        <f t="shared" si="11"/>
        <v>1.0551954600000002E-3</v>
      </c>
      <c r="L59" s="27">
        <f t="shared" si="12"/>
        <v>0.13019965812000001</v>
      </c>
      <c r="M59" s="27">
        <f t="shared" si="13"/>
        <v>1.5812550000000003</v>
      </c>
      <c r="N59" s="27">
        <f t="shared" si="14"/>
        <v>1.1301700800000002E-2</v>
      </c>
      <c r="P59" s="537" t="s">
        <v>63</v>
      </c>
    </row>
    <row r="60" spans="1:16">
      <c r="A60" t="s">
        <v>3828</v>
      </c>
      <c r="B60" s="49">
        <f t="shared" ref="B60:B72" si="15">B59+1</f>
        <v>12</v>
      </c>
      <c r="C60" s="27">
        <f t="shared" si="3"/>
        <v>1.4433867360000001</v>
      </c>
      <c r="D60" s="27">
        <f t="shared" si="4"/>
        <v>9.8988819666000011E-2</v>
      </c>
      <c r="E60" s="27">
        <f t="shared" si="5"/>
        <v>0.54008573402000004</v>
      </c>
      <c r="F60" s="27">
        <f t="shared" si="6"/>
        <v>1.688328628E-2</v>
      </c>
      <c r="G60" s="27">
        <f t="shared" si="7"/>
        <v>8.8057152760000007E-2</v>
      </c>
      <c r="H60" s="27">
        <f t="shared" si="8"/>
        <v>1.36795575E-2</v>
      </c>
      <c r="I60" s="27">
        <f t="shared" si="9"/>
        <v>5.072570997000001E-3</v>
      </c>
      <c r="J60" s="27">
        <f t="shared" si="10"/>
        <v>0.41959241744300002</v>
      </c>
      <c r="K60" s="27">
        <f t="shared" si="11"/>
        <v>1.3048242000000002E-4</v>
      </c>
      <c r="L60" s="27">
        <f t="shared" si="12"/>
        <v>4.032307332E-2</v>
      </c>
      <c r="M60" s="27">
        <f t="shared" si="13"/>
        <v>2.0563636363636368E-4</v>
      </c>
      <c r="N60" s="27">
        <f t="shared" si="14"/>
        <v>1.0104765000000002E-2</v>
      </c>
      <c r="P60" s="537" t="s">
        <v>63</v>
      </c>
    </row>
    <row r="61" spans="1:16">
      <c r="A61" t="s">
        <v>461</v>
      </c>
      <c r="B61" s="49">
        <f t="shared" si="15"/>
        <v>13</v>
      </c>
      <c r="C61" s="27">
        <f t="shared" si="3"/>
        <v>19.896124309200001</v>
      </c>
      <c r="D61" s="27">
        <f t="shared" si="4"/>
        <v>1.8305877117440001</v>
      </c>
      <c r="E61" s="27">
        <f t="shared" si="5"/>
        <v>1.6460414966100001</v>
      </c>
      <c r="F61" s="27">
        <f t="shared" si="6"/>
        <v>0.27723460968000002</v>
      </c>
      <c r="G61" s="27">
        <f t="shared" si="7"/>
        <v>0.12053018</v>
      </c>
      <c r="H61" s="27">
        <f t="shared" si="8"/>
        <v>50.881431486984006</v>
      </c>
      <c r="I61" s="27">
        <f t="shared" si="9"/>
        <v>0.34936560895600005</v>
      </c>
      <c r="J61" s="27">
        <f t="shared" si="10"/>
        <v>2.5871168947430001</v>
      </c>
      <c r="K61" s="27">
        <f t="shared" si="11"/>
        <v>1.7129472540000003E-2</v>
      </c>
      <c r="L61" s="27">
        <f t="shared" si="12"/>
        <v>0.26593198596000001</v>
      </c>
      <c r="M61" s="27">
        <f t="shared" si="13"/>
        <v>1.0220694545454547</v>
      </c>
      <c r="N61" s="27">
        <f t="shared" si="14"/>
        <v>0.14392402467000004</v>
      </c>
      <c r="P61" s="537" t="s">
        <v>64</v>
      </c>
    </row>
    <row r="62" spans="1:16">
      <c r="A62" t="s">
        <v>3829</v>
      </c>
      <c r="B62" s="49">
        <f t="shared" si="15"/>
        <v>14</v>
      </c>
      <c r="C62" s="27">
        <f t="shared" si="3"/>
        <v>9.7333763940000004</v>
      </c>
      <c r="D62" s="27">
        <f t="shared" si="4"/>
        <v>1.3900236838840001</v>
      </c>
      <c r="E62" s="27">
        <f t="shared" si="5"/>
        <v>0.45279586786000003</v>
      </c>
      <c r="F62" s="27">
        <f t="shared" si="6"/>
        <v>0.10189612272</v>
      </c>
      <c r="G62" s="27">
        <f t="shared" si="7"/>
        <v>8.5729254540000008E-2</v>
      </c>
      <c r="H62" s="27">
        <f t="shared" si="8"/>
        <v>10.397470515432001</v>
      </c>
      <c r="I62" s="27">
        <f t="shared" si="9"/>
        <v>0.12179223602650001</v>
      </c>
      <c r="J62" s="27">
        <f t="shared" si="10"/>
        <v>0.22940061184499999</v>
      </c>
      <c r="K62" s="27">
        <f t="shared" si="11"/>
        <v>3.9336267000000005E-4</v>
      </c>
      <c r="L62" s="27">
        <f t="shared" si="12"/>
        <v>6.5162245320000006E-2</v>
      </c>
      <c r="M62" s="27">
        <f t="shared" si="13"/>
        <v>6.1044454545454555E-2</v>
      </c>
      <c r="N62" s="27">
        <f t="shared" si="14"/>
        <v>2.7119391120000006E-2</v>
      </c>
      <c r="P62" s="537" t="s">
        <v>64</v>
      </c>
    </row>
    <row r="63" spans="1:16">
      <c r="A63" t="s">
        <v>3830</v>
      </c>
      <c r="B63" s="49">
        <f t="shared" si="15"/>
        <v>15</v>
      </c>
      <c r="C63" s="27">
        <f t="shared" si="3"/>
        <v>4.9675904352000009</v>
      </c>
      <c r="D63" s="27">
        <f t="shared" si="4"/>
        <v>0.14553026195400001</v>
      </c>
      <c r="E63" s="27">
        <f t="shared" si="5"/>
        <v>0.12595683121000001</v>
      </c>
      <c r="F63" s="27">
        <f t="shared" si="6"/>
        <v>2.64526465E-3</v>
      </c>
      <c r="G63" s="27">
        <f t="shared" si="7"/>
        <v>5.7338105139999998E-2</v>
      </c>
      <c r="H63" s="27">
        <f t="shared" si="8"/>
        <v>8.9978657412000007E-2</v>
      </c>
      <c r="I63" s="27">
        <f t="shared" si="9"/>
        <v>9.9675245150000012E-3</v>
      </c>
      <c r="J63" s="27">
        <f t="shared" si="10"/>
        <v>0.14453580246600001</v>
      </c>
      <c r="K63" s="27">
        <f t="shared" si="11"/>
        <v>1.4564543100000003E-3</v>
      </c>
      <c r="L63" s="27">
        <f t="shared" si="12"/>
        <v>3.2380338959999998E-2</v>
      </c>
      <c r="M63" s="27">
        <f t="shared" si="13"/>
        <v>1.5221818181818184E-3</v>
      </c>
      <c r="N63" s="27">
        <f t="shared" si="14"/>
        <v>9.6960008700000024E-3</v>
      </c>
      <c r="P63" s="537" t="s">
        <v>64</v>
      </c>
    </row>
    <row r="64" spans="1:16">
      <c r="A64" t="s">
        <v>3831</v>
      </c>
      <c r="B64" s="49">
        <f t="shared" si="15"/>
        <v>16</v>
      </c>
      <c r="C64" s="27">
        <f t="shared" si="3"/>
        <v>5.1138058536000006</v>
      </c>
      <c r="D64" s="27">
        <f t="shared" si="4"/>
        <v>0.22852087128200002</v>
      </c>
      <c r="E64" s="27">
        <f t="shared" si="5"/>
        <v>1.7748660573700001</v>
      </c>
      <c r="F64" s="27">
        <f t="shared" si="6"/>
        <v>3.426759721E-2</v>
      </c>
      <c r="G64" s="27">
        <f t="shared" si="7"/>
        <v>0.29883083170000002</v>
      </c>
      <c r="H64" s="27">
        <f t="shared" si="8"/>
        <v>0.62494784847600005</v>
      </c>
      <c r="I64" s="27">
        <f t="shared" si="9"/>
        <v>3.3444029385000006E-3</v>
      </c>
      <c r="J64" s="27">
        <f t="shared" si="10"/>
        <v>0.120931926232</v>
      </c>
      <c r="K64" s="27">
        <f t="shared" si="11"/>
        <v>1.6416236400000003E-3</v>
      </c>
      <c r="L64" s="27">
        <f t="shared" si="12"/>
        <v>6.2749822679999998E-2</v>
      </c>
      <c r="M64" s="27">
        <f t="shared" si="13"/>
        <v>6.8130636363636379E-2</v>
      </c>
      <c r="N64" s="27">
        <f t="shared" si="14"/>
        <v>5.7374503860000009E-2</v>
      </c>
      <c r="P64" s="537" t="s">
        <v>65</v>
      </c>
    </row>
    <row r="65" spans="1:16">
      <c r="A65" t="s">
        <v>3832</v>
      </c>
      <c r="B65" s="49">
        <f t="shared" si="15"/>
        <v>17</v>
      </c>
      <c r="C65" s="27">
        <f t="shared" si="3"/>
        <v>13.730149256400001</v>
      </c>
      <c r="D65" s="27">
        <f t="shared" si="4"/>
        <v>0.15760130104400003</v>
      </c>
      <c r="E65" s="27">
        <f t="shared" si="5"/>
        <v>1.89754143558</v>
      </c>
      <c r="F65" s="27">
        <f t="shared" si="6"/>
        <v>7.0300937770000002E-2</v>
      </c>
      <c r="G65" s="27">
        <f t="shared" si="7"/>
        <v>0.86962026600999998</v>
      </c>
      <c r="H65" s="27">
        <f t="shared" si="8"/>
        <v>33.159510027503998</v>
      </c>
      <c r="I65" s="27">
        <f t="shared" si="9"/>
        <v>1.4922294569000003E-2</v>
      </c>
      <c r="J65" s="27">
        <f t="shared" si="10"/>
        <v>24.921548604748001</v>
      </c>
      <c r="K65" s="27">
        <f t="shared" si="11"/>
        <v>2.7605358000000008E-4</v>
      </c>
      <c r="L65" s="27">
        <f t="shared" si="12"/>
        <v>0.11026583352</v>
      </c>
      <c r="M65" s="27">
        <f t="shared" si="13"/>
        <v>0.31104745454545457</v>
      </c>
      <c r="N65" s="27">
        <f t="shared" si="14"/>
        <v>3.7346429640000005E-2</v>
      </c>
      <c r="P65" s="537" t="s">
        <v>66</v>
      </c>
    </row>
    <row r="66" spans="1:16">
      <c r="A66" t="s">
        <v>3833</v>
      </c>
      <c r="B66" s="49">
        <f t="shared" si="15"/>
        <v>18</v>
      </c>
      <c r="C66" s="27">
        <f t="shared" si="3"/>
        <v>0.96884849160000008</v>
      </c>
      <c r="D66" s="27">
        <f t="shared" si="4"/>
        <v>0.113935611724</v>
      </c>
      <c r="E66" s="27">
        <f t="shared" si="5"/>
        <v>6.4727828269999996E-2</v>
      </c>
      <c r="F66" s="27">
        <f t="shared" si="6"/>
        <v>3.10363424E-3</v>
      </c>
      <c r="G66" s="27">
        <f t="shared" si="7"/>
        <v>1.8043520699999999E-2</v>
      </c>
      <c r="H66" s="27">
        <f t="shared" si="8"/>
        <v>0</v>
      </c>
      <c r="I66" s="27">
        <f t="shared" si="9"/>
        <v>4.5803225000000007E-6</v>
      </c>
      <c r="J66" s="27">
        <f t="shared" si="10"/>
        <v>1.7865217744E-2</v>
      </c>
      <c r="K66" s="27">
        <f t="shared" si="11"/>
        <v>2.6096484000000004E-4</v>
      </c>
      <c r="L66" s="27">
        <f t="shared" si="12"/>
        <v>1.031544828E-2</v>
      </c>
      <c r="M66" s="27">
        <f t="shared" si="13"/>
        <v>0</v>
      </c>
      <c r="N66" s="27">
        <f t="shared" si="14"/>
        <v>3.7598716500000006E-3</v>
      </c>
      <c r="P66" s="537" t="s">
        <v>66</v>
      </c>
    </row>
    <row r="67" spans="1:16">
      <c r="A67" t="s">
        <v>3834</v>
      </c>
      <c r="B67" s="49">
        <f t="shared" si="15"/>
        <v>19</v>
      </c>
      <c r="C67" s="27">
        <f t="shared" si="3"/>
        <v>3.2704770384000001</v>
      </c>
      <c r="D67" s="27">
        <f t="shared" si="4"/>
        <v>3.0872796966000003E-2</v>
      </c>
      <c r="E67" s="27">
        <f t="shared" si="5"/>
        <v>0.60102553259000002</v>
      </c>
      <c r="F67" s="27">
        <f t="shared" si="6"/>
        <v>5.7174627999999998E-3</v>
      </c>
      <c r="G67" s="27">
        <f t="shared" si="7"/>
        <v>0.11806636709</v>
      </c>
      <c r="H67" s="27">
        <f t="shared" si="8"/>
        <v>0.13996923234</v>
      </c>
      <c r="I67" s="27">
        <f t="shared" si="9"/>
        <v>0.18598840212550002</v>
      </c>
      <c r="J67" s="27">
        <f t="shared" si="10"/>
        <v>3.8497142242910001</v>
      </c>
      <c r="K67" s="27">
        <f t="shared" si="11"/>
        <v>5.1592506510000011E-2</v>
      </c>
      <c r="L67" s="27">
        <f t="shared" si="12"/>
        <v>7.35752592E-3</v>
      </c>
      <c r="M67" s="27">
        <f t="shared" si="13"/>
        <v>7.0909090909090922E-4</v>
      </c>
      <c r="N67" s="27">
        <f t="shared" si="14"/>
        <v>4.932118206000001E-2</v>
      </c>
      <c r="P67" s="537" t="s">
        <v>67</v>
      </c>
    </row>
    <row r="68" spans="1:16">
      <c r="A68" t="s">
        <v>3835</v>
      </c>
      <c r="B68" s="49">
        <f t="shared" si="15"/>
        <v>20</v>
      </c>
      <c r="C68" s="27">
        <f t="shared" si="3"/>
        <v>20.705500288800003</v>
      </c>
      <c r="D68" s="27">
        <f t="shared" si="4"/>
        <v>0.45821518969600006</v>
      </c>
      <c r="E68" s="27">
        <f t="shared" si="5"/>
        <v>1.1646714865100001</v>
      </c>
      <c r="F68" s="27">
        <f t="shared" si="6"/>
        <v>0.31780221375000001</v>
      </c>
      <c r="G68" s="27">
        <f t="shared" si="7"/>
        <v>0.52248385504000006</v>
      </c>
      <c r="H68" s="27">
        <f t="shared" si="8"/>
        <v>47.719505735496</v>
      </c>
      <c r="I68" s="27">
        <f t="shared" si="9"/>
        <v>0.28632927954800003</v>
      </c>
      <c r="J68" s="27">
        <f t="shared" si="10"/>
        <v>37.681827614292999</v>
      </c>
      <c r="K68" s="27">
        <f t="shared" si="11"/>
        <v>0.11344699800000002</v>
      </c>
      <c r="L68" s="27">
        <f t="shared" si="12"/>
        <v>0.32137087679999998</v>
      </c>
      <c r="M68" s="27">
        <f t="shared" si="13"/>
        <v>5.8453696363636372</v>
      </c>
      <c r="N68" s="27">
        <f t="shared" si="14"/>
        <v>8.8922127450000013E-2</v>
      </c>
      <c r="P68" s="537" t="s">
        <v>68</v>
      </c>
    </row>
    <row r="69" spans="1:16">
      <c r="A69" t="s">
        <v>3836</v>
      </c>
      <c r="B69" s="49">
        <f t="shared" si="15"/>
        <v>21</v>
      </c>
      <c r="C69" s="27">
        <f t="shared" si="3"/>
        <v>1.9013629500000002</v>
      </c>
      <c r="D69" s="27">
        <f t="shared" si="4"/>
        <v>9.6839041200000003E-2</v>
      </c>
      <c r="E69" s="27">
        <f t="shared" si="5"/>
        <v>0.61159173467000005</v>
      </c>
      <c r="F69" s="27">
        <f t="shared" si="6"/>
        <v>5.8387272300000001E-3</v>
      </c>
      <c r="G69" s="27">
        <f t="shared" si="7"/>
        <v>0.56686973029999999</v>
      </c>
      <c r="H69" s="27">
        <f t="shared" si="8"/>
        <v>0.49826420238000002</v>
      </c>
      <c r="I69" s="27">
        <f t="shared" si="9"/>
        <v>1.6695052686000002E-2</v>
      </c>
      <c r="J69" s="27">
        <f t="shared" si="10"/>
        <v>0.67360493957900003</v>
      </c>
      <c r="K69" s="27">
        <f t="shared" si="11"/>
        <v>2.1583191690000003E-2</v>
      </c>
      <c r="L69" s="27">
        <f t="shared" si="12"/>
        <v>7.8618360959999994E-2</v>
      </c>
      <c r="M69" s="27">
        <f t="shared" si="13"/>
        <v>0.14562245454545455</v>
      </c>
      <c r="N69" s="27">
        <f t="shared" si="14"/>
        <v>3.3923474700000007E-3</v>
      </c>
      <c r="P69" s="537" t="s">
        <v>68</v>
      </c>
    </row>
    <row r="70" spans="1:16">
      <c r="A70" t="s">
        <v>3837</v>
      </c>
      <c r="B70" s="49">
        <f t="shared" si="15"/>
        <v>22</v>
      </c>
      <c r="C70" s="27">
        <f t="shared" si="3"/>
        <v>15.427252047600001</v>
      </c>
      <c r="D70" s="27">
        <f t="shared" si="4"/>
        <v>1.3852307511020001</v>
      </c>
      <c r="E70" s="27">
        <f t="shared" si="5"/>
        <v>1.6312474276</v>
      </c>
      <c r="F70" s="27">
        <f t="shared" si="6"/>
        <v>0.2124800167</v>
      </c>
      <c r="G70" s="27">
        <f t="shared" si="7"/>
        <v>0.84119260113000005</v>
      </c>
      <c r="H70" s="27">
        <f t="shared" si="8"/>
        <v>13.868269731624</v>
      </c>
      <c r="I70" s="27">
        <f t="shared" si="9"/>
        <v>0.22121425123850003</v>
      </c>
      <c r="J70" s="27">
        <f t="shared" si="10"/>
        <v>14.219776646515999</v>
      </c>
      <c r="K70" s="27">
        <f t="shared" si="11"/>
        <v>4.0178695590000008E-2</v>
      </c>
      <c r="L70" s="27">
        <f t="shared" si="12"/>
        <v>0.6936997842</v>
      </c>
      <c r="M70" s="27">
        <f t="shared" si="13"/>
        <v>17.416922545454547</v>
      </c>
      <c r="N70" s="27">
        <f t="shared" si="14"/>
        <v>8.6638724190000016E-2</v>
      </c>
      <c r="P70" s="537" t="s">
        <v>69</v>
      </c>
    </row>
    <row r="71" spans="1:16">
      <c r="A71" t="s">
        <v>3838</v>
      </c>
      <c r="B71" s="49">
        <f t="shared" si="15"/>
        <v>23</v>
      </c>
      <c r="C71" s="27">
        <f t="shared" si="3"/>
        <v>30.524141631600003</v>
      </c>
      <c r="D71" s="27">
        <f t="shared" si="4"/>
        <v>1.7443581109020001</v>
      </c>
      <c r="E71" s="27">
        <f t="shared" si="5"/>
        <v>5.1253339489099998</v>
      </c>
      <c r="F71" s="27">
        <f t="shared" si="6"/>
        <v>1.1284880874400001</v>
      </c>
      <c r="G71" s="27">
        <f t="shared" si="7"/>
        <v>1.37607764418</v>
      </c>
      <c r="H71" s="27">
        <f t="shared" si="8"/>
        <v>1923.2152049159281</v>
      </c>
      <c r="I71" s="27">
        <f t="shared" si="9"/>
        <v>0.16993825884750002</v>
      </c>
      <c r="J71" s="27">
        <f t="shared" si="10"/>
        <v>35.902715844980001</v>
      </c>
      <c r="K71" s="27">
        <f t="shared" si="11"/>
        <v>0.23730714201000006</v>
      </c>
      <c r="L71" s="27">
        <f t="shared" si="12"/>
        <v>0.30026017440000002</v>
      </c>
      <c r="M71" s="27">
        <f t="shared" si="13"/>
        <v>32.321940181818185</v>
      </c>
      <c r="N71" s="27">
        <f t="shared" si="14"/>
        <v>0.14467986891000004</v>
      </c>
      <c r="P71" s="537" t="s">
        <v>70</v>
      </c>
    </row>
    <row r="72" spans="1:16">
      <c r="A72" s="25" t="s">
        <v>3839</v>
      </c>
      <c r="B72" s="951">
        <f t="shared" si="15"/>
        <v>24</v>
      </c>
      <c r="C72" s="952">
        <f t="shared" si="3"/>
        <v>38.079456357600002</v>
      </c>
      <c r="D72" s="952">
        <f t="shared" si="4"/>
        <v>0.14525162605800002</v>
      </c>
      <c r="E72" s="952">
        <f t="shared" si="5"/>
        <v>6.92951107786</v>
      </c>
      <c r="F72" s="952">
        <f t="shared" si="6"/>
        <v>2.9465725272899999</v>
      </c>
      <c r="G72" s="952">
        <f t="shared" si="7"/>
        <v>7.8453060701600004</v>
      </c>
      <c r="H72" s="952">
        <f t="shared" si="8"/>
        <v>265.89078481585199</v>
      </c>
      <c r="I72" s="952">
        <f t="shared" si="9"/>
        <v>20.279731964817003</v>
      </c>
      <c r="J72" s="952">
        <f t="shared" si="10"/>
        <v>6.1898748352970001</v>
      </c>
      <c r="K72" s="952">
        <f t="shared" si="11"/>
        <v>7.0817789400000011E-2</v>
      </c>
      <c r="L72" s="952">
        <f t="shared" si="12"/>
        <v>4.6711249019999999</v>
      </c>
      <c r="M72" s="952">
        <f t="shared" si="13"/>
        <v>9.4393000000000019E-2</v>
      </c>
      <c r="N72" s="952">
        <f t="shared" si="14"/>
        <v>9.7285589310000017E-2</v>
      </c>
      <c r="P72" s="537"/>
    </row>
    <row r="73" spans="1:16">
      <c r="A73" s="948" t="s">
        <v>3840</v>
      </c>
      <c r="B73" s="49">
        <v>241</v>
      </c>
      <c r="C73" s="27">
        <f t="shared" si="3"/>
        <v>29.597855842800005</v>
      </c>
      <c r="D73" s="27">
        <f t="shared" si="4"/>
        <v>8.7770307240000012E-2</v>
      </c>
      <c r="E73" s="27">
        <f t="shared" si="5"/>
        <v>4.01091644093</v>
      </c>
      <c r="F73" s="27">
        <f t="shared" si="6"/>
        <v>2.9318998375800001</v>
      </c>
      <c r="G73" s="27">
        <f t="shared" si="7"/>
        <v>6.4639055309999999E-2</v>
      </c>
      <c r="H73" s="27">
        <f t="shared" si="8"/>
        <v>151.565951358696</v>
      </c>
      <c r="I73" s="27">
        <f t="shared" si="9"/>
        <v>20.255274280592001</v>
      </c>
      <c r="J73" s="27">
        <f t="shared" si="10"/>
        <v>3.1209990678469999</v>
      </c>
      <c r="K73" s="27">
        <f t="shared" si="11"/>
        <v>1.8413344500000004E-3</v>
      </c>
      <c r="L73" s="27">
        <f t="shared" si="12"/>
        <v>4.5133863505200003</v>
      </c>
      <c r="M73" s="27">
        <f t="shared" si="13"/>
        <v>0</v>
      </c>
      <c r="N73" s="27">
        <f t="shared" si="14"/>
        <v>4.1510804610000007E-2</v>
      </c>
      <c r="P73" s="537" t="s">
        <v>71</v>
      </c>
    </row>
    <row r="74" spans="1:16">
      <c r="A74" s="948" t="s">
        <v>3841</v>
      </c>
      <c r="B74" s="49">
        <v>242</v>
      </c>
      <c r="C74" s="27">
        <f t="shared" si="3"/>
        <v>7.5905619732000007</v>
      </c>
      <c r="D74" s="27">
        <f t="shared" si="4"/>
        <v>3.9355745528000002E-2</v>
      </c>
      <c r="E74" s="27">
        <f t="shared" si="5"/>
        <v>2.8796122771500001</v>
      </c>
      <c r="F74" s="27">
        <f t="shared" si="6"/>
        <v>1.2976059810000001E-2</v>
      </c>
      <c r="G74" s="27">
        <f t="shared" si="7"/>
        <v>7.7713658237900001</v>
      </c>
      <c r="H74" s="27">
        <f t="shared" si="8"/>
        <v>114.235927277052</v>
      </c>
      <c r="I74" s="27">
        <f t="shared" si="9"/>
        <v>1.8441368725000001E-2</v>
      </c>
      <c r="J74" s="27">
        <f t="shared" si="10"/>
        <v>2.6275096133720002</v>
      </c>
      <c r="K74" s="27">
        <f t="shared" si="11"/>
        <v>5.738478453000001E-2</v>
      </c>
      <c r="L74" s="27">
        <f t="shared" si="12"/>
        <v>0.14452945991999999</v>
      </c>
      <c r="M74" s="27">
        <f t="shared" si="13"/>
        <v>9.2322454545454555E-2</v>
      </c>
      <c r="N74" s="27">
        <f t="shared" si="14"/>
        <v>5.3698832070000008E-2</v>
      </c>
      <c r="P74" s="537" t="s">
        <v>72</v>
      </c>
    </row>
    <row r="75" spans="1:16">
      <c r="A75" s="948" t="s">
        <v>3842</v>
      </c>
      <c r="B75" s="49">
        <v>2431</v>
      </c>
      <c r="C75" s="27">
        <f t="shared" si="3"/>
        <v>0.73058729400000011</v>
      </c>
      <c r="D75" s="27">
        <f t="shared" si="4"/>
        <v>1.7364819560000001E-3</v>
      </c>
      <c r="E75" s="27">
        <f t="shared" si="5"/>
        <v>1.608811785E-2</v>
      </c>
      <c r="F75" s="27">
        <f t="shared" si="6"/>
        <v>1.62816738E-3</v>
      </c>
      <c r="G75" s="27">
        <f t="shared" si="7"/>
        <v>8.74636671E-3</v>
      </c>
      <c r="H75" s="27">
        <f t="shared" si="8"/>
        <v>6.8025703536000001E-2</v>
      </c>
      <c r="I75" s="27">
        <f t="shared" si="9"/>
        <v>6.016315500000001E-3</v>
      </c>
      <c r="J75" s="27">
        <f t="shared" si="10"/>
        <v>2.9576704150999999E-2</v>
      </c>
      <c r="K75" s="27">
        <f t="shared" si="11"/>
        <v>5.472600000000001E-7</v>
      </c>
      <c r="L75" s="27">
        <f t="shared" si="12"/>
        <v>8.9796884399999995E-3</v>
      </c>
      <c r="M75" s="27">
        <f t="shared" si="13"/>
        <v>6.3818181818181826E-5</v>
      </c>
      <c r="N75" s="27">
        <f t="shared" si="14"/>
        <v>1.5350252100000002E-3</v>
      </c>
      <c r="P75" s="537" t="s">
        <v>71</v>
      </c>
    </row>
    <row r="76" spans="1:16">
      <c r="A76" s="948" t="s">
        <v>3843</v>
      </c>
      <c r="B76" s="49">
        <v>2432</v>
      </c>
      <c r="C76" s="27">
        <f t="shared" si="3"/>
        <v>0.16045124760000001</v>
      </c>
      <c r="D76" s="27">
        <f t="shared" si="4"/>
        <v>1.6389091334000003E-2</v>
      </c>
      <c r="E76" s="27">
        <f t="shared" si="5"/>
        <v>2.289424193E-2</v>
      </c>
      <c r="F76" s="27">
        <f t="shared" si="6"/>
        <v>6.8462520000000005E-5</v>
      </c>
      <c r="G76" s="27">
        <f t="shared" si="7"/>
        <v>5.5482435E-4</v>
      </c>
      <c r="H76" s="27">
        <f t="shared" si="8"/>
        <v>2.0880476568E-2</v>
      </c>
      <c r="I76" s="27">
        <f t="shared" si="9"/>
        <v>0</v>
      </c>
      <c r="J76" s="27">
        <f t="shared" si="10"/>
        <v>0.41178944992700001</v>
      </c>
      <c r="K76" s="27">
        <f t="shared" si="11"/>
        <v>1.1591123160000003E-2</v>
      </c>
      <c r="L76" s="27">
        <f t="shared" si="12"/>
        <v>4.22940312E-3</v>
      </c>
      <c r="M76" s="27">
        <f t="shared" si="13"/>
        <v>2.0067272727272729E-3</v>
      </c>
      <c r="N76" s="27">
        <f t="shared" si="14"/>
        <v>5.4092742000000013E-4</v>
      </c>
      <c r="P76" s="537" t="s">
        <v>72</v>
      </c>
    </row>
    <row r="77" spans="1:16">
      <c r="A77" t="s">
        <v>3844</v>
      </c>
      <c r="B77" s="49">
        <f>B72+1</f>
        <v>25</v>
      </c>
      <c r="C77" s="27">
        <f t="shared" si="3"/>
        <v>4.1505395148000002</v>
      </c>
      <c r="D77" s="27">
        <f t="shared" si="4"/>
        <v>0.62871439089800008</v>
      </c>
      <c r="E77" s="27">
        <f t="shared" si="5"/>
        <v>0.86735710306000002</v>
      </c>
      <c r="F77" s="27">
        <f t="shared" si="6"/>
        <v>9.6586324360399995</v>
      </c>
      <c r="G77" s="27">
        <f t="shared" si="7"/>
        <v>9.2461414280000001E-2</v>
      </c>
      <c r="H77" s="27">
        <f t="shared" si="8"/>
        <v>0.23415024981600002</v>
      </c>
      <c r="I77" s="27">
        <f t="shared" si="9"/>
        <v>4.1972589880000001E-3</v>
      </c>
      <c r="J77" s="27">
        <f t="shared" si="10"/>
        <v>2.4602422911640001</v>
      </c>
      <c r="K77" s="27">
        <f t="shared" si="11"/>
        <v>1.1470178700000002E-3</v>
      </c>
      <c r="L77" s="27">
        <f t="shared" si="12"/>
        <v>0.39064330475999998</v>
      </c>
      <c r="M77" s="27">
        <f t="shared" si="13"/>
        <v>4.2439090909090916E-3</v>
      </c>
      <c r="N77" s="27">
        <f t="shared" si="14"/>
        <v>0.63296068146000017</v>
      </c>
      <c r="P77" s="537" t="s">
        <v>76</v>
      </c>
    </row>
    <row r="78" spans="1:16">
      <c r="A78" t="s">
        <v>3845</v>
      </c>
      <c r="B78" s="49">
        <f t="shared" ref="B78:B85" si="16">B77+1</f>
        <v>26</v>
      </c>
      <c r="C78" s="27">
        <f t="shared" si="3"/>
        <v>4.7695564656000009</v>
      </c>
      <c r="D78" s="27">
        <f t="shared" si="4"/>
        <v>0.37997710491400005</v>
      </c>
      <c r="E78" s="27">
        <f t="shared" si="5"/>
        <v>0.27196487185000001</v>
      </c>
      <c r="F78" s="27">
        <f t="shared" si="6"/>
        <v>4.0634879599999998E-3</v>
      </c>
      <c r="G78" s="27">
        <f t="shared" si="7"/>
        <v>0.16756899217000001</v>
      </c>
      <c r="H78" s="27">
        <f t="shared" si="8"/>
        <v>0</v>
      </c>
      <c r="I78" s="27">
        <f t="shared" si="9"/>
        <v>0</v>
      </c>
      <c r="J78" s="27">
        <f t="shared" si="10"/>
        <v>0.66244118852699996</v>
      </c>
      <c r="K78" s="27">
        <f t="shared" si="11"/>
        <v>1.8716292000000003E-4</v>
      </c>
      <c r="L78" s="27">
        <f t="shared" si="12"/>
        <v>1.069008732E-2</v>
      </c>
      <c r="M78" s="27">
        <f t="shared" si="13"/>
        <v>3.4272727272727277E-5</v>
      </c>
      <c r="N78" s="27">
        <f t="shared" si="14"/>
        <v>8.532330660000002E-3</v>
      </c>
      <c r="P78" s="537" t="s">
        <v>75</v>
      </c>
    </row>
    <row r="79" spans="1:16">
      <c r="A79" t="s">
        <v>3846</v>
      </c>
      <c r="B79" s="49">
        <f t="shared" si="16"/>
        <v>27</v>
      </c>
      <c r="C79" s="27">
        <f t="shared" si="3"/>
        <v>5.3308984932000003</v>
      </c>
      <c r="D79" s="27">
        <f t="shared" si="4"/>
        <v>0.32026452103800002</v>
      </c>
      <c r="E79" s="27">
        <f t="shared" si="5"/>
        <v>0.24570264152000001</v>
      </c>
      <c r="F79" s="27">
        <f t="shared" si="6"/>
        <v>0.10500354767</v>
      </c>
      <c r="G79" s="27">
        <f t="shared" si="7"/>
        <v>7.7823071199999996E-2</v>
      </c>
      <c r="H79" s="27">
        <f t="shared" si="8"/>
        <v>4.4087353402680005</v>
      </c>
      <c r="I79" s="27">
        <f t="shared" si="9"/>
        <v>1.3430000740000001E-3</v>
      </c>
      <c r="J79" s="27">
        <f t="shared" si="10"/>
        <v>2.5195253469169998</v>
      </c>
      <c r="K79" s="27">
        <f t="shared" si="11"/>
        <v>2.2085850000000005E-5</v>
      </c>
      <c r="L79" s="27">
        <f t="shared" si="12"/>
        <v>6.5545231679999996E-2</v>
      </c>
      <c r="M79" s="27">
        <f t="shared" si="13"/>
        <v>0.73393390909090916</v>
      </c>
      <c r="N79" s="27">
        <f t="shared" si="14"/>
        <v>4.1332436940000009E-2</v>
      </c>
      <c r="P79" s="537" t="s">
        <v>75</v>
      </c>
    </row>
    <row r="80" spans="1:16">
      <c r="A80" t="s">
        <v>3847</v>
      </c>
      <c r="B80" s="49">
        <f t="shared" si="16"/>
        <v>28</v>
      </c>
      <c r="C80" s="27">
        <f t="shared" si="3"/>
        <v>2.1238543404000003</v>
      </c>
      <c r="D80" s="27">
        <f t="shared" si="4"/>
        <v>1.3253820658540001</v>
      </c>
      <c r="E80" s="27">
        <f t="shared" si="5"/>
        <v>0.40015152121000003</v>
      </c>
      <c r="F80" s="27">
        <f t="shared" si="6"/>
        <v>2.3138876740000001E-2</v>
      </c>
      <c r="G80" s="27">
        <f t="shared" si="7"/>
        <v>3.161156742E-2</v>
      </c>
      <c r="H80" s="27">
        <f t="shared" si="8"/>
        <v>0</v>
      </c>
      <c r="I80" s="27">
        <f t="shared" si="9"/>
        <v>3.5652240000000004E-6</v>
      </c>
      <c r="J80" s="27">
        <f t="shared" si="10"/>
        <v>0.58199745772900002</v>
      </c>
      <c r="K80" s="27">
        <f t="shared" si="11"/>
        <v>1.3591593000000004E-4</v>
      </c>
      <c r="L80" s="27">
        <f t="shared" si="12"/>
        <v>0.14863478508</v>
      </c>
      <c r="M80" s="27">
        <f t="shared" si="13"/>
        <v>3.9382909090909093E-2</v>
      </c>
      <c r="N80" s="27">
        <f t="shared" si="14"/>
        <v>2.4699641940000006E-2</v>
      </c>
      <c r="P80" s="537" t="s">
        <v>73</v>
      </c>
    </row>
    <row r="81" spans="1:16">
      <c r="A81" t="s">
        <v>3848</v>
      </c>
      <c r="B81" s="49">
        <f t="shared" si="16"/>
        <v>29</v>
      </c>
      <c r="C81" s="27">
        <f t="shared" si="3"/>
        <v>5.3141951736000008</v>
      </c>
      <c r="D81" s="27">
        <f t="shared" si="4"/>
        <v>0.58542601264400007</v>
      </c>
      <c r="E81" s="27">
        <f t="shared" si="5"/>
        <v>1.6171585455199999</v>
      </c>
      <c r="F81" s="27">
        <f t="shared" si="6"/>
        <v>1.82750512E-2</v>
      </c>
      <c r="G81" s="27">
        <f t="shared" si="7"/>
        <v>0.11342209994000001</v>
      </c>
      <c r="H81" s="27">
        <f t="shared" si="8"/>
        <v>2.1887292000000001E-5</v>
      </c>
      <c r="I81" s="27">
        <f t="shared" si="9"/>
        <v>2.3523273676500003E-2</v>
      </c>
      <c r="J81" s="27">
        <f t="shared" si="10"/>
        <v>5.1455153715610003</v>
      </c>
      <c r="K81" s="27">
        <f t="shared" si="11"/>
        <v>6.7395069000000015E-4</v>
      </c>
      <c r="L81" s="27">
        <f t="shared" si="12"/>
        <v>0.39593503404000002</v>
      </c>
      <c r="M81" s="27">
        <f t="shared" si="13"/>
        <v>2.4345454545454548E-4</v>
      </c>
      <c r="N81" s="27">
        <f t="shared" si="14"/>
        <v>3.2296275270000008E-2</v>
      </c>
      <c r="P81" s="537" t="s">
        <v>74</v>
      </c>
    </row>
    <row r="82" spans="1:16">
      <c r="A82" t="s">
        <v>3849</v>
      </c>
      <c r="B82" s="49">
        <f t="shared" si="16"/>
        <v>30</v>
      </c>
      <c r="C82" s="27">
        <f t="shared" si="3"/>
        <v>11.462818204800001</v>
      </c>
      <c r="D82" s="27">
        <f t="shared" si="4"/>
        <v>0.57676786120800005</v>
      </c>
      <c r="E82" s="27">
        <f t="shared" si="5"/>
        <v>1.7916688197800001</v>
      </c>
      <c r="F82" s="27">
        <f t="shared" si="6"/>
        <v>4.2132439790000004E-2</v>
      </c>
      <c r="G82" s="27">
        <f t="shared" si="7"/>
        <v>0.11015280064000001</v>
      </c>
      <c r="H82" s="27">
        <f t="shared" si="8"/>
        <v>0</v>
      </c>
      <c r="I82" s="27">
        <f t="shared" si="9"/>
        <v>9.3091960000000005E-3</v>
      </c>
      <c r="J82" s="27">
        <f t="shared" si="10"/>
        <v>1.5886948394589999</v>
      </c>
      <c r="K82" s="27">
        <f t="shared" si="11"/>
        <v>5.0614904700000008E-3</v>
      </c>
      <c r="L82" s="27">
        <f t="shared" si="12"/>
        <v>0.12573568116</v>
      </c>
      <c r="M82" s="27">
        <f t="shared" si="13"/>
        <v>2.9888181818181823E-3</v>
      </c>
      <c r="N82" s="27">
        <f t="shared" si="14"/>
        <v>3.4483712580000006E-2</v>
      </c>
      <c r="P82" s="537" t="s">
        <v>74</v>
      </c>
    </row>
    <row r="83" spans="1:16">
      <c r="A83" t="s">
        <v>3850</v>
      </c>
      <c r="B83" s="49">
        <f t="shared" si="16"/>
        <v>31</v>
      </c>
      <c r="C83" s="27">
        <f t="shared" si="3"/>
        <v>2.4843291120000002</v>
      </c>
      <c r="D83" s="27">
        <f t="shared" si="4"/>
        <v>0.17417088920000001</v>
      </c>
      <c r="E83" s="27">
        <f t="shared" si="5"/>
        <v>0.34904941917999999</v>
      </c>
      <c r="F83" s="27">
        <f t="shared" si="6"/>
        <v>8.6732210599999998E-3</v>
      </c>
      <c r="G83" s="27">
        <f t="shared" si="7"/>
        <v>0.10635359044000001</v>
      </c>
      <c r="H83" s="27">
        <f t="shared" si="8"/>
        <v>6.5661876000000003E-5</v>
      </c>
      <c r="I83" s="27">
        <f t="shared" si="9"/>
        <v>1.9244782050000002E-4</v>
      </c>
      <c r="J83" s="27">
        <f t="shared" si="10"/>
        <v>4.9301207045000003E-2</v>
      </c>
      <c r="K83" s="27">
        <f t="shared" si="11"/>
        <v>1.1730909000000002E-4</v>
      </c>
      <c r="L83" s="27">
        <f t="shared" si="12"/>
        <v>0.11727715788</v>
      </c>
      <c r="M83" s="27">
        <f t="shared" si="13"/>
        <v>1.5930909090909092E-3</v>
      </c>
      <c r="N83" s="27">
        <f t="shared" si="14"/>
        <v>1.2715547010000003E-2</v>
      </c>
      <c r="P83" s="537" t="s">
        <v>65</v>
      </c>
    </row>
    <row r="84" spans="1:16">
      <c r="A84" t="s">
        <v>77</v>
      </c>
      <c r="B84" s="49">
        <f t="shared" si="16"/>
        <v>32</v>
      </c>
      <c r="C84" s="27">
        <f t="shared" si="3"/>
        <v>1.3327533288000002</v>
      </c>
      <c r="D84" s="27">
        <f t="shared" si="4"/>
        <v>0.34394327825000004</v>
      </c>
      <c r="E84" s="27">
        <f t="shared" si="5"/>
        <v>1.0201745607200001</v>
      </c>
      <c r="F84" s="27">
        <f t="shared" si="6"/>
        <v>7.0029346800000005E-3</v>
      </c>
      <c r="G84" s="27">
        <f t="shared" si="7"/>
        <v>2.4062973920000001E-2</v>
      </c>
      <c r="H84" s="27">
        <f t="shared" si="8"/>
        <v>9.1007360135999998E-2</v>
      </c>
      <c r="I84" s="27">
        <f t="shared" si="9"/>
        <v>3.5706956285000003E-3</v>
      </c>
      <c r="J84" s="27">
        <f t="shared" si="10"/>
        <v>0.21740872513699999</v>
      </c>
      <c r="K84" s="27">
        <f t="shared" si="11"/>
        <v>6.4627497000000009E-4</v>
      </c>
      <c r="L84" s="27">
        <f t="shared" si="12"/>
        <v>6.2552410919999996E-2</v>
      </c>
      <c r="M84" s="27">
        <f t="shared" si="13"/>
        <v>1.2503636363636365E-3</v>
      </c>
      <c r="N84" s="27">
        <f t="shared" si="14"/>
        <v>7.1452611000000013E-3</v>
      </c>
      <c r="P84" s="537" t="s">
        <v>77</v>
      </c>
    </row>
    <row r="85" spans="1:16">
      <c r="A85" s="25" t="s">
        <v>3851</v>
      </c>
      <c r="B85" s="951">
        <f t="shared" si="16"/>
        <v>33</v>
      </c>
      <c r="C85" s="952">
        <f t="shared" si="3"/>
        <v>1.4083340688000001</v>
      </c>
      <c r="D85" s="952">
        <f t="shared" si="4"/>
        <v>0.16129754894000001</v>
      </c>
      <c r="E85" s="952">
        <f t="shared" si="5"/>
        <v>0.58342331326999997</v>
      </c>
      <c r="F85" s="952">
        <f t="shared" si="6"/>
        <v>2.8451001599999999E-3</v>
      </c>
      <c r="G85" s="952">
        <f t="shared" si="7"/>
        <v>7.6784234889999997E-2</v>
      </c>
      <c r="H85" s="952">
        <f t="shared" si="8"/>
        <v>3.0620321508000002E-2</v>
      </c>
      <c r="I85" s="952">
        <f t="shared" si="9"/>
        <v>0</v>
      </c>
      <c r="J85" s="952">
        <f t="shared" si="10"/>
        <v>4.094447406E-2</v>
      </c>
      <c r="K85" s="952">
        <f t="shared" si="11"/>
        <v>1.3643191800000003E-3</v>
      </c>
      <c r="L85" s="952">
        <f t="shared" si="12"/>
        <v>0.1470370986</v>
      </c>
      <c r="M85" s="952">
        <f t="shared" si="13"/>
        <v>3.9118181818181824E-4</v>
      </c>
      <c r="N85" s="952">
        <f t="shared" si="14"/>
        <v>4.6167205410000009E-2</v>
      </c>
    </row>
    <row r="87" spans="1:16" ht="30">
      <c r="A87" s="502" t="s">
        <v>3886</v>
      </c>
      <c r="B87" s="537"/>
      <c r="C87" s="777" t="s">
        <v>141</v>
      </c>
      <c r="D87" s="777" t="s">
        <v>43</v>
      </c>
      <c r="E87" s="777" t="s">
        <v>43</v>
      </c>
      <c r="F87" s="777" t="s">
        <v>43</v>
      </c>
      <c r="G87" s="777" t="s">
        <v>45</v>
      </c>
      <c r="H87" s="777" t="s">
        <v>40</v>
      </c>
      <c r="I87" s="777" t="s">
        <v>41</v>
      </c>
      <c r="J87" s="777" t="s">
        <v>44</v>
      </c>
      <c r="K87" s="777" t="s">
        <v>43</v>
      </c>
      <c r="L87" s="777" t="s">
        <v>43</v>
      </c>
      <c r="M87" s="777" t="s">
        <v>45</v>
      </c>
      <c r="N87" s="777" t="s">
        <v>43</v>
      </c>
    </row>
    <row r="89" spans="1:16">
      <c r="A89" s="535" t="s">
        <v>3887</v>
      </c>
      <c r="B89" s="535"/>
      <c r="C89" s="535"/>
    </row>
    <row r="90" spans="1:16">
      <c r="A90" s="24" t="s">
        <v>3888</v>
      </c>
      <c r="B90" s="24" t="s">
        <v>3889</v>
      </c>
      <c r="C90" s="25"/>
    </row>
    <row r="91" spans="1:16">
      <c r="A91" t="s">
        <v>63</v>
      </c>
      <c r="B91" s="950" t="s">
        <v>3890</v>
      </c>
      <c r="C91" s="950"/>
    </row>
    <row r="92" spans="1:16">
      <c r="A92" t="s">
        <v>64</v>
      </c>
      <c r="B92" s="950" t="s">
        <v>3891</v>
      </c>
      <c r="C92" s="950"/>
    </row>
    <row r="93" spans="1:16">
      <c r="A93" t="s">
        <v>65</v>
      </c>
      <c r="B93" s="950" t="s">
        <v>3892</v>
      </c>
      <c r="C93" s="950"/>
    </row>
    <row r="94" spans="1:16">
      <c r="A94" t="s">
        <v>66</v>
      </c>
      <c r="B94" s="950" t="s">
        <v>3893</v>
      </c>
      <c r="C94" s="950"/>
    </row>
    <row r="95" spans="1:16">
      <c r="A95" t="s">
        <v>67</v>
      </c>
      <c r="B95" s="950">
        <v>19</v>
      </c>
      <c r="C95" s="950"/>
    </row>
    <row r="96" spans="1:16">
      <c r="A96" t="s">
        <v>68</v>
      </c>
      <c r="B96" s="950" t="s">
        <v>3894</v>
      </c>
      <c r="C96" s="950"/>
    </row>
    <row r="97" spans="1:9">
      <c r="A97" t="s">
        <v>69</v>
      </c>
      <c r="B97" s="950">
        <v>22</v>
      </c>
      <c r="C97" s="950"/>
    </row>
    <row r="98" spans="1:9">
      <c r="A98" t="s">
        <v>70</v>
      </c>
      <c r="B98" s="950" t="s">
        <v>3895</v>
      </c>
      <c r="C98" s="950"/>
    </row>
    <row r="99" spans="1:9">
      <c r="A99" t="s">
        <v>71</v>
      </c>
      <c r="B99" s="950" t="s">
        <v>3896</v>
      </c>
      <c r="C99" s="950"/>
    </row>
    <row r="100" spans="1:9">
      <c r="A100" t="s">
        <v>72</v>
      </c>
      <c r="B100" s="950" t="s">
        <v>3897</v>
      </c>
      <c r="C100" s="950"/>
    </row>
    <row r="101" spans="1:9">
      <c r="A101" t="s">
        <v>73</v>
      </c>
      <c r="B101" s="950" t="s">
        <v>3898</v>
      </c>
      <c r="C101" s="950"/>
    </row>
    <row r="102" spans="1:9">
      <c r="A102" t="s">
        <v>74</v>
      </c>
      <c r="B102" s="950" t="s">
        <v>3899</v>
      </c>
      <c r="C102" s="950"/>
    </row>
    <row r="103" spans="1:9">
      <c r="A103" t="s">
        <v>75</v>
      </c>
      <c r="B103" s="950" t="s">
        <v>3900</v>
      </c>
      <c r="C103" s="950"/>
    </row>
    <row r="104" spans="1:9">
      <c r="A104" t="s">
        <v>76</v>
      </c>
      <c r="B104" s="950" t="s">
        <v>3901</v>
      </c>
      <c r="C104" s="950"/>
    </row>
    <row r="105" spans="1:9">
      <c r="A105" t="s">
        <v>77</v>
      </c>
      <c r="B105" s="950" t="s">
        <v>3902</v>
      </c>
      <c r="C105" s="950"/>
    </row>
    <row r="107" spans="1:9">
      <c r="A107" s="45" t="s">
        <v>3903</v>
      </c>
      <c r="B107" s="51"/>
      <c r="C107" s="51"/>
      <c r="D107" s="51"/>
      <c r="E107" s="51"/>
      <c r="F107" s="51"/>
      <c r="G107" s="51"/>
      <c r="H107" s="51"/>
      <c r="I107" s="51"/>
    </row>
    <row r="108" spans="1:9" ht="30">
      <c r="A108" s="36" t="s">
        <v>114</v>
      </c>
      <c r="B108" s="37" t="s">
        <v>40</v>
      </c>
      <c r="C108" s="37" t="s">
        <v>41</v>
      </c>
      <c r="D108" s="37" t="s">
        <v>42</v>
      </c>
      <c r="E108" s="37" t="s">
        <v>43</v>
      </c>
      <c r="F108" s="37" t="s">
        <v>44</v>
      </c>
      <c r="G108" s="37" t="s">
        <v>45</v>
      </c>
      <c r="H108" s="37" t="s">
        <v>46</v>
      </c>
      <c r="I108" s="37" t="s">
        <v>141</v>
      </c>
    </row>
    <row r="109" spans="1:9">
      <c r="A109" t="s">
        <v>63</v>
      </c>
      <c r="B109" s="27" cm="1">
        <f t="array" ref="B109">SUMPRODUCT((($C$87:$N$87=B$108)*($P$58:$P$84=$A109))*$C$58:$N$84)</f>
        <v>229.09266570439203</v>
      </c>
      <c r="C109" s="27" cm="1">
        <f t="array" ref="C109">SUMPRODUCT((($C$87:$N$87=C$108)*($P$58:$P$84=$A109))*$C$58:$N$84)</f>
        <v>0.66421677953800007</v>
      </c>
      <c r="D109" s="27" cm="1">
        <f t="array" ref="D109">SUMPRODUCT((($C$87:$N$87=D$108)*($P$58:$P$84=$A109))*$C$58:$N$84)</f>
        <v>0</v>
      </c>
      <c r="E109" s="27" cm="1">
        <f t="array" ref="E109">SUMPRODUCT((($C$87:$N$87=E$108)*($P$58:$P$84=$A109))*$C$58:$N$84)</f>
        <v>23.713475409663999</v>
      </c>
      <c r="F109" s="27" cm="1">
        <f t="array" ref="F109">SUMPRODUCT((($C$87:$N$87=F$108)*($P$58:$P$84=$A109))*$C$58:$N$84)</f>
        <v>26.428537409544997</v>
      </c>
      <c r="G109" s="27" cm="1">
        <f t="array" ref="G109">SUMPRODUCT((($C$87:$N$87=G$108)*($P$58:$P$84=$A109))*$C$58:$N$84)</f>
        <v>197.49645147217731</v>
      </c>
      <c r="H109" s="27" cm="1">
        <f t="array" ref="H109">SUMPRODUCT((($C$87:$N$87=H$108)*($P$58:$P$84=$A109))*$C$58:$N$84)</f>
        <v>0</v>
      </c>
      <c r="I109" s="957" cm="1">
        <f t="array" ref="I109">SUMPRODUCT((($C$87:$N$87=I$108)*($P$58:$P$84=$A109))*$C$58:$N$84)</f>
        <v>27.259460730000004</v>
      </c>
    </row>
    <row r="110" spans="1:9">
      <c r="A110" t="s">
        <v>64</v>
      </c>
      <c r="B110" s="27" cm="1">
        <f t="array" ref="B110">SUMPRODUCT((($C$87:$N$87=B$108)*($P$58:$P$84=$A110))*$C$58:$N$84)</f>
        <v>61.368880659828001</v>
      </c>
      <c r="C110" s="27" cm="1">
        <f t="array" ref="C110">SUMPRODUCT((($C$87:$N$87=C$108)*($P$58:$P$84=$A110))*$C$58:$N$84)</f>
        <v>0.48112536949750007</v>
      </c>
      <c r="D110" s="27" cm="1">
        <f t="array" ref="D110">SUMPRODUCT((($C$87:$N$87=D$108)*($P$58:$P$84=$A110))*$C$58:$N$84)</f>
        <v>0</v>
      </c>
      <c r="E110" s="27" cm="1">
        <f t="array" ref="E110">SUMPRODUCT((($C$87:$N$87=E$108)*($P$58:$P$84=$A110))*$C$58:$N$84)</f>
        <v>6.5359051267320023</v>
      </c>
      <c r="F110" s="27" cm="1">
        <f t="array" ref="F110">SUMPRODUCT((($C$87:$N$87=F$108)*($P$58:$P$84=$A110))*$C$58:$N$84)</f>
        <v>2.9610533090540003</v>
      </c>
      <c r="G110" s="27" cm="1">
        <f t="array" ref="G110">SUMPRODUCT((($C$87:$N$87=G$108)*($P$58:$P$84=$A110))*$C$58:$N$84)</f>
        <v>1.348233630589091</v>
      </c>
      <c r="H110" s="27" cm="1">
        <f t="array" ref="H110">SUMPRODUCT((($C$87:$N$87=H$108)*($P$58:$P$84=$A110))*$C$58:$N$84)</f>
        <v>0</v>
      </c>
      <c r="I110" s="957" cm="1">
        <f t="array" ref="I110">SUMPRODUCT((($C$87:$N$87=I$108)*($P$58:$P$84=$A110))*$C$58:$N$84)</f>
        <v>34.597091138400003</v>
      </c>
    </row>
    <row r="111" spans="1:9">
      <c r="A111" t="s">
        <v>65</v>
      </c>
      <c r="B111" s="27" cm="1">
        <f t="array" ref="B111">SUMPRODUCT((($C$87:$N$87=B$108)*($P$58:$P$84=$A111))*$C$58:$N$84)</f>
        <v>0.62501351035200003</v>
      </c>
      <c r="C111" s="27" cm="1">
        <f t="array" ref="C111">SUMPRODUCT((($C$87:$N$87=C$108)*($P$58:$P$84=$A111))*$C$58:$N$84)</f>
        <v>3.5368507590000007E-3</v>
      </c>
      <c r="D111" s="27" cm="1">
        <f t="array" ref="D111">SUMPRODUCT((($C$87:$N$87=D$108)*($P$58:$P$84=$A111))*$C$58:$N$84)</f>
        <v>0</v>
      </c>
      <c r="E111" s="27" cm="1">
        <f t="array" ref="E111">SUMPRODUCT((($C$87:$N$87=E$108)*($P$58:$P$84=$A111))*$C$58:$N$84)</f>
        <v>2.8214240194619999</v>
      </c>
      <c r="F111" s="27" cm="1">
        <f t="array" ref="F111">SUMPRODUCT((($C$87:$N$87=F$108)*($P$58:$P$84=$A111))*$C$58:$N$84)</f>
        <v>0.17023313327700001</v>
      </c>
      <c r="G111" s="27" cm="1">
        <f t="array" ref="G111">SUMPRODUCT((($C$87:$N$87=G$108)*($P$58:$P$84=$A111))*$C$58:$N$84)</f>
        <v>0.47490814941272735</v>
      </c>
      <c r="H111" s="27" cm="1">
        <f t="array" ref="H111">SUMPRODUCT((($C$87:$N$87=H$108)*($P$58:$P$84=$A111))*$C$58:$N$84)</f>
        <v>0</v>
      </c>
      <c r="I111" s="957" cm="1">
        <f t="array" ref="I111">SUMPRODUCT((($C$87:$N$87=I$108)*($P$58:$P$84=$A111))*$C$58:$N$84)</f>
        <v>7.5981349656000008</v>
      </c>
    </row>
    <row r="112" spans="1:9">
      <c r="A112" t="s">
        <v>66</v>
      </c>
      <c r="B112" s="27" cm="1">
        <f t="array" ref="B112">SUMPRODUCT((($C$87:$N$87=B$108)*($P$58:$P$84=$A112))*$C$58:$N$84)</f>
        <v>33.159510027503998</v>
      </c>
      <c r="C112" s="27" cm="1">
        <f t="array" ref="C112">SUMPRODUCT((($C$87:$N$87=C$108)*($P$58:$P$84=$A112))*$C$58:$N$84)</f>
        <v>1.4926874891500002E-2</v>
      </c>
      <c r="D112" s="27" cm="1">
        <f t="array" ref="D112">SUMPRODUCT((($C$87:$N$87=D$108)*($P$58:$P$84=$A112))*$C$58:$N$84)</f>
        <v>0</v>
      </c>
      <c r="E112" s="27" cm="1">
        <f t="array" ref="E112">SUMPRODUCT((($C$87:$N$87=E$108)*($P$58:$P$84=$A112))*$C$58:$N$84)</f>
        <v>2.4694353501379998</v>
      </c>
      <c r="F112" s="27" cm="1">
        <f t="array" ref="F112">SUMPRODUCT((($C$87:$N$87=F$108)*($P$58:$P$84=$A112))*$C$58:$N$84)</f>
        <v>24.939413822492</v>
      </c>
      <c r="G112" s="27" cm="1">
        <f t="array" ref="G112">SUMPRODUCT((($C$87:$N$87=G$108)*($P$58:$P$84=$A112))*$C$58:$N$84)</f>
        <v>1.1987112412554546</v>
      </c>
      <c r="H112" s="27" cm="1">
        <f t="array" ref="H112">SUMPRODUCT((($C$87:$N$87=H$108)*($P$58:$P$84=$A112))*$C$58:$N$84)</f>
        <v>0</v>
      </c>
      <c r="I112" s="957" cm="1">
        <f t="array" ref="I112">SUMPRODUCT((($C$87:$N$87=I$108)*($P$58:$P$84=$A112))*$C$58:$N$84)</f>
        <v>14.698997748</v>
      </c>
    </row>
    <row r="113" spans="1:9">
      <c r="A113" t="s">
        <v>67</v>
      </c>
      <c r="B113" s="27" cm="1">
        <f t="array" ref="B113">SUMPRODUCT((($C$87:$N$87=B$108)*($P$58:$P$84=$A113))*$C$58:$N$84)</f>
        <v>0.13996923234</v>
      </c>
      <c r="C113" s="27" cm="1">
        <f t="array" ref="C113">SUMPRODUCT((($C$87:$N$87=C$108)*($P$58:$P$84=$A113))*$C$58:$N$84)</f>
        <v>0.18598840212550002</v>
      </c>
      <c r="D113" s="27" cm="1">
        <f t="array" ref="D113">SUMPRODUCT((($C$87:$N$87=D$108)*($P$58:$P$84=$A113))*$C$58:$N$84)</f>
        <v>0</v>
      </c>
      <c r="E113" s="27" cm="1">
        <f t="array" ref="E113">SUMPRODUCT((($C$87:$N$87=E$108)*($P$58:$P$84=$A113))*$C$58:$N$84)</f>
        <v>0.74588700684600007</v>
      </c>
      <c r="F113" s="27" cm="1">
        <f t="array" ref="F113">SUMPRODUCT((($C$87:$N$87=F$108)*($P$58:$P$84=$A113))*$C$58:$N$84)</f>
        <v>3.8497142242910001</v>
      </c>
      <c r="G113" s="27" cm="1">
        <f t="array" ref="G113">SUMPRODUCT((($C$87:$N$87=G$108)*($P$58:$P$84=$A113))*$C$58:$N$84)</f>
        <v>0.11877545799909091</v>
      </c>
      <c r="H113" s="27" cm="1">
        <f t="array" ref="H113">SUMPRODUCT((($C$87:$N$87=H$108)*($P$58:$P$84=$A113))*$C$58:$N$84)</f>
        <v>0</v>
      </c>
      <c r="I113" s="957" cm="1">
        <f t="array" ref="I113">SUMPRODUCT((($C$87:$N$87=I$108)*($P$58:$P$84=$A113))*$C$58:$N$84)</f>
        <v>3.2704770384000001</v>
      </c>
    </row>
    <row r="114" spans="1:9">
      <c r="A114" t="s">
        <v>68</v>
      </c>
      <c r="B114" s="27" cm="1">
        <f t="array" ref="B114">SUMPRODUCT((($C$87:$N$87=B$108)*($P$58:$P$84=$A114))*$C$58:$N$84)</f>
        <v>48.217769937876</v>
      </c>
      <c r="C114" s="27" cm="1">
        <f t="array" ref="C114">SUMPRODUCT((($C$87:$N$87=C$108)*($P$58:$P$84=$A114))*$C$58:$N$84)</f>
        <v>0.30302433223400005</v>
      </c>
      <c r="D114" s="27" cm="1">
        <f t="array" ref="D114">SUMPRODUCT((($C$87:$N$87=D$108)*($P$58:$P$84=$A114))*$C$58:$N$84)</f>
        <v>0</v>
      </c>
      <c r="E114" s="27" cm="1">
        <f t="array" ref="E114">SUMPRODUCT((($C$87:$N$87=E$108)*($P$58:$P$84=$A114))*$C$58:$N$84)</f>
        <v>3.282292295426001</v>
      </c>
      <c r="F114" s="27" cm="1">
        <f t="array" ref="F114">SUMPRODUCT((($C$87:$N$87=F$108)*($P$58:$P$84=$A114))*$C$58:$N$84)</f>
        <v>38.355432553871999</v>
      </c>
      <c r="G114" s="27" cm="1">
        <f t="array" ref="G114">SUMPRODUCT((($C$87:$N$87=G$108)*($P$58:$P$84=$A114))*$C$58:$N$84)</f>
        <v>7.0803456762490917</v>
      </c>
      <c r="H114" s="27" cm="1">
        <f t="array" ref="H114">SUMPRODUCT((($C$87:$N$87=H$108)*($P$58:$P$84=$A114))*$C$58:$N$84)</f>
        <v>0</v>
      </c>
      <c r="I114" s="957" cm="1">
        <f t="array" ref="I114">SUMPRODUCT((($C$87:$N$87=I$108)*($P$58:$P$84=$A114))*$C$58:$N$84)</f>
        <v>22.606863238800003</v>
      </c>
    </row>
    <row r="115" spans="1:9">
      <c r="A115" t="s">
        <v>69</v>
      </c>
      <c r="B115" s="27" cm="1">
        <f t="array" ref="B115">SUMPRODUCT((($C$87:$N$87=B$108)*($P$58:$P$84=$A115))*$C$58:$N$84)</f>
        <v>13.868269731624</v>
      </c>
      <c r="C115" s="27" cm="1">
        <f t="array" ref="C115">SUMPRODUCT((($C$87:$N$87=C$108)*($P$58:$P$84=$A115))*$C$58:$N$84)</f>
        <v>0.22121425123850003</v>
      </c>
      <c r="D115" s="27" cm="1">
        <f t="array" ref="D115">SUMPRODUCT((($C$87:$N$87=D$108)*($P$58:$P$84=$A115))*$C$58:$N$84)</f>
        <v>0</v>
      </c>
      <c r="E115" s="27" cm="1">
        <f t="array" ref="E115">SUMPRODUCT((($C$87:$N$87=E$108)*($P$58:$P$84=$A115))*$C$58:$N$84)</f>
        <v>4.0494753993819996</v>
      </c>
      <c r="F115" s="27" cm="1">
        <f t="array" ref="F115">SUMPRODUCT((($C$87:$N$87=F$108)*($P$58:$P$84=$A115))*$C$58:$N$84)</f>
        <v>14.219776646515999</v>
      </c>
      <c r="G115" s="27" cm="1">
        <f t="array" ref="G115">SUMPRODUCT((($C$87:$N$87=G$108)*($P$58:$P$84=$A115))*$C$58:$N$84)</f>
        <v>18.258115146584547</v>
      </c>
      <c r="H115" s="27" cm="1">
        <f t="array" ref="H115">SUMPRODUCT((($C$87:$N$87=H$108)*($P$58:$P$84=$A115))*$C$58:$N$84)</f>
        <v>0</v>
      </c>
      <c r="I115" s="957" cm="1">
        <f t="array" ref="I115">SUMPRODUCT((($C$87:$N$87=I$108)*($P$58:$P$84=$A115))*$C$58:$N$84)</f>
        <v>15.427252047600001</v>
      </c>
    </row>
    <row r="116" spans="1:9">
      <c r="A116" t="s">
        <v>70</v>
      </c>
      <c r="B116" s="957" cm="1">
        <f t="array" ref="B116">SUMPRODUCT((($C$87:$N$87=B$108)*($P$58:$P$84=$A116))*$C$58:$N$84)</f>
        <v>1923.2152049159281</v>
      </c>
      <c r="C116" s="27" cm="1">
        <f t="array" ref="C116">SUMPRODUCT((($C$87:$N$87=C$108)*($P$58:$P$84=$A116))*$C$58:$N$84)</f>
        <v>0.16993825884750002</v>
      </c>
      <c r="D116" s="27" cm="1">
        <f t="array" ref="D116">SUMPRODUCT((($C$87:$N$87=D$108)*($P$58:$P$84=$A116))*$C$58:$N$84)</f>
        <v>0</v>
      </c>
      <c r="E116" s="27" cm="1">
        <f t="array" ref="E116">SUMPRODUCT((($C$87:$N$87=E$108)*($P$58:$P$84=$A116))*$C$58:$N$84)</f>
        <v>8.6804273325720001</v>
      </c>
      <c r="F116" s="27" cm="1">
        <f t="array" ref="F116">SUMPRODUCT((($C$87:$N$87=F$108)*($P$58:$P$84=$A116))*$C$58:$N$84)</f>
        <v>35.902715844980001</v>
      </c>
      <c r="G116" s="27" cm="1">
        <f t="array" ref="G116">SUMPRODUCT((($C$87:$N$87=G$108)*($P$58:$P$84=$A116))*$C$58:$N$84)</f>
        <v>33.698017825998186</v>
      </c>
      <c r="H116" s="27" cm="1">
        <f t="array" ref="H116">SUMPRODUCT((($C$87:$N$87=H$108)*($P$58:$P$84=$A116))*$C$58:$N$84)</f>
        <v>0</v>
      </c>
      <c r="I116" s="957" cm="1">
        <f t="array" ref="I116">SUMPRODUCT((($C$87:$N$87=I$108)*($P$58:$P$84=$A116))*$C$58:$N$84)</f>
        <v>30.524141631600003</v>
      </c>
    </row>
    <row r="117" spans="1:9">
      <c r="A117" t="s">
        <v>71</v>
      </c>
      <c r="B117" s="957" cm="1">
        <f t="array" ref="B117">SUMPRODUCT((($C$87:$N$87=B$108)*($P$58:$P$84=$A117))*$C$58:$N$84)</f>
        <v>151.63397706223199</v>
      </c>
      <c r="C117" s="957" cm="1">
        <f t="array" ref="C117">SUMPRODUCT((($C$87:$N$87=C$108)*($P$58:$P$84=$A117))*$C$58:$N$84)</f>
        <v>20.261290596092</v>
      </c>
      <c r="D117" s="27" cm="1">
        <f t="array" ref="D117">SUMPRODUCT((($C$87:$N$87=D$108)*($P$58:$P$84=$A117))*$C$58:$N$84)</f>
        <v>0</v>
      </c>
      <c r="E117" s="27" cm="1">
        <f t="array" ref="E117">SUMPRODUCT((($C$87:$N$87=E$108)*($P$58:$P$84=$A117))*$C$58:$N$84)</f>
        <v>11.617293103426</v>
      </c>
      <c r="F117" s="27" cm="1">
        <f t="array" ref="F117">SUMPRODUCT((($C$87:$N$87=F$108)*($P$58:$P$84=$A117))*$C$58:$N$84)</f>
        <v>3.1505757719979997</v>
      </c>
      <c r="G117" s="27" cm="1">
        <f t="array" ref="G117">SUMPRODUCT((($C$87:$N$87=G$108)*($P$58:$P$84=$A117))*$C$58:$N$84)</f>
        <v>7.3449240201818172E-2</v>
      </c>
      <c r="H117" s="27" cm="1">
        <f t="array" ref="H117">SUMPRODUCT((($C$87:$N$87=H$108)*($P$58:$P$84=$A117))*$C$58:$N$84)</f>
        <v>0</v>
      </c>
      <c r="I117" s="957" cm="1">
        <f t="array" ref="I117">SUMPRODUCT((($C$87:$N$87=I$108)*($P$58:$P$84=$A117))*$C$58:$N$84)</f>
        <v>30.328443136800004</v>
      </c>
    </row>
    <row r="118" spans="1:9">
      <c r="A118" t="s">
        <v>72</v>
      </c>
      <c r="B118" s="957" cm="1">
        <f t="array" ref="B118">SUMPRODUCT((($C$87:$N$87=B$108)*($P$58:$P$84=$A118))*$C$58:$N$84)</f>
        <v>114.25680775362</v>
      </c>
      <c r="C118" s="27" cm="1">
        <f t="array" ref="C118">SUMPRODUCT((($C$87:$N$87=C$108)*($P$58:$P$84=$A118))*$C$58:$N$84)</f>
        <v>1.8441368725000001E-2</v>
      </c>
      <c r="D118" s="27" cm="1">
        <f t="array" ref="D118">SUMPRODUCT((($C$87:$N$87=D$108)*($P$58:$P$84=$A118))*$C$58:$N$84)</f>
        <v>0</v>
      </c>
      <c r="E118" s="27" cm="1">
        <f t="array" ref="E118">SUMPRODUCT((($C$87:$N$87=E$108)*($P$58:$P$84=$A118))*$C$58:$N$84)</f>
        <v>3.2432704084920001</v>
      </c>
      <c r="F118" s="27" cm="1">
        <f t="array" ref="F118">SUMPRODUCT((($C$87:$N$87=F$108)*($P$58:$P$84=$A118))*$C$58:$N$84)</f>
        <v>3.039299063299</v>
      </c>
      <c r="G118" s="27" cm="1">
        <f t="array" ref="G118">SUMPRODUCT((($C$87:$N$87=G$108)*($P$58:$P$84=$A118))*$C$58:$N$84)</f>
        <v>7.866249829958182</v>
      </c>
      <c r="H118" s="27" cm="1">
        <f t="array" ref="H118">SUMPRODUCT((($C$87:$N$87=H$108)*($P$58:$P$84=$A118))*$C$58:$N$84)</f>
        <v>0</v>
      </c>
      <c r="I118" s="957" cm="1">
        <f t="array" ref="I118">SUMPRODUCT((($C$87:$N$87=I$108)*($P$58:$P$84=$A118))*$C$58:$N$84)</f>
        <v>7.7510132208000009</v>
      </c>
    </row>
    <row r="119" spans="1:9">
      <c r="A119" t="s">
        <v>73</v>
      </c>
      <c r="B119" s="27" cm="1">
        <f t="array" ref="B119">SUMPRODUCT((($C$87:$N$87=B$108)*($P$58:$P$84=$A119))*$C$58:$N$84)</f>
        <v>0</v>
      </c>
      <c r="C119" s="27" cm="1">
        <f t="array" ref="C119">SUMPRODUCT((($C$87:$N$87=C$108)*($P$58:$P$84=$A119))*$C$58:$N$84)</f>
        <v>3.5652240000000004E-6</v>
      </c>
      <c r="D119" s="27" cm="1">
        <f t="array" ref="D119">SUMPRODUCT((($C$87:$N$87=D$108)*($P$58:$P$84=$A119))*$C$58:$N$84)</f>
        <v>0</v>
      </c>
      <c r="E119" s="27" cm="1">
        <f t="array" ref="E119">SUMPRODUCT((($C$87:$N$87=E$108)*($P$58:$P$84=$A119))*$C$58:$N$84)</f>
        <v>1.9221428067540003</v>
      </c>
      <c r="F119" s="27" cm="1">
        <f t="array" ref="F119">SUMPRODUCT((($C$87:$N$87=F$108)*($P$58:$P$84=$A119))*$C$58:$N$84)</f>
        <v>0.58199745772900002</v>
      </c>
      <c r="G119" s="27" cm="1">
        <f t="array" ref="G119">SUMPRODUCT((($C$87:$N$87=G$108)*($P$58:$P$84=$A119))*$C$58:$N$84)</f>
        <v>7.0994476510909094E-2</v>
      </c>
      <c r="H119" s="27" cm="1">
        <f t="array" ref="H119">SUMPRODUCT((($C$87:$N$87=H$108)*($P$58:$P$84=$A119))*$C$58:$N$84)</f>
        <v>0</v>
      </c>
      <c r="I119" s="957" cm="1">
        <f t="array" ref="I119">SUMPRODUCT((($C$87:$N$87=I$108)*($P$58:$P$84=$A119))*$C$58:$N$84)</f>
        <v>2.1238543404000003</v>
      </c>
    </row>
    <row r="120" spans="1:9">
      <c r="A120" t="s">
        <v>74</v>
      </c>
      <c r="B120" s="27" cm="1">
        <f t="array" ref="B120">SUMPRODUCT((($C$87:$N$87=B$108)*($P$58:$P$84=$A120))*$C$58:$N$84)</f>
        <v>2.1887292000000001E-5</v>
      </c>
      <c r="C120" s="27" cm="1">
        <f t="array" ref="C120">SUMPRODUCT((($C$87:$N$87=C$108)*($P$58:$P$84=$A120))*$C$58:$N$84)</f>
        <v>3.2832469676500005E-2</v>
      </c>
      <c r="D120" s="27" cm="1">
        <f t="array" ref="D120">SUMPRODUCT((($C$87:$N$87=D$108)*($P$58:$P$84=$A120))*$C$58:$N$84)</f>
        <v>0</v>
      </c>
      <c r="E120" s="27" cm="1">
        <f t="array" ref="E120">SUMPRODUCT((($C$87:$N$87=E$108)*($P$58:$P$84=$A120))*$C$58:$N$84)</f>
        <v>5.2256148743519999</v>
      </c>
      <c r="F120" s="27" cm="1">
        <f t="array" ref="F120">SUMPRODUCT((($C$87:$N$87=F$108)*($P$58:$P$84=$A120))*$C$58:$N$84)</f>
        <v>6.7342102110200006</v>
      </c>
      <c r="G120" s="27" cm="1">
        <f t="array" ref="G120">SUMPRODUCT((($C$87:$N$87=G$108)*($P$58:$P$84=$A120))*$C$58:$N$84)</f>
        <v>0.22680717330727274</v>
      </c>
      <c r="H120" s="27" cm="1">
        <f t="array" ref="H120">SUMPRODUCT((($C$87:$N$87=H$108)*($P$58:$P$84=$A120))*$C$58:$N$84)</f>
        <v>0</v>
      </c>
      <c r="I120" s="957" cm="1">
        <f t="array" ref="I120">SUMPRODUCT((($C$87:$N$87=I$108)*($P$58:$P$84=$A120))*$C$58:$N$84)</f>
        <v>16.777013378400003</v>
      </c>
    </row>
    <row r="121" spans="1:9">
      <c r="A121" t="s">
        <v>75</v>
      </c>
      <c r="B121" s="27" cm="1">
        <f t="array" ref="B121">SUMPRODUCT((($C$87:$N$87=B$108)*($P$58:$P$84=$A121))*$C$58:$N$84)</f>
        <v>4.4087353402680005</v>
      </c>
      <c r="C121" s="27" cm="1">
        <f t="array" ref="C121">SUMPRODUCT((($C$87:$N$87=C$108)*($P$58:$P$84=$A121))*$C$58:$N$84)</f>
        <v>1.3430000740000001E-3</v>
      </c>
      <c r="D121" s="27" cm="1">
        <f t="array" ref="D121">SUMPRODUCT((($C$87:$N$87=D$108)*($P$58:$P$84=$A121))*$C$58:$N$84)</f>
        <v>0</v>
      </c>
      <c r="E121" s="27" cm="1">
        <f t="array" ref="E121">SUMPRODUCT((($C$87:$N$87=E$108)*($P$58:$P$84=$A121))*$C$58:$N$84)</f>
        <v>1.4532855103220002</v>
      </c>
      <c r="F121" s="27" cm="1">
        <f t="array" ref="F121">SUMPRODUCT((($C$87:$N$87=F$108)*($P$58:$P$84=$A121))*$C$58:$N$84)</f>
        <v>3.1819665354439999</v>
      </c>
      <c r="G121" s="27" cm="1">
        <f t="array" ref="G121">SUMPRODUCT((($C$87:$N$87=G$108)*($P$58:$P$84=$A121))*$C$58:$N$84)</f>
        <v>0.97936024518818188</v>
      </c>
      <c r="H121" s="27" cm="1">
        <f t="array" ref="H121">SUMPRODUCT((($C$87:$N$87=H$108)*($P$58:$P$84=$A121))*$C$58:$N$84)</f>
        <v>0</v>
      </c>
      <c r="I121" s="957" cm="1">
        <f t="array" ref="I121">SUMPRODUCT((($C$87:$N$87=I$108)*($P$58:$P$84=$A121))*$C$58:$N$84)</f>
        <v>10.1004549588</v>
      </c>
    </row>
    <row r="122" spans="1:9">
      <c r="A122" t="s">
        <v>76</v>
      </c>
      <c r="B122" s="27" cm="1">
        <f t="array" ref="B122">SUMPRODUCT((($C$87:$N$87=B$108)*($P$58:$P$84=$A122))*$C$58:$N$84)</f>
        <v>0.23415024981600002</v>
      </c>
      <c r="C122" s="27" cm="1">
        <f t="array" ref="C122">SUMPRODUCT((($C$87:$N$87=C$108)*($P$58:$P$84=$A122))*$C$58:$N$84)</f>
        <v>4.1972589880000001E-3</v>
      </c>
      <c r="D122" s="27" cm="1">
        <f t="array" ref="D122">SUMPRODUCT((($C$87:$N$87=D$108)*($P$58:$P$84=$A122))*$C$58:$N$84)</f>
        <v>0</v>
      </c>
      <c r="E122" s="27" cm="1">
        <f t="array" ref="E122">SUMPRODUCT((($C$87:$N$87=E$108)*($P$58:$P$84=$A122))*$C$58:$N$84)</f>
        <v>12.179454934088</v>
      </c>
      <c r="F122" s="27" cm="1">
        <f t="array" ref="F122">SUMPRODUCT((($C$87:$N$87=F$108)*($P$58:$P$84=$A122))*$C$58:$N$84)</f>
        <v>2.4602422911640001</v>
      </c>
      <c r="G122" s="27" cm="1">
        <f t="array" ref="G122">SUMPRODUCT((($C$87:$N$87=G$108)*($P$58:$P$84=$A122))*$C$58:$N$84)</f>
        <v>9.6705323370909091E-2</v>
      </c>
      <c r="H122" s="27" cm="1">
        <f t="array" ref="H122">SUMPRODUCT((($C$87:$N$87=H$108)*($P$58:$P$84=$A122))*$C$58:$N$84)</f>
        <v>0</v>
      </c>
      <c r="I122" s="957" cm="1">
        <f t="array" ref="I122">SUMPRODUCT((($C$87:$N$87=I$108)*($P$58:$P$84=$A122))*$C$58:$N$84)</f>
        <v>4.1505395148000002</v>
      </c>
    </row>
    <row r="123" spans="1:9">
      <c r="A123" t="s">
        <v>77</v>
      </c>
      <c r="B123" s="27" cm="1">
        <f t="array" ref="B123">SUMPRODUCT((($C$87:$N$87=B$108)*($P$58:$P$84=$A123))*$C$58:$N$84)</f>
        <v>9.1007360135999998E-2</v>
      </c>
      <c r="C123" s="27" cm="1">
        <f t="array" ref="C123">SUMPRODUCT((($C$87:$N$87=C$108)*($P$58:$P$84=$A123))*$C$58:$N$84)</f>
        <v>3.5706956285000003E-3</v>
      </c>
      <c r="D123" s="27" cm="1">
        <f t="array" ref="D123">SUMPRODUCT((($C$87:$N$87=D$108)*($P$58:$P$84=$A123))*$C$58:$N$84)</f>
        <v>0</v>
      </c>
      <c r="E123" s="27" cm="1">
        <f t="array" ref="E123">SUMPRODUCT((($C$87:$N$87=E$108)*($P$58:$P$84=$A123))*$C$58:$N$84)</f>
        <v>1.4414647206400002</v>
      </c>
      <c r="F123" s="27" cm="1">
        <f t="array" ref="F123">SUMPRODUCT((($C$87:$N$87=F$108)*($P$58:$P$84=$A123))*$C$58:$N$84)</f>
        <v>0.21740872513699999</v>
      </c>
      <c r="G123" s="27" cm="1">
        <f t="array" ref="G123">SUMPRODUCT((($C$87:$N$87=G$108)*($P$58:$P$84=$A123))*$C$58:$N$84)</f>
        <v>2.5313337556363637E-2</v>
      </c>
      <c r="H123" s="27" cm="1">
        <f t="array" ref="H123">SUMPRODUCT((($C$87:$N$87=H$108)*($P$58:$P$84=$A123))*$C$58:$N$84)</f>
        <v>0</v>
      </c>
      <c r="I123" s="957" cm="1">
        <f t="array" ref="I123">SUMPRODUCT((($C$87:$N$87=I$108)*($P$58:$P$84=$A123))*$C$58:$N$84)</f>
        <v>1.3327533288000002</v>
      </c>
    </row>
    <row r="125" spans="1:9">
      <c r="A125" s="539" t="s">
        <v>3904</v>
      </c>
      <c r="B125" s="539"/>
      <c r="C125" s="958"/>
      <c r="D125" s="958"/>
    </row>
    <row r="127" spans="1:9">
      <c r="A127" s="45" t="s">
        <v>3905</v>
      </c>
      <c r="B127" s="51"/>
    </row>
    <row r="129" spans="1:4">
      <c r="A129" t="s">
        <v>3906</v>
      </c>
    </row>
    <row r="130" spans="1:4">
      <c r="A130" s="538" t="s">
        <v>3907</v>
      </c>
    </row>
    <row r="131" spans="1:4">
      <c r="A131" t="s">
        <v>961</v>
      </c>
    </row>
    <row r="132" spans="1:4">
      <c r="A132" s="558">
        <v>2025</v>
      </c>
    </row>
    <row r="133" spans="1:4">
      <c r="A133" t="s">
        <v>962</v>
      </c>
    </row>
    <row r="134" spans="1:4">
      <c r="A134" s="28" t="s">
        <v>963</v>
      </c>
    </row>
    <row r="135" spans="1:4">
      <c r="A135" t="s">
        <v>964</v>
      </c>
    </row>
    <row r="136" spans="1:4">
      <c r="B136" s="30" t="s">
        <v>595</v>
      </c>
      <c r="C136" s="98" t="s">
        <v>116</v>
      </c>
    </row>
    <row r="137" spans="1:4">
      <c r="A137" t="s">
        <v>3908</v>
      </c>
      <c r="B137" s="27">
        <f>'Indonesia Elec Projections'!C18</f>
        <v>242</v>
      </c>
      <c r="C137" s="49" t="s">
        <v>373</v>
      </c>
    </row>
    <row r="138" spans="1:4">
      <c r="A138" t="s">
        <v>3909</v>
      </c>
      <c r="B138" s="27">
        <f>C35/10^9</f>
        <v>63.876340135</v>
      </c>
      <c r="C138" s="49" t="s">
        <v>373</v>
      </c>
    </row>
    <row r="139" spans="1:4">
      <c r="C139" s="49"/>
    </row>
    <row r="140" spans="1:4">
      <c r="A140" t="s">
        <v>3910</v>
      </c>
      <c r="C140" s="49"/>
    </row>
    <row r="141" spans="1:4">
      <c r="A141" t="s">
        <v>3911</v>
      </c>
      <c r="C141" s="49"/>
    </row>
    <row r="142" spans="1:4">
      <c r="A142" t="s">
        <v>3912</v>
      </c>
      <c r="C142" s="49"/>
    </row>
    <row r="143" spans="1:4">
      <c r="A143" t="s">
        <v>3704</v>
      </c>
      <c r="B143" s="556">
        <f>_xlfn.NUMBERVALUE('CESY 4-13'!N18)/SUM(_xlfn.NUMBERVALUE('CESY 4-13'!N18),_xlfn.NUMBERVALUE('CESY 4-13'!N10))</f>
        <v>0.94251159860256217</v>
      </c>
      <c r="C143" s="49" t="s">
        <v>282</v>
      </c>
      <c r="D143" s="58" t="s">
        <v>3913</v>
      </c>
    </row>
    <row r="144" spans="1:4">
      <c r="A144" t="s">
        <v>3914</v>
      </c>
      <c r="B144" s="27">
        <f>B137*B143</f>
        <v>228.08780686182004</v>
      </c>
      <c r="C144" s="49" t="s">
        <v>373</v>
      </c>
    </row>
    <row r="145" spans="1:5">
      <c r="A145" t="s">
        <v>3915</v>
      </c>
      <c r="B145" s="973">
        <f>B144/B138</f>
        <v>3.5707713744990071</v>
      </c>
    </row>
    <row r="147" spans="1:5">
      <c r="A147" s="23" t="s">
        <v>3916</v>
      </c>
    </row>
    <row r="148" spans="1:5">
      <c r="A148" t="s">
        <v>3917</v>
      </c>
      <c r="D148" s="50">
        <f>SUM(I186:I200)/SUM(B186:I200)</f>
        <v>0.26311776902423467</v>
      </c>
    </row>
    <row r="149" spans="1:5">
      <c r="A149" t="s">
        <v>3918</v>
      </c>
      <c r="B149" s="103" t="s">
        <v>17</v>
      </c>
      <c r="C149" s="103" t="s">
        <v>143</v>
      </c>
    </row>
    <row r="150" spans="1:5">
      <c r="B150" s="50">
        <f>SUM('Energy Use Data'!I9:I23)/SUM('Energy Use Data'!J9:J23)</f>
        <v>0.22760389697570532</v>
      </c>
      <c r="C150" s="50">
        <f>SUM('Energy Use Data'!I45:I59)/SUM('Energy Use Data'!J45:J59)</f>
        <v>0.20389640242954099</v>
      </c>
    </row>
    <row r="151" spans="1:5">
      <c r="A151" t="s">
        <v>3919</v>
      </c>
      <c r="B151" s="50"/>
      <c r="C151" s="50"/>
    </row>
    <row r="152" spans="1:5">
      <c r="A152" t="s">
        <v>3920</v>
      </c>
      <c r="B152" s="50"/>
      <c r="C152" s="50"/>
    </row>
    <row r="154" spans="1:5">
      <c r="A154" s="45" t="s">
        <v>3921</v>
      </c>
      <c r="B154" s="51"/>
    </row>
    <row r="155" spans="1:5">
      <c r="A155" s="502" t="s">
        <v>3922</v>
      </c>
      <c r="B155" s="23">
        <v>2022</v>
      </c>
      <c r="C155" s="28" t="s">
        <v>894</v>
      </c>
    </row>
    <row r="156" spans="1:5">
      <c r="A156" t="s">
        <v>3923</v>
      </c>
      <c r="B156">
        <v>49375407</v>
      </c>
      <c r="C156" t="s">
        <v>3924</v>
      </c>
      <c r="D156" s="27">
        <f>B156*$B$48</f>
        <v>1080.6939506278441</v>
      </c>
      <c r="E156" t="s">
        <v>183</v>
      </c>
    </row>
    <row r="157" spans="1:5">
      <c r="A157" t="s">
        <v>3925</v>
      </c>
      <c r="B157">
        <v>129226621</v>
      </c>
      <c r="C157" t="s">
        <v>3924</v>
      </c>
      <c r="D157" s="27">
        <f t="shared" ref="D157:D161" si="17">B157*$B$48</f>
        <v>2828.4207880003323</v>
      </c>
      <c r="E157" t="s">
        <v>183</v>
      </c>
    </row>
    <row r="158" spans="1:5">
      <c r="A158" t="s">
        <v>3926</v>
      </c>
      <c r="B158">
        <v>13112483</v>
      </c>
      <c r="C158" t="s">
        <v>3924</v>
      </c>
      <c r="D158" s="27">
        <f t="shared" si="17"/>
        <v>286.99674426603599</v>
      </c>
      <c r="E158" t="s">
        <v>183</v>
      </c>
    </row>
    <row r="159" spans="1:5">
      <c r="A159" t="s">
        <v>3927</v>
      </c>
      <c r="B159">
        <v>6300036</v>
      </c>
      <c r="C159" t="s">
        <v>3924</v>
      </c>
      <c r="D159" s="27">
        <f t="shared" si="17"/>
        <v>137.890727542512</v>
      </c>
      <c r="E159" t="s">
        <v>183</v>
      </c>
    </row>
    <row r="160" spans="1:5">
      <c r="A160" t="s">
        <v>3928</v>
      </c>
      <c r="B160">
        <v>0</v>
      </c>
      <c r="C160" t="s">
        <v>3924</v>
      </c>
      <c r="D160" s="27">
        <f t="shared" si="17"/>
        <v>0</v>
      </c>
      <c r="E160" t="s">
        <v>183</v>
      </c>
    </row>
    <row r="161" spans="1:5">
      <c r="A161" t="s">
        <v>3929</v>
      </c>
      <c r="B161">
        <v>17798692</v>
      </c>
      <c r="C161" t="s">
        <v>3924</v>
      </c>
      <c r="D161" s="27">
        <f t="shared" si="17"/>
        <v>389.56516902206403</v>
      </c>
      <c r="E161" t="s">
        <v>183</v>
      </c>
    </row>
    <row r="163" spans="1:5">
      <c r="A163" s="23" t="s">
        <v>3930</v>
      </c>
    </row>
    <row r="164" spans="1:5">
      <c r="A164" t="s">
        <v>3931</v>
      </c>
      <c r="B164" s="27">
        <f>$D$156*(SUM($B$117:$C$117)/SUM($B$117:$C$118))</f>
        <v>649.14505515703593</v>
      </c>
      <c r="C164" t="s">
        <v>183</v>
      </c>
    </row>
    <row r="165" spans="1:5">
      <c r="A165" t="s">
        <v>3932</v>
      </c>
      <c r="B165" s="793">
        <f>$D$156*(B118/SUM($B$117:$C$118))</f>
        <v>431.47925351101929</v>
      </c>
      <c r="C165" t="s">
        <v>183</v>
      </c>
    </row>
    <row r="167" spans="1:5">
      <c r="A167" t="s">
        <v>3933</v>
      </c>
    </row>
    <row r="168" spans="1:5">
      <c r="A168" t="s">
        <v>3934</v>
      </c>
      <c r="B168" s="50">
        <f>'Energy Use Data'!C17/SUM('Energy Use Data'!B17:C17)</f>
        <v>0.81349153154027276</v>
      </c>
    </row>
    <row r="170" spans="1:5">
      <c r="A170" t="s">
        <v>3935</v>
      </c>
      <c r="B170" s="793">
        <f>B164*(1-B168)</f>
        <v>121.07105004554393</v>
      </c>
    </row>
    <row r="171" spans="1:5">
      <c r="A171" t="s">
        <v>3936</v>
      </c>
      <c r="B171" s="793">
        <f>B164*B168</f>
        <v>528.07400511149194</v>
      </c>
    </row>
    <row r="173" spans="1:5">
      <c r="A173" s="23" t="s">
        <v>3937</v>
      </c>
    </row>
    <row r="174" spans="1:5">
      <c r="A174" t="s">
        <v>3938</v>
      </c>
    </row>
    <row r="175" spans="1:5">
      <c r="A175" t="s">
        <v>3939</v>
      </c>
    </row>
    <row r="176" spans="1:5">
      <c r="A176" t="s">
        <v>3940</v>
      </c>
    </row>
    <row r="177" spans="1:9">
      <c r="A177" t="s">
        <v>3941</v>
      </c>
    </row>
    <row r="178" spans="1:9">
      <c r="A178" t="s">
        <v>3942</v>
      </c>
    </row>
    <row r="179" spans="1:9">
      <c r="A179" t="s">
        <v>3943</v>
      </c>
    </row>
    <row r="180" spans="1:9">
      <c r="A180" t="s">
        <v>3944</v>
      </c>
    </row>
    <row r="181" spans="1:9">
      <c r="A181" t="s">
        <v>3945</v>
      </c>
    </row>
    <row r="182" spans="1:9">
      <c r="A182" t="s">
        <v>70</v>
      </c>
      <c r="B182" s="793">
        <f>D158</f>
        <v>286.99674426603599</v>
      </c>
      <c r="C182" t="s">
        <v>183</v>
      </c>
    </row>
    <row r="184" spans="1:9">
      <c r="A184" s="23" t="s">
        <v>3946</v>
      </c>
    </row>
    <row r="185" spans="1:9" ht="30">
      <c r="A185" s="36" t="s">
        <v>114</v>
      </c>
      <c r="B185" s="37" t="s">
        <v>40</v>
      </c>
      <c r="C185" s="37" t="s">
        <v>41</v>
      </c>
      <c r="D185" s="37" t="s">
        <v>42</v>
      </c>
      <c r="E185" s="37" t="s">
        <v>43</v>
      </c>
      <c r="F185" s="37" t="s">
        <v>44</v>
      </c>
      <c r="G185" s="37" t="s">
        <v>45</v>
      </c>
      <c r="H185" s="37" t="s">
        <v>46</v>
      </c>
      <c r="I185" s="37" t="s">
        <v>141</v>
      </c>
    </row>
    <row r="186" spans="1:9">
      <c r="A186" t="s">
        <v>63</v>
      </c>
      <c r="B186" s="27">
        <f t="shared" ref="B186:H192" si="18">B109</f>
        <v>229.09266570439203</v>
      </c>
      <c r="C186" s="27">
        <f t="shared" si="18"/>
        <v>0.66421677953800007</v>
      </c>
      <c r="D186" s="27">
        <f t="shared" si="18"/>
        <v>0</v>
      </c>
      <c r="E186" s="27">
        <f t="shared" si="18"/>
        <v>23.713475409663999</v>
      </c>
      <c r="F186" s="27">
        <f t="shared" si="18"/>
        <v>26.428537409544997</v>
      </c>
      <c r="G186" s="27">
        <f t="shared" si="18"/>
        <v>197.49645147217731</v>
      </c>
      <c r="H186" s="27">
        <f t="shared" si="18"/>
        <v>0</v>
      </c>
      <c r="I186" s="793">
        <f>I109*$B$145</f>
        <v>97.337302058963814</v>
      </c>
    </row>
    <row r="187" spans="1:9">
      <c r="A187" t="s">
        <v>64</v>
      </c>
      <c r="B187" s="27">
        <f t="shared" si="18"/>
        <v>61.368880659828001</v>
      </c>
      <c r="C187" s="27">
        <f t="shared" si="18"/>
        <v>0.48112536949750007</v>
      </c>
      <c r="D187" s="27">
        <f t="shared" si="18"/>
        <v>0</v>
      </c>
      <c r="E187" s="27">
        <f t="shared" si="18"/>
        <v>6.5359051267320023</v>
      </c>
      <c r="F187" s="27">
        <f t="shared" si="18"/>
        <v>2.9610533090540003</v>
      </c>
      <c r="G187" s="27">
        <f t="shared" si="18"/>
        <v>1.348233630589091</v>
      </c>
      <c r="H187" s="27">
        <f t="shared" si="18"/>
        <v>0</v>
      </c>
      <c r="I187" s="793">
        <f t="shared" ref="I187:I200" si="19">I110*$B$145</f>
        <v>123.53830267793199</v>
      </c>
    </row>
    <row r="188" spans="1:9">
      <c r="A188" t="s">
        <v>65</v>
      </c>
      <c r="B188" s="27">
        <f t="shared" si="18"/>
        <v>0.62501351035200003</v>
      </c>
      <c r="C188" s="27">
        <f t="shared" si="18"/>
        <v>3.5368507590000007E-3</v>
      </c>
      <c r="D188" s="27">
        <f t="shared" si="18"/>
        <v>0</v>
      </c>
      <c r="E188" s="27">
        <f t="shared" si="18"/>
        <v>2.8214240194619999</v>
      </c>
      <c r="F188" s="27">
        <f t="shared" si="18"/>
        <v>0.17023313327700001</v>
      </c>
      <c r="G188" s="27">
        <f t="shared" si="18"/>
        <v>0.47490814941272735</v>
      </c>
      <c r="H188" s="27">
        <f t="shared" si="18"/>
        <v>0</v>
      </c>
      <c r="I188" s="793">
        <f t="shared" si="19"/>
        <v>27.131202834744482</v>
      </c>
    </row>
    <row r="189" spans="1:9">
      <c r="A189" t="s">
        <v>66</v>
      </c>
      <c r="B189" s="27">
        <f t="shared" si="18"/>
        <v>33.159510027503998</v>
      </c>
      <c r="C189" s="27">
        <f t="shared" si="18"/>
        <v>1.4926874891500002E-2</v>
      </c>
      <c r="D189" s="27">
        <f t="shared" si="18"/>
        <v>0</v>
      </c>
      <c r="E189" s="27">
        <f t="shared" si="18"/>
        <v>2.4694353501379998</v>
      </c>
      <c r="F189" s="27">
        <f t="shared" si="18"/>
        <v>24.939413822492</v>
      </c>
      <c r="G189" s="27">
        <f t="shared" si="18"/>
        <v>1.1987112412554546</v>
      </c>
      <c r="H189" s="27">
        <f t="shared" si="18"/>
        <v>0</v>
      </c>
      <c r="I189" s="793">
        <f t="shared" si="19"/>
        <v>52.486760392383772</v>
      </c>
    </row>
    <row r="190" spans="1:9">
      <c r="A190" t="s">
        <v>67</v>
      </c>
      <c r="B190" s="27">
        <f t="shared" si="18"/>
        <v>0.13996923234</v>
      </c>
      <c r="C190" s="27">
        <f t="shared" si="18"/>
        <v>0.18598840212550002</v>
      </c>
      <c r="D190" s="27">
        <f t="shared" si="18"/>
        <v>0</v>
      </c>
      <c r="E190" s="27">
        <f t="shared" si="18"/>
        <v>0.74588700684600007</v>
      </c>
      <c r="F190" s="27">
        <f t="shared" si="18"/>
        <v>3.8497142242910001</v>
      </c>
      <c r="G190" s="27">
        <f t="shared" si="18"/>
        <v>0.11877545799909091</v>
      </c>
      <c r="H190" s="27">
        <f t="shared" si="18"/>
        <v>0</v>
      </c>
      <c r="I190" s="793">
        <f t="shared" si="19"/>
        <v>11.678125789675011</v>
      </c>
    </row>
    <row r="191" spans="1:9">
      <c r="A191" t="s">
        <v>68</v>
      </c>
      <c r="B191" s="27">
        <f t="shared" si="18"/>
        <v>48.217769937876</v>
      </c>
      <c r="C191" s="27">
        <f t="shared" si="18"/>
        <v>0.30302433223400005</v>
      </c>
      <c r="D191" s="27">
        <f t="shared" si="18"/>
        <v>0</v>
      </c>
      <c r="E191" s="27">
        <f t="shared" si="18"/>
        <v>3.282292295426001</v>
      </c>
      <c r="F191" s="27">
        <f t="shared" si="18"/>
        <v>38.355432553871999</v>
      </c>
      <c r="G191" s="27">
        <f t="shared" si="18"/>
        <v>7.0803456762490917</v>
      </c>
      <c r="H191" s="27">
        <f t="shared" si="18"/>
        <v>0</v>
      </c>
      <c r="I191" s="793">
        <f t="shared" si="19"/>
        <v>80.723940120320961</v>
      </c>
    </row>
    <row r="192" spans="1:9">
      <c r="A192" t="s">
        <v>69</v>
      </c>
      <c r="B192" s="27">
        <f t="shared" si="18"/>
        <v>13.868269731624</v>
      </c>
      <c r="C192" s="27">
        <f t="shared" si="18"/>
        <v>0.22121425123850003</v>
      </c>
      <c r="D192" s="27">
        <f t="shared" si="18"/>
        <v>0</v>
      </c>
      <c r="E192" s="27">
        <f t="shared" si="18"/>
        <v>4.0494753993819996</v>
      </c>
      <c r="F192" s="27">
        <f t="shared" si="18"/>
        <v>14.219776646515999</v>
      </c>
      <c r="G192" s="27">
        <f t="shared" si="18"/>
        <v>18.258115146584547</v>
      </c>
      <c r="H192" s="27">
        <f t="shared" si="18"/>
        <v>0</v>
      </c>
      <c r="I192" s="793">
        <f t="shared" si="19"/>
        <v>55.087189998751278</v>
      </c>
    </row>
    <row r="193" spans="1:9">
      <c r="A193" t="s">
        <v>70</v>
      </c>
      <c r="B193" s="793">
        <f>B182</f>
        <v>286.99674426603599</v>
      </c>
      <c r="C193" s="27">
        <f t="shared" ref="C193:H193" si="20">C116</f>
        <v>0.16993825884750002</v>
      </c>
      <c r="D193" s="27">
        <f t="shared" si="20"/>
        <v>0</v>
      </c>
      <c r="E193" s="27">
        <f t="shared" si="20"/>
        <v>8.6804273325720001</v>
      </c>
      <c r="F193" s="27">
        <f t="shared" si="20"/>
        <v>35.902715844980001</v>
      </c>
      <c r="G193" s="27">
        <f t="shared" si="20"/>
        <v>33.698017825998186</v>
      </c>
      <c r="H193" s="27">
        <f t="shared" si="20"/>
        <v>0</v>
      </c>
      <c r="I193" s="793">
        <f t="shared" si="19"/>
        <v>108.99473116927071</v>
      </c>
    </row>
    <row r="194" spans="1:9">
      <c r="A194" t="s">
        <v>71</v>
      </c>
      <c r="B194" s="793">
        <f>B170</f>
        <v>121.07105004554393</v>
      </c>
      <c r="C194" s="793">
        <f>B171</f>
        <v>528.07400511149194</v>
      </c>
      <c r="D194" s="27">
        <f t="shared" ref="D194:H200" si="21">D117</f>
        <v>0</v>
      </c>
      <c r="E194" s="27">
        <f t="shared" si="21"/>
        <v>11.617293103426</v>
      </c>
      <c r="F194" s="27">
        <f t="shared" si="21"/>
        <v>3.1505757719979997</v>
      </c>
      <c r="G194" s="27">
        <f t="shared" si="21"/>
        <v>7.3449240201818172E-2</v>
      </c>
      <c r="H194" s="27">
        <f t="shared" si="21"/>
        <v>0</v>
      </c>
      <c r="I194" s="793">
        <f t="shared" si="19"/>
        <v>108.29593658600633</v>
      </c>
    </row>
    <row r="195" spans="1:9">
      <c r="A195" t="s">
        <v>72</v>
      </c>
      <c r="B195" s="793">
        <f>B165</f>
        <v>431.47925351101929</v>
      </c>
      <c r="C195" s="27">
        <f t="shared" ref="C195:C200" si="22">C118</f>
        <v>1.8441368725000001E-2</v>
      </c>
      <c r="D195" s="27">
        <f t="shared" si="21"/>
        <v>0</v>
      </c>
      <c r="E195" s="27">
        <f t="shared" si="21"/>
        <v>3.2432704084920001</v>
      </c>
      <c r="F195" s="27">
        <f t="shared" si="21"/>
        <v>3.039299063299</v>
      </c>
      <c r="G195" s="27">
        <f t="shared" si="21"/>
        <v>7.866249829958182</v>
      </c>
      <c r="H195" s="27">
        <f t="shared" si="21"/>
        <v>0</v>
      </c>
      <c r="I195" s="793">
        <f t="shared" si="19"/>
        <v>27.677096132195995</v>
      </c>
    </row>
    <row r="196" spans="1:9">
      <c r="A196" t="s">
        <v>73</v>
      </c>
      <c r="B196" s="27">
        <f t="shared" ref="B196:B200" si="23">B119</f>
        <v>0</v>
      </c>
      <c r="C196" s="27">
        <f t="shared" si="22"/>
        <v>3.5652240000000004E-6</v>
      </c>
      <c r="D196" s="27">
        <f t="shared" si="21"/>
        <v>0</v>
      </c>
      <c r="E196" s="27">
        <f t="shared" si="21"/>
        <v>1.9221428067540003</v>
      </c>
      <c r="F196" s="27">
        <f t="shared" si="21"/>
        <v>0.58199745772900002</v>
      </c>
      <c r="G196" s="27">
        <f t="shared" si="21"/>
        <v>7.0994476510909094E-2</v>
      </c>
      <c r="H196" s="27">
        <f t="shared" si="21"/>
        <v>0</v>
      </c>
      <c r="I196" s="793">
        <f t="shared" si="19"/>
        <v>7.583798282305791</v>
      </c>
    </row>
    <row r="197" spans="1:9">
      <c r="A197" t="s">
        <v>74</v>
      </c>
      <c r="B197" s="27">
        <f t="shared" si="23"/>
        <v>2.1887292000000001E-5</v>
      </c>
      <c r="C197" s="27">
        <f t="shared" si="22"/>
        <v>3.2832469676500005E-2</v>
      </c>
      <c r="D197" s="27">
        <f t="shared" si="21"/>
        <v>0</v>
      </c>
      <c r="E197" s="27">
        <f t="shared" si="21"/>
        <v>5.2256148743519999</v>
      </c>
      <c r="F197" s="27">
        <f t="shared" si="21"/>
        <v>6.7342102110200006</v>
      </c>
      <c r="G197" s="27">
        <f t="shared" si="21"/>
        <v>0.22680717330727274</v>
      </c>
      <c r="H197" s="27">
        <f t="shared" si="21"/>
        <v>0</v>
      </c>
      <c r="I197" s="793">
        <f t="shared" si="19"/>
        <v>59.90687912117761</v>
      </c>
    </row>
    <row r="198" spans="1:9">
      <c r="A198" t="s">
        <v>75</v>
      </c>
      <c r="B198" s="27">
        <f t="shared" si="23"/>
        <v>4.4087353402680005</v>
      </c>
      <c r="C198" s="27">
        <f t="shared" si="22"/>
        <v>1.3430000740000001E-3</v>
      </c>
      <c r="D198" s="27">
        <f t="shared" si="21"/>
        <v>0</v>
      </c>
      <c r="E198" s="27">
        <f t="shared" si="21"/>
        <v>1.4532855103220002</v>
      </c>
      <c r="F198" s="27">
        <f t="shared" si="21"/>
        <v>3.1819665354439999</v>
      </c>
      <c r="G198" s="27">
        <f t="shared" si="21"/>
        <v>0.97936024518818188</v>
      </c>
      <c r="H198" s="27">
        <f t="shared" si="21"/>
        <v>0</v>
      </c>
      <c r="I198" s="793">
        <f t="shared" si="19"/>
        <v>36.066415436299586</v>
      </c>
    </row>
    <row r="199" spans="1:9">
      <c r="A199" t="s">
        <v>76</v>
      </c>
      <c r="B199" s="27">
        <f t="shared" si="23"/>
        <v>0.23415024981600002</v>
      </c>
      <c r="C199" s="27">
        <f t="shared" si="22"/>
        <v>4.1972589880000001E-3</v>
      </c>
      <c r="D199" s="27">
        <f t="shared" si="21"/>
        <v>0</v>
      </c>
      <c r="E199" s="27">
        <f t="shared" si="21"/>
        <v>12.179454934088</v>
      </c>
      <c r="F199" s="27">
        <f t="shared" si="21"/>
        <v>2.4602422911640001</v>
      </c>
      <c r="G199" s="27">
        <f t="shared" si="21"/>
        <v>9.6705323370909091E-2</v>
      </c>
      <c r="H199" s="27">
        <f t="shared" si="21"/>
        <v>0</v>
      </c>
      <c r="I199" s="793">
        <f t="shared" si="19"/>
        <v>14.820627688174838</v>
      </c>
    </row>
    <row r="200" spans="1:9">
      <c r="A200" t="s">
        <v>77</v>
      </c>
      <c r="B200" s="27">
        <f t="shared" si="23"/>
        <v>9.1007360135999998E-2</v>
      </c>
      <c r="C200" s="27">
        <f t="shared" si="22"/>
        <v>3.5706956285000003E-3</v>
      </c>
      <c r="D200" s="27">
        <f t="shared" si="21"/>
        <v>0</v>
      </c>
      <c r="E200" s="27">
        <f t="shared" si="21"/>
        <v>1.4414647206400002</v>
      </c>
      <c r="F200" s="27">
        <f t="shared" si="21"/>
        <v>0.21740872513699999</v>
      </c>
      <c r="G200" s="27">
        <f t="shared" si="21"/>
        <v>2.5313337556363637E-2</v>
      </c>
      <c r="H200" s="27">
        <f t="shared" si="21"/>
        <v>0</v>
      </c>
      <c r="I200" s="793">
        <f t="shared" si="19"/>
        <v>4.7589574357473037</v>
      </c>
    </row>
  </sheetData>
  <hyperlinks>
    <hyperlink ref="D49" r:id="rId1" xr:uid="{9AB4476A-0A6C-4B3F-8DE1-6CDCECD6C6A5}"/>
    <hyperlink ref="D43" r:id="rId2" xr:uid="{405236E4-21BC-4E51-B2DF-D54887C8EDB6}"/>
    <hyperlink ref="D50" r:id="rId3" xr:uid="{7BA323FE-D736-4B82-A35B-91758EF7EA7A}"/>
    <hyperlink ref="D47" r:id="rId4" xr:uid="{20ED5A0C-9BC6-4601-A2D2-5B03F3DFC491}"/>
    <hyperlink ref="D51" r:id="rId5" xr:uid="{A6EAD1FD-4DFD-4376-B870-B8B31DE62C99}"/>
    <hyperlink ref="D53" r:id="rId6" xr:uid="{C7F527AF-1EDB-4788-A83D-96D946CB56DE}"/>
    <hyperlink ref="D52" r:id="rId7" xr:uid="{56C64EA7-ABA4-4FE0-AF40-4B590F97B9DF}"/>
    <hyperlink ref="C155" r:id="rId8" xr:uid="{AA468448-8328-48E7-850E-20588A6EAC9F}"/>
  </hyperlinks>
  <pageMargins left="0.7" right="0.7" top="0.75" bottom="0.75" header="0.3" footer="0.3"/>
  <pageSetup orientation="portrait" r:id="rId9"/>
  <headerFooter>
    <oddFooter>&amp;R_x000D_&amp;1#&amp;"Aptos"&amp;10&amp;K000000 Official Use Only</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9EC09-73D5-4F63-B4CF-F7CFF5C9E63D}">
  <dimension ref="A1:M424"/>
  <sheetViews>
    <sheetView topLeftCell="A93" zoomScale="115" zoomScaleNormal="115" workbookViewId="0">
      <selection activeCell="G139" sqref="G139"/>
    </sheetView>
  </sheetViews>
  <sheetFormatPr defaultRowHeight="15"/>
  <cols>
    <col min="1" max="1" width="36.7109375" customWidth="1"/>
    <col min="2" max="5" width="14.5703125" customWidth="1"/>
    <col min="6" max="6" width="22.85546875" customWidth="1"/>
    <col min="7" max="11" width="14.5703125" customWidth="1"/>
    <col min="12" max="12" width="17.28515625" customWidth="1"/>
  </cols>
  <sheetData>
    <row r="1" spans="1:11">
      <c r="A1" s="538" t="s">
        <v>3947</v>
      </c>
    </row>
    <row r="3" spans="1:11" s="33" customFormat="1" ht="30">
      <c r="A3" s="36" t="s">
        <v>3948</v>
      </c>
      <c r="B3" s="37" t="s">
        <v>40</v>
      </c>
      <c r="C3" s="37" t="s">
        <v>1211</v>
      </c>
      <c r="D3" s="37" t="s">
        <v>2783</v>
      </c>
      <c r="E3" s="37" t="s">
        <v>3153</v>
      </c>
      <c r="F3" s="37" t="s">
        <v>44</v>
      </c>
      <c r="G3" s="37" t="s">
        <v>3178</v>
      </c>
      <c r="H3" s="37" t="s">
        <v>3062</v>
      </c>
      <c r="I3" s="37" t="s">
        <v>3949</v>
      </c>
      <c r="J3" s="37" t="s">
        <v>3065</v>
      </c>
      <c r="K3" s="37" t="s">
        <v>3950</v>
      </c>
    </row>
    <row r="4" spans="1:11">
      <c r="A4" s="23" t="s">
        <v>116</v>
      </c>
      <c r="B4" s="1047" t="s">
        <v>3951</v>
      </c>
      <c r="C4" s="1047" t="s">
        <v>3951</v>
      </c>
      <c r="D4" s="1047" t="s">
        <v>3951</v>
      </c>
      <c r="E4" s="1047" t="s">
        <v>3951</v>
      </c>
      <c r="F4" s="1047" t="s">
        <v>3952</v>
      </c>
      <c r="G4" s="1047" t="s">
        <v>3951</v>
      </c>
      <c r="H4" s="1047" t="s">
        <v>3951</v>
      </c>
      <c r="I4" s="1047" t="s">
        <v>3951</v>
      </c>
      <c r="J4" s="1047" t="s">
        <v>3951</v>
      </c>
      <c r="K4" s="1047" t="s">
        <v>3951</v>
      </c>
    </row>
    <row r="5" spans="1:11">
      <c r="A5" s="23" t="s">
        <v>3953</v>
      </c>
      <c r="B5" s="103">
        <v>27594</v>
      </c>
      <c r="C5">
        <v>2807</v>
      </c>
      <c r="D5">
        <v>306</v>
      </c>
      <c r="E5">
        <v>424</v>
      </c>
      <c r="F5">
        <v>1084</v>
      </c>
      <c r="G5">
        <v>0</v>
      </c>
      <c r="H5">
        <v>0</v>
      </c>
      <c r="I5">
        <v>0</v>
      </c>
      <c r="J5">
        <v>0</v>
      </c>
      <c r="K5">
        <v>0</v>
      </c>
    </row>
    <row r="6" spans="1:11">
      <c r="A6" t="s">
        <v>3954</v>
      </c>
      <c r="B6">
        <v>613</v>
      </c>
      <c r="C6">
        <v>691</v>
      </c>
      <c r="D6">
        <v>0.7</v>
      </c>
      <c r="E6">
        <v>0</v>
      </c>
      <c r="F6">
        <v>0</v>
      </c>
      <c r="G6">
        <v>0</v>
      </c>
      <c r="H6">
        <v>0</v>
      </c>
      <c r="I6">
        <v>0</v>
      </c>
      <c r="J6">
        <v>0</v>
      </c>
      <c r="K6">
        <v>0</v>
      </c>
    </row>
    <row r="7" spans="1:11">
      <c r="A7" t="s">
        <v>3955</v>
      </c>
      <c r="B7">
        <v>792</v>
      </c>
      <c r="C7">
        <v>138</v>
      </c>
      <c r="D7">
        <v>24</v>
      </c>
      <c r="E7">
        <v>14</v>
      </c>
      <c r="F7">
        <v>26</v>
      </c>
      <c r="G7">
        <v>0</v>
      </c>
      <c r="H7">
        <v>0</v>
      </c>
      <c r="I7">
        <v>0</v>
      </c>
      <c r="J7">
        <v>0</v>
      </c>
      <c r="K7">
        <v>0</v>
      </c>
    </row>
    <row r="8" spans="1:11">
      <c r="A8" t="s">
        <v>3956</v>
      </c>
      <c r="B8">
        <v>2248</v>
      </c>
      <c r="C8">
        <v>92</v>
      </c>
      <c r="D8">
        <v>2.4</v>
      </c>
      <c r="E8">
        <v>21</v>
      </c>
      <c r="F8">
        <v>5.8</v>
      </c>
      <c r="G8">
        <v>0</v>
      </c>
      <c r="H8">
        <v>0</v>
      </c>
      <c r="I8">
        <v>0</v>
      </c>
      <c r="J8">
        <v>0</v>
      </c>
      <c r="K8">
        <v>0</v>
      </c>
    </row>
    <row r="9" spans="1:11">
      <c r="A9" t="s">
        <v>3957</v>
      </c>
      <c r="B9">
        <v>9.5</v>
      </c>
      <c r="C9">
        <v>55</v>
      </c>
      <c r="D9">
        <v>0.1</v>
      </c>
      <c r="E9">
        <v>0.3</v>
      </c>
      <c r="F9">
        <v>0</v>
      </c>
      <c r="G9">
        <v>0</v>
      </c>
      <c r="H9">
        <v>0</v>
      </c>
      <c r="I9">
        <v>0</v>
      </c>
      <c r="J9">
        <v>0</v>
      </c>
      <c r="K9">
        <v>0</v>
      </c>
    </row>
    <row r="10" spans="1:11">
      <c r="A10" t="s">
        <v>66</v>
      </c>
      <c r="B10">
        <v>1119</v>
      </c>
      <c r="C10">
        <v>35</v>
      </c>
      <c r="D10">
        <v>0.1</v>
      </c>
      <c r="E10">
        <v>7.3</v>
      </c>
      <c r="F10">
        <v>6.7</v>
      </c>
      <c r="G10">
        <v>0</v>
      </c>
      <c r="H10">
        <v>0</v>
      </c>
      <c r="I10">
        <v>0</v>
      </c>
      <c r="J10">
        <v>0</v>
      </c>
      <c r="K10">
        <v>0</v>
      </c>
    </row>
    <row r="11" spans="1:11">
      <c r="A11" t="s">
        <v>68</v>
      </c>
      <c r="B11">
        <v>1525</v>
      </c>
      <c r="C11">
        <v>118</v>
      </c>
      <c r="D11">
        <v>44</v>
      </c>
      <c r="E11">
        <v>26</v>
      </c>
      <c r="F11">
        <v>456</v>
      </c>
      <c r="G11">
        <v>0</v>
      </c>
      <c r="H11">
        <v>0</v>
      </c>
      <c r="I11">
        <v>0</v>
      </c>
      <c r="J11">
        <v>0</v>
      </c>
      <c r="K11">
        <v>0</v>
      </c>
    </row>
    <row r="12" spans="1:11">
      <c r="A12" t="s">
        <v>3958</v>
      </c>
      <c r="B12">
        <v>2045</v>
      </c>
      <c r="C12">
        <v>944</v>
      </c>
      <c r="D12">
        <v>59</v>
      </c>
      <c r="E12">
        <v>83</v>
      </c>
      <c r="F12">
        <v>338</v>
      </c>
      <c r="G12">
        <v>0</v>
      </c>
      <c r="H12">
        <v>0</v>
      </c>
      <c r="I12">
        <v>0</v>
      </c>
      <c r="J12">
        <v>0</v>
      </c>
      <c r="K12">
        <v>0</v>
      </c>
    </row>
    <row r="13" spans="1:11">
      <c r="A13" t="s">
        <v>3959</v>
      </c>
      <c r="B13">
        <v>2</v>
      </c>
      <c r="C13">
        <v>75</v>
      </c>
      <c r="D13">
        <v>33</v>
      </c>
      <c r="E13">
        <v>110</v>
      </c>
      <c r="F13">
        <v>30</v>
      </c>
      <c r="G13">
        <v>0</v>
      </c>
      <c r="H13">
        <v>0</v>
      </c>
      <c r="I13">
        <v>0</v>
      </c>
      <c r="J13">
        <v>0</v>
      </c>
      <c r="K13">
        <v>0</v>
      </c>
    </row>
    <row r="14" spans="1:11">
      <c r="A14" t="s">
        <v>70</v>
      </c>
      <c r="B14">
        <v>17908</v>
      </c>
      <c r="C14">
        <v>296</v>
      </c>
      <c r="D14">
        <v>133</v>
      </c>
      <c r="E14">
        <v>72</v>
      </c>
      <c r="F14">
        <v>202</v>
      </c>
      <c r="G14">
        <v>0</v>
      </c>
      <c r="H14">
        <v>0</v>
      </c>
      <c r="I14">
        <v>0</v>
      </c>
      <c r="J14">
        <v>0</v>
      </c>
      <c r="K14">
        <v>0</v>
      </c>
    </row>
    <row r="15" spans="1:11">
      <c r="A15" t="s">
        <v>3576</v>
      </c>
      <c r="B15">
        <v>0</v>
      </c>
      <c r="C15">
        <v>53</v>
      </c>
      <c r="D15">
        <v>9.6</v>
      </c>
      <c r="E15">
        <v>62</v>
      </c>
      <c r="F15">
        <v>16</v>
      </c>
      <c r="G15">
        <v>0</v>
      </c>
      <c r="H15">
        <v>0</v>
      </c>
      <c r="I15">
        <v>0</v>
      </c>
      <c r="J15">
        <v>0</v>
      </c>
      <c r="K15">
        <v>0</v>
      </c>
    </row>
    <row r="16" spans="1:11">
      <c r="A16" t="s">
        <v>2705</v>
      </c>
      <c r="B16">
        <v>22</v>
      </c>
      <c r="C16">
        <v>264</v>
      </c>
      <c r="D16">
        <v>0</v>
      </c>
      <c r="E16">
        <v>7</v>
      </c>
      <c r="F16">
        <v>0</v>
      </c>
      <c r="G16">
        <v>0</v>
      </c>
      <c r="H16">
        <v>0</v>
      </c>
      <c r="I16">
        <v>0</v>
      </c>
      <c r="J16">
        <v>0</v>
      </c>
      <c r="K16">
        <v>0</v>
      </c>
    </row>
    <row r="17" spans="1:13">
      <c r="A17" t="s">
        <v>3577</v>
      </c>
      <c r="B17">
        <v>1311</v>
      </c>
      <c r="C17">
        <v>46</v>
      </c>
      <c r="D17">
        <v>0.7</v>
      </c>
      <c r="E17">
        <v>21</v>
      </c>
      <c r="F17">
        <v>3.4</v>
      </c>
      <c r="G17">
        <v>0</v>
      </c>
      <c r="H17">
        <v>0</v>
      </c>
      <c r="I17">
        <v>0</v>
      </c>
      <c r="J17">
        <v>0</v>
      </c>
      <c r="K17">
        <v>0</v>
      </c>
    </row>
    <row r="18" spans="1:13">
      <c r="A18" t="s">
        <v>3960</v>
      </c>
      <c r="B18">
        <v>576</v>
      </c>
      <c r="C18">
        <v>0</v>
      </c>
      <c r="D18">
        <v>0</v>
      </c>
      <c r="E18">
        <v>0</v>
      </c>
      <c r="F18">
        <v>977</v>
      </c>
      <c r="G18">
        <v>0.6</v>
      </c>
      <c r="H18">
        <v>16</v>
      </c>
      <c r="I18">
        <v>900.9</v>
      </c>
      <c r="J18">
        <v>90.3</v>
      </c>
      <c r="K18">
        <v>1140</v>
      </c>
    </row>
    <row r="20" spans="1:13">
      <c r="A20" s="58" t="s">
        <v>3961</v>
      </c>
    </row>
    <row r="21" spans="1:13">
      <c r="A21" s="23" t="s">
        <v>3962</v>
      </c>
      <c r="B21" s="500">
        <f>16895/28469</f>
        <v>0.59345252731040776</v>
      </c>
      <c r="C21" s="500">
        <f>11456/11232</f>
        <v>1.0199430199430199</v>
      </c>
      <c r="D21" s="500">
        <f>617/623</f>
        <v>0.9903691813804173</v>
      </c>
      <c r="E21" s="500">
        <f>2836/2602</f>
        <v>1.0899308224442736</v>
      </c>
      <c r="F21" s="500">
        <f>1868/2075</f>
        <v>0.90024096385542174</v>
      </c>
      <c r="G21" s="500">
        <f>7301/6953</f>
        <v>1.0500503379836041</v>
      </c>
      <c r="H21" s="500">
        <f>1130/1097</f>
        <v>1.0300820419325434</v>
      </c>
      <c r="I21" s="500">
        <f>899.4/901</f>
        <v>0.9982241953385127</v>
      </c>
      <c r="J21" s="500">
        <f>91/90.3</f>
        <v>1.0077519379844961</v>
      </c>
      <c r="K21" s="500">
        <f>1129/1140</f>
        <v>0.99035087719298243</v>
      </c>
    </row>
    <row r="23" spans="1:13" ht="30">
      <c r="A23" s="36" t="s">
        <v>3948</v>
      </c>
      <c r="B23" s="37" t="s">
        <v>40</v>
      </c>
      <c r="C23" s="37" t="s">
        <v>1211</v>
      </c>
      <c r="D23" s="37" t="s">
        <v>2783</v>
      </c>
      <c r="E23" s="37" t="s">
        <v>3153</v>
      </c>
      <c r="F23" s="37" t="s">
        <v>44</v>
      </c>
      <c r="G23" s="37" t="s">
        <v>3178</v>
      </c>
      <c r="H23" s="37" t="s">
        <v>3062</v>
      </c>
      <c r="I23" s="37" t="s">
        <v>3949</v>
      </c>
      <c r="J23" s="37" t="s">
        <v>3065</v>
      </c>
      <c r="K23" s="37" t="s">
        <v>3950</v>
      </c>
    </row>
    <row r="24" spans="1:13">
      <c r="A24" s="23" t="s">
        <v>116</v>
      </c>
      <c r="B24" s="1047" t="s">
        <v>686</v>
      </c>
      <c r="C24" s="1047" t="s">
        <v>686</v>
      </c>
      <c r="D24" s="1047" t="s">
        <v>686</v>
      </c>
      <c r="E24" s="1047" t="s">
        <v>686</v>
      </c>
      <c r="F24" s="1047" t="s">
        <v>686</v>
      </c>
      <c r="G24" s="1047" t="s">
        <v>686</v>
      </c>
      <c r="H24" s="1047" t="s">
        <v>686</v>
      </c>
      <c r="I24" s="1047" t="s">
        <v>686</v>
      </c>
      <c r="J24" s="1047" t="s">
        <v>686</v>
      </c>
      <c r="K24" s="1047" t="s">
        <v>686</v>
      </c>
      <c r="M24" s="58" t="s">
        <v>3963</v>
      </c>
    </row>
    <row r="25" spans="1:13">
      <c r="A25" s="23" t="s">
        <v>3953</v>
      </c>
      <c r="B25" s="792">
        <f>B5*B$21</f>
        <v>16375.729038603391</v>
      </c>
      <c r="C25" s="792">
        <f t="shared" ref="C25:K25" si="0">C5*C$21</f>
        <v>2862.9800569800568</v>
      </c>
      <c r="D25" s="792">
        <f t="shared" si="0"/>
        <v>303.05296950240768</v>
      </c>
      <c r="E25" s="792">
        <f t="shared" si="0"/>
        <v>462.13066871637204</v>
      </c>
      <c r="F25" s="792">
        <f t="shared" si="0"/>
        <v>975.86120481927719</v>
      </c>
      <c r="G25" s="792">
        <f t="shared" si="0"/>
        <v>0</v>
      </c>
      <c r="H25" s="792">
        <f t="shared" si="0"/>
        <v>0</v>
      </c>
      <c r="I25" s="792">
        <f t="shared" si="0"/>
        <v>0</v>
      </c>
      <c r="J25" s="792">
        <f t="shared" si="0"/>
        <v>0</v>
      </c>
      <c r="K25" s="792">
        <f t="shared" si="0"/>
        <v>0</v>
      </c>
    </row>
    <row r="26" spans="1:13">
      <c r="A26" t="s">
        <v>3954</v>
      </c>
      <c r="B26" s="792">
        <f t="shared" ref="B26:K38" si="1">B6*B$21</f>
        <v>363.78639924127998</v>
      </c>
      <c r="C26" s="792">
        <f t="shared" si="1"/>
        <v>704.78062678062679</v>
      </c>
      <c r="D26" s="792">
        <f t="shared" si="1"/>
        <v>0.69325842696629203</v>
      </c>
      <c r="E26" s="792">
        <f t="shared" si="1"/>
        <v>0</v>
      </c>
      <c r="F26" s="792">
        <f t="shared" si="1"/>
        <v>0</v>
      </c>
      <c r="G26" s="792">
        <f t="shared" si="1"/>
        <v>0</v>
      </c>
      <c r="H26" s="792">
        <f t="shared" si="1"/>
        <v>0</v>
      </c>
      <c r="I26" s="792">
        <f t="shared" si="1"/>
        <v>0</v>
      </c>
      <c r="J26" s="792">
        <f t="shared" si="1"/>
        <v>0</v>
      </c>
      <c r="K26" s="792">
        <f t="shared" si="1"/>
        <v>0</v>
      </c>
      <c r="M26" s="539" t="s">
        <v>3964</v>
      </c>
    </row>
    <row r="27" spans="1:13">
      <c r="A27" t="s">
        <v>3955</v>
      </c>
      <c r="B27" s="792">
        <f t="shared" si="1"/>
        <v>470.01440162984295</v>
      </c>
      <c r="C27" s="792">
        <f t="shared" si="1"/>
        <v>140.75213675213675</v>
      </c>
      <c r="D27" s="792">
        <f t="shared" si="1"/>
        <v>23.768860353130016</v>
      </c>
      <c r="E27" s="792">
        <f t="shared" si="1"/>
        <v>15.259031514219831</v>
      </c>
      <c r="F27" s="792">
        <f t="shared" si="1"/>
        <v>23.406265060240965</v>
      </c>
      <c r="G27" s="792">
        <f t="shared" si="1"/>
        <v>0</v>
      </c>
      <c r="H27" s="792">
        <f t="shared" si="1"/>
        <v>0</v>
      </c>
      <c r="I27" s="792">
        <f t="shared" si="1"/>
        <v>0</v>
      </c>
      <c r="J27" s="792">
        <f t="shared" si="1"/>
        <v>0</v>
      </c>
      <c r="K27" s="792">
        <f t="shared" si="1"/>
        <v>0</v>
      </c>
      <c r="M27" t="s">
        <v>63</v>
      </c>
    </row>
    <row r="28" spans="1:13">
      <c r="A28" t="s">
        <v>3956</v>
      </c>
      <c r="B28" s="792">
        <f t="shared" si="1"/>
        <v>1334.0812813937966</v>
      </c>
      <c r="C28" s="792">
        <f t="shared" si="1"/>
        <v>93.834757834757838</v>
      </c>
      <c r="D28" s="792">
        <f t="shared" si="1"/>
        <v>2.3768860353130012</v>
      </c>
      <c r="E28" s="792">
        <f t="shared" si="1"/>
        <v>22.888547271329745</v>
      </c>
      <c r="F28" s="792">
        <f t="shared" si="1"/>
        <v>5.2213975903614456</v>
      </c>
      <c r="G28" s="792">
        <f t="shared" si="1"/>
        <v>0</v>
      </c>
      <c r="H28" s="792">
        <f t="shared" si="1"/>
        <v>0</v>
      </c>
      <c r="I28" s="792">
        <f t="shared" si="1"/>
        <v>0</v>
      </c>
      <c r="J28" s="792">
        <f t="shared" si="1"/>
        <v>0</v>
      </c>
      <c r="K28" s="792">
        <f t="shared" si="1"/>
        <v>0</v>
      </c>
      <c r="M28" t="s">
        <v>64</v>
      </c>
    </row>
    <row r="29" spans="1:13">
      <c r="A29" t="s">
        <v>3957</v>
      </c>
      <c r="B29" s="792">
        <f t="shared" si="1"/>
        <v>5.6377990094488739</v>
      </c>
      <c r="C29" s="792">
        <f t="shared" si="1"/>
        <v>56.096866096866094</v>
      </c>
      <c r="D29" s="792">
        <f t="shared" si="1"/>
        <v>9.9036918138041732E-2</v>
      </c>
      <c r="E29" s="792">
        <f t="shared" si="1"/>
        <v>0.3269792467332821</v>
      </c>
      <c r="F29" s="792">
        <f t="shared" si="1"/>
        <v>0</v>
      </c>
      <c r="G29" s="792">
        <f t="shared" si="1"/>
        <v>0</v>
      </c>
      <c r="H29" s="792">
        <f t="shared" si="1"/>
        <v>0</v>
      </c>
      <c r="I29" s="792">
        <f t="shared" si="1"/>
        <v>0</v>
      </c>
      <c r="J29" s="792">
        <f t="shared" si="1"/>
        <v>0</v>
      </c>
      <c r="K29" s="792">
        <f t="shared" si="1"/>
        <v>0</v>
      </c>
      <c r="M29" t="s">
        <v>65</v>
      </c>
    </row>
    <row r="30" spans="1:13">
      <c r="A30" t="s">
        <v>66</v>
      </c>
      <c r="B30" s="792">
        <f t="shared" si="1"/>
        <v>664.07337806034627</v>
      </c>
      <c r="C30" s="792">
        <f t="shared" si="1"/>
        <v>35.698005698005701</v>
      </c>
      <c r="D30" s="792">
        <f t="shared" si="1"/>
        <v>9.9036918138041732E-2</v>
      </c>
      <c r="E30" s="792">
        <f t="shared" si="1"/>
        <v>7.9564950038431972</v>
      </c>
      <c r="F30" s="792">
        <f t="shared" si="1"/>
        <v>6.031614457831326</v>
      </c>
      <c r="G30" s="792">
        <f t="shared" si="1"/>
        <v>0</v>
      </c>
      <c r="H30" s="792">
        <f t="shared" si="1"/>
        <v>0</v>
      </c>
      <c r="I30" s="792">
        <f t="shared" si="1"/>
        <v>0</v>
      </c>
      <c r="J30" s="792">
        <f t="shared" si="1"/>
        <v>0</v>
      </c>
      <c r="K30" s="792">
        <f t="shared" si="1"/>
        <v>0</v>
      </c>
      <c r="M30" t="s">
        <v>66</v>
      </c>
    </row>
    <row r="31" spans="1:13">
      <c r="A31" t="s">
        <v>68</v>
      </c>
      <c r="B31" s="792">
        <f t="shared" si="1"/>
        <v>905.01510414837185</v>
      </c>
      <c r="C31" s="792">
        <f t="shared" si="1"/>
        <v>120.35327635327636</v>
      </c>
      <c r="D31" s="792">
        <f t="shared" si="1"/>
        <v>43.576243980738361</v>
      </c>
      <c r="E31" s="792">
        <f t="shared" si="1"/>
        <v>28.338201383551116</v>
      </c>
      <c r="F31" s="792">
        <f t="shared" si="1"/>
        <v>410.5098795180723</v>
      </c>
      <c r="G31" s="792">
        <f t="shared" si="1"/>
        <v>0</v>
      </c>
      <c r="H31" s="792">
        <f t="shared" si="1"/>
        <v>0</v>
      </c>
      <c r="I31" s="792">
        <f t="shared" si="1"/>
        <v>0</v>
      </c>
      <c r="J31" s="792">
        <f t="shared" si="1"/>
        <v>0</v>
      </c>
      <c r="K31" s="792">
        <f t="shared" si="1"/>
        <v>0</v>
      </c>
      <c r="M31" t="s">
        <v>68</v>
      </c>
    </row>
    <row r="32" spans="1:13">
      <c r="A32" t="s">
        <v>3958</v>
      </c>
      <c r="B32" s="792">
        <f t="shared" si="1"/>
        <v>1213.6104183497839</v>
      </c>
      <c r="C32" s="792">
        <f t="shared" si="1"/>
        <v>962.82621082621085</v>
      </c>
      <c r="D32" s="792">
        <f t="shared" si="1"/>
        <v>58.431781701444621</v>
      </c>
      <c r="E32" s="792">
        <f t="shared" si="1"/>
        <v>90.464258262874708</v>
      </c>
      <c r="F32" s="792">
        <f t="shared" si="1"/>
        <v>304.28144578313254</v>
      </c>
      <c r="G32" s="792">
        <f t="shared" si="1"/>
        <v>0</v>
      </c>
      <c r="H32" s="792">
        <f t="shared" si="1"/>
        <v>0</v>
      </c>
      <c r="I32" s="792">
        <f t="shared" si="1"/>
        <v>0</v>
      </c>
      <c r="J32" s="792">
        <f t="shared" si="1"/>
        <v>0</v>
      </c>
      <c r="K32" s="792">
        <f t="shared" si="1"/>
        <v>0</v>
      </c>
      <c r="M32" s="537" t="s">
        <v>3965</v>
      </c>
    </row>
    <row r="33" spans="1:13">
      <c r="A33" t="s">
        <v>3959</v>
      </c>
      <c r="B33" s="792">
        <f t="shared" si="1"/>
        <v>1.1869050546208155</v>
      </c>
      <c r="C33" s="792">
        <f t="shared" si="1"/>
        <v>76.495726495726501</v>
      </c>
      <c r="D33" s="792">
        <f t="shared" si="1"/>
        <v>32.682182985553773</v>
      </c>
      <c r="E33" s="792">
        <f t="shared" si="1"/>
        <v>119.8923904688701</v>
      </c>
      <c r="F33" s="792">
        <f t="shared" si="1"/>
        <v>27.007228915662651</v>
      </c>
      <c r="G33" s="792">
        <f t="shared" si="1"/>
        <v>0</v>
      </c>
      <c r="H33" s="792">
        <f t="shared" si="1"/>
        <v>0</v>
      </c>
      <c r="I33" s="792">
        <f t="shared" si="1"/>
        <v>0</v>
      </c>
      <c r="J33" s="792">
        <f t="shared" si="1"/>
        <v>0</v>
      </c>
      <c r="K33" s="792">
        <f t="shared" si="1"/>
        <v>0</v>
      </c>
      <c r="M33" t="s">
        <v>73</v>
      </c>
    </row>
    <row r="34" spans="1:13">
      <c r="A34" t="s">
        <v>70</v>
      </c>
      <c r="B34" s="792">
        <f t="shared" si="1"/>
        <v>10627.547859074783</v>
      </c>
      <c r="C34" s="792">
        <f t="shared" si="1"/>
        <v>301.90313390313389</v>
      </c>
      <c r="D34" s="792">
        <f t="shared" si="1"/>
        <v>131.71910112359549</v>
      </c>
      <c r="E34" s="792">
        <f t="shared" si="1"/>
        <v>78.4750192159877</v>
      </c>
      <c r="F34" s="792">
        <f t="shared" si="1"/>
        <v>181.84867469879518</v>
      </c>
      <c r="G34" s="792">
        <f t="shared" si="1"/>
        <v>0</v>
      </c>
      <c r="H34" s="792">
        <f t="shared" si="1"/>
        <v>0</v>
      </c>
      <c r="I34" s="792">
        <f t="shared" si="1"/>
        <v>0</v>
      </c>
      <c r="J34" s="792">
        <f t="shared" si="1"/>
        <v>0</v>
      </c>
      <c r="K34" s="792">
        <f t="shared" si="1"/>
        <v>0</v>
      </c>
      <c r="M34" t="s">
        <v>70</v>
      </c>
    </row>
    <row r="35" spans="1:13">
      <c r="A35" t="s">
        <v>3576</v>
      </c>
      <c r="B35" s="792">
        <f t="shared" si="1"/>
        <v>0</v>
      </c>
      <c r="C35" s="792">
        <f t="shared" si="1"/>
        <v>54.056980056980059</v>
      </c>
      <c r="D35" s="792">
        <f t="shared" si="1"/>
        <v>9.507544141252005</v>
      </c>
      <c r="E35" s="792">
        <f t="shared" si="1"/>
        <v>67.575710991544966</v>
      </c>
      <c r="F35" s="792">
        <f t="shared" si="1"/>
        <v>14.403855421686748</v>
      </c>
      <c r="G35" s="792">
        <f t="shared" si="1"/>
        <v>0</v>
      </c>
      <c r="H35" s="792">
        <f t="shared" si="1"/>
        <v>0</v>
      </c>
      <c r="I35" s="792">
        <f t="shared" si="1"/>
        <v>0</v>
      </c>
      <c r="J35" s="792">
        <f t="shared" si="1"/>
        <v>0</v>
      </c>
      <c r="K35" s="792">
        <f t="shared" si="1"/>
        <v>0</v>
      </c>
      <c r="M35" t="s">
        <v>74</v>
      </c>
    </row>
    <row r="36" spans="1:13">
      <c r="A36" t="s">
        <v>2705</v>
      </c>
      <c r="B36" s="792">
        <f t="shared" si="1"/>
        <v>13.055955600828971</v>
      </c>
      <c r="C36" s="792">
        <f t="shared" si="1"/>
        <v>269.26495726495727</v>
      </c>
      <c r="D36" s="792">
        <f t="shared" si="1"/>
        <v>0</v>
      </c>
      <c r="E36" s="792">
        <f t="shared" si="1"/>
        <v>7.6295157571099157</v>
      </c>
      <c r="F36" s="792">
        <f t="shared" si="1"/>
        <v>0</v>
      </c>
      <c r="G36" s="792">
        <f t="shared" si="1"/>
        <v>0</v>
      </c>
      <c r="H36" s="792">
        <f t="shared" si="1"/>
        <v>0</v>
      </c>
      <c r="I36" s="792">
        <f t="shared" si="1"/>
        <v>0</v>
      </c>
      <c r="J36" s="792">
        <f t="shared" si="1"/>
        <v>0</v>
      </c>
      <c r="K36" s="792">
        <f t="shared" si="1"/>
        <v>0</v>
      </c>
      <c r="M36" s="539" t="s">
        <v>3964</v>
      </c>
    </row>
    <row r="37" spans="1:13">
      <c r="A37" t="s">
        <v>3577</v>
      </c>
      <c r="B37" s="792">
        <f t="shared" si="1"/>
        <v>778.01626330394458</v>
      </c>
      <c r="C37" s="792">
        <f t="shared" si="1"/>
        <v>46.917378917378919</v>
      </c>
      <c r="D37" s="792">
        <f t="shared" si="1"/>
        <v>0.69325842696629203</v>
      </c>
      <c r="E37" s="792">
        <f t="shared" si="1"/>
        <v>22.888547271329745</v>
      </c>
      <c r="F37" s="792">
        <f t="shared" si="1"/>
        <v>3.0608192771084339</v>
      </c>
      <c r="G37" s="792">
        <f t="shared" si="1"/>
        <v>0</v>
      </c>
      <c r="H37" s="792">
        <f t="shared" si="1"/>
        <v>0</v>
      </c>
      <c r="I37" s="792">
        <f t="shared" si="1"/>
        <v>0</v>
      </c>
      <c r="J37" s="792">
        <f t="shared" si="1"/>
        <v>0</v>
      </c>
      <c r="K37" s="792">
        <f t="shared" si="1"/>
        <v>0</v>
      </c>
      <c r="M37" t="s">
        <v>77</v>
      </c>
    </row>
    <row r="38" spans="1:13">
      <c r="A38" t="s">
        <v>3960</v>
      </c>
      <c r="B38" s="792">
        <f t="shared" si="1"/>
        <v>341.82865573079488</v>
      </c>
      <c r="C38" s="792">
        <f t="shared" si="1"/>
        <v>0</v>
      </c>
      <c r="D38" s="792">
        <f t="shared" si="1"/>
        <v>0</v>
      </c>
      <c r="E38" s="792">
        <f t="shared" si="1"/>
        <v>0</v>
      </c>
      <c r="F38" s="792">
        <f t="shared" si="1"/>
        <v>879.53542168674699</v>
      </c>
      <c r="G38" s="792">
        <f t="shared" si="1"/>
        <v>0.63003020279016242</v>
      </c>
      <c r="H38" s="792">
        <f t="shared" si="1"/>
        <v>16.481312670920694</v>
      </c>
      <c r="I38" s="792">
        <f t="shared" si="1"/>
        <v>899.30017758046608</v>
      </c>
      <c r="J38" s="792">
        <f t="shared" si="1"/>
        <v>91</v>
      </c>
      <c r="K38" s="792">
        <f t="shared" si="1"/>
        <v>1129</v>
      </c>
    </row>
    <row r="41" spans="1:13">
      <c r="A41" s="36" t="s">
        <v>464</v>
      </c>
      <c r="B41" s="25"/>
    </row>
    <row r="42" spans="1:13">
      <c r="B42" s="101" t="s">
        <v>3966</v>
      </c>
    </row>
    <row r="43" spans="1:13">
      <c r="A43" s="58" t="s">
        <v>116</v>
      </c>
      <c r="B43" s="1047" t="s">
        <v>686</v>
      </c>
    </row>
    <row r="44" spans="1:13">
      <c r="A44" t="s">
        <v>3967</v>
      </c>
      <c r="B44">
        <v>16793</v>
      </c>
    </row>
    <row r="45" spans="1:13">
      <c r="A45" t="s">
        <v>3968</v>
      </c>
      <c r="B45">
        <v>5440</v>
      </c>
    </row>
    <row r="46" spans="1:13">
      <c r="A46" t="s">
        <v>3969</v>
      </c>
      <c r="B46">
        <v>521</v>
      </c>
    </row>
    <row r="47" spans="1:13">
      <c r="A47" t="s">
        <v>3970</v>
      </c>
      <c r="B47">
        <v>6615</v>
      </c>
    </row>
    <row r="48" spans="1:13">
      <c r="A48" t="s">
        <v>3971</v>
      </c>
      <c r="B48">
        <v>392</v>
      </c>
    </row>
    <row r="49" spans="1:7">
      <c r="A49" t="s">
        <v>3972</v>
      </c>
      <c r="B49">
        <v>551</v>
      </c>
    </row>
    <row r="50" spans="1:7">
      <c r="A50" t="s">
        <v>3950</v>
      </c>
      <c r="B50">
        <v>1040</v>
      </c>
    </row>
    <row r="51" spans="1:7" s="33" customFormat="1">
      <c r="A51" s="23" t="s">
        <v>3973</v>
      </c>
      <c r="B51" s="23">
        <f>B44-SUM(B45:B50)</f>
        <v>2234</v>
      </c>
      <c r="C51" s="780"/>
    </row>
    <row r="52" spans="1:7" ht="15.75" thickBot="1"/>
    <row r="53" spans="1:7" ht="15.75" thickBot="1">
      <c r="E53" s="1048" t="s">
        <v>1064</v>
      </c>
      <c r="F53" s="1049">
        <v>11.63</v>
      </c>
      <c r="G53" s="1050" t="s">
        <v>3974</v>
      </c>
    </row>
    <row r="54" spans="1:7">
      <c r="A54" s="24" t="s">
        <v>141</v>
      </c>
      <c r="B54" s="25"/>
      <c r="C54" s="25"/>
    </row>
    <row r="55" spans="1:7">
      <c r="A55" s="58" t="s">
        <v>116</v>
      </c>
      <c r="B55" s="1047" t="s">
        <v>3975</v>
      </c>
      <c r="C55" s="1047" t="s">
        <v>686</v>
      </c>
      <c r="E55" s="58" t="s">
        <v>3963</v>
      </c>
    </row>
    <row r="56" spans="1:7">
      <c r="A56" t="s">
        <v>3976</v>
      </c>
      <c r="B56">
        <v>1428</v>
      </c>
      <c r="C56" s="27">
        <f t="shared" ref="C56:C84" si="2">B56/$F$53</f>
        <v>122.7858985382631</v>
      </c>
    </row>
    <row r="57" spans="1:7">
      <c r="A57" t="s">
        <v>3977</v>
      </c>
      <c r="B57">
        <v>229</v>
      </c>
      <c r="C57" s="27">
        <f t="shared" si="2"/>
        <v>19.690455717970764</v>
      </c>
    </row>
    <row r="58" spans="1:7">
      <c r="A58" t="s">
        <v>3978</v>
      </c>
      <c r="B58">
        <v>531</v>
      </c>
      <c r="C58" s="27">
        <f t="shared" si="2"/>
        <v>45.657781599312123</v>
      </c>
    </row>
    <row r="59" spans="1:7">
      <c r="A59" t="s">
        <v>3979</v>
      </c>
      <c r="B59">
        <v>1859</v>
      </c>
      <c r="C59" s="27">
        <f t="shared" si="2"/>
        <v>159.84522785898537</v>
      </c>
    </row>
    <row r="60" spans="1:7">
      <c r="A60" t="s">
        <v>3980</v>
      </c>
      <c r="B60">
        <v>3766</v>
      </c>
      <c r="C60" s="27">
        <f t="shared" si="2"/>
        <v>323.81771281169387</v>
      </c>
    </row>
    <row r="61" spans="1:7">
      <c r="A61" t="s">
        <v>460</v>
      </c>
      <c r="B61">
        <v>15159</v>
      </c>
      <c r="C61" s="27">
        <f t="shared" si="2"/>
        <v>1303.4393809114358</v>
      </c>
      <c r="E61" t="s">
        <v>63</v>
      </c>
    </row>
    <row r="62" spans="1:7">
      <c r="A62" t="s">
        <v>3981</v>
      </c>
      <c r="B62">
        <v>3541</v>
      </c>
      <c r="C62" s="27">
        <f t="shared" si="2"/>
        <v>304.4711951848667</v>
      </c>
      <c r="E62" t="s">
        <v>63</v>
      </c>
    </row>
    <row r="63" spans="1:7">
      <c r="A63" t="s">
        <v>3828</v>
      </c>
      <c r="B63">
        <v>188</v>
      </c>
      <c r="C63" s="27">
        <f t="shared" si="2"/>
        <v>16.165090283748924</v>
      </c>
      <c r="E63" t="s">
        <v>63</v>
      </c>
    </row>
    <row r="64" spans="1:7">
      <c r="A64" t="s">
        <v>3982</v>
      </c>
      <c r="B64">
        <v>7302</v>
      </c>
      <c r="C64" s="27">
        <f t="shared" si="2"/>
        <v>627.85898538263109</v>
      </c>
      <c r="E64" t="s">
        <v>64</v>
      </c>
    </row>
    <row r="65" spans="1:5">
      <c r="A65" t="s">
        <v>3983</v>
      </c>
      <c r="B65">
        <v>3565</v>
      </c>
      <c r="C65" s="27">
        <f t="shared" si="2"/>
        <v>306.5348237317283</v>
      </c>
      <c r="E65" t="s">
        <v>64</v>
      </c>
    </row>
    <row r="66" spans="1:5">
      <c r="A66" t="s">
        <v>3984</v>
      </c>
      <c r="B66">
        <v>4329</v>
      </c>
      <c r="C66" s="27">
        <f t="shared" si="2"/>
        <v>372.22699914015476</v>
      </c>
      <c r="E66" t="s">
        <v>64</v>
      </c>
    </row>
    <row r="67" spans="1:5">
      <c r="A67" t="s">
        <v>3957</v>
      </c>
      <c r="B67">
        <v>5595</v>
      </c>
      <c r="C67" s="27">
        <f t="shared" si="2"/>
        <v>481.08340498710231</v>
      </c>
      <c r="E67" t="s">
        <v>65</v>
      </c>
    </row>
    <row r="68" spans="1:5">
      <c r="A68" t="s">
        <v>3985</v>
      </c>
      <c r="B68">
        <v>3293</v>
      </c>
      <c r="C68" s="27">
        <f t="shared" si="2"/>
        <v>283.14703353396385</v>
      </c>
      <c r="E68" t="s">
        <v>66</v>
      </c>
    </row>
    <row r="69" spans="1:5">
      <c r="A69" t="s">
        <v>3986</v>
      </c>
      <c r="B69">
        <v>455</v>
      </c>
      <c r="C69" s="27">
        <f t="shared" si="2"/>
        <v>39.122957867583835</v>
      </c>
      <c r="E69" t="s">
        <v>66</v>
      </c>
    </row>
    <row r="70" spans="1:5">
      <c r="A70" t="s">
        <v>3987</v>
      </c>
      <c r="B70">
        <v>196</v>
      </c>
      <c r="C70" s="27">
        <f t="shared" si="2"/>
        <v>16.852966466036111</v>
      </c>
      <c r="E70" t="s">
        <v>67</v>
      </c>
    </row>
    <row r="71" spans="1:5">
      <c r="A71" t="s">
        <v>3988</v>
      </c>
      <c r="B71">
        <v>3148</v>
      </c>
      <c r="C71" s="27">
        <f t="shared" si="2"/>
        <v>270.67927773000861</v>
      </c>
      <c r="E71" t="s">
        <v>68</v>
      </c>
    </row>
    <row r="72" spans="1:5">
      <c r="A72" t="s">
        <v>3989</v>
      </c>
      <c r="B72">
        <v>8614</v>
      </c>
      <c r="C72" s="27">
        <f t="shared" si="2"/>
        <v>740.67067927772996</v>
      </c>
      <c r="E72" s="51" t="s">
        <v>68</v>
      </c>
    </row>
    <row r="73" spans="1:5">
      <c r="A73" t="s">
        <v>70</v>
      </c>
      <c r="B73">
        <v>11481</v>
      </c>
      <c r="C73" s="27">
        <f t="shared" si="2"/>
        <v>987.18830610490102</v>
      </c>
      <c r="E73" t="s">
        <v>70</v>
      </c>
    </row>
    <row r="74" spans="1:5">
      <c r="A74" t="s">
        <v>3990</v>
      </c>
      <c r="B74">
        <v>8291</v>
      </c>
      <c r="C74" s="27">
        <f t="shared" si="2"/>
        <v>712.89767841788478</v>
      </c>
      <c r="E74" s="502" t="s">
        <v>3991</v>
      </c>
    </row>
    <row r="75" spans="1:5">
      <c r="A75" t="s">
        <v>3992</v>
      </c>
      <c r="B75">
        <v>10250</v>
      </c>
      <c r="C75" s="27">
        <f t="shared" si="2"/>
        <v>881.34135855545992</v>
      </c>
      <c r="E75" t="s">
        <v>76</v>
      </c>
    </row>
    <row r="76" spans="1:5">
      <c r="A76" t="s">
        <v>3993</v>
      </c>
      <c r="B76">
        <v>1330</v>
      </c>
      <c r="C76" s="27">
        <f t="shared" si="2"/>
        <v>114.35941530524505</v>
      </c>
      <c r="E76" t="s">
        <v>73</v>
      </c>
    </row>
    <row r="77" spans="1:5">
      <c r="A77" t="s">
        <v>3846</v>
      </c>
      <c r="B77">
        <v>2773</v>
      </c>
      <c r="C77" s="27">
        <f t="shared" si="2"/>
        <v>238.43508168529664</v>
      </c>
      <c r="E77" t="s">
        <v>75</v>
      </c>
    </row>
    <row r="78" spans="1:5">
      <c r="A78" t="s">
        <v>3994</v>
      </c>
      <c r="B78">
        <v>7032</v>
      </c>
      <c r="C78" s="27">
        <f t="shared" si="2"/>
        <v>604.64316423043852</v>
      </c>
      <c r="E78" t="s">
        <v>75</v>
      </c>
    </row>
    <row r="79" spans="1:5">
      <c r="A79" t="s">
        <v>3995</v>
      </c>
      <c r="B79">
        <v>831</v>
      </c>
      <c r="C79" s="27">
        <f t="shared" si="2"/>
        <v>71.453138435081684</v>
      </c>
      <c r="E79" t="s">
        <v>77</v>
      </c>
    </row>
    <row r="80" spans="1:5">
      <c r="A80" t="s">
        <v>3996</v>
      </c>
      <c r="B80">
        <v>437</v>
      </c>
      <c r="C80" s="27">
        <f t="shared" si="2"/>
        <v>37.575236457437661</v>
      </c>
      <c r="E80" t="s">
        <v>75</v>
      </c>
    </row>
    <row r="81" spans="1:5">
      <c r="A81" t="s">
        <v>3997</v>
      </c>
      <c r="B81">
        <v>897</v>
      </c>
      <c r="C81" s="27">
        <f t="shared" si="2"/>
        <v>77.128116938950981</v>
      </c>
      <c r="E81" t="s">
        <v>74</v>
      </c>
    </row>
    <row r="82" spans="1:5">
      <c r="A82" t="s">
        <v>3850</v>
      </c>
      <c r="B82">
        <v>383</v>
      </c>
      <c r="C82" s="27">
        <f t="shared" si="2"/>
        <v>32.932072226999139</v>
      </c>
      <c r="E82" t="s">
        <v>65</v>
      </c>
    </row>
    <row r="83" spans="1:5">
      <c r="A83" t="s">
        <v>3998</v>
      </c>
      <c r="B83">
        <v>864</v>
      </c>
      <c r="C83" s="27">
        <f t="shared" si="2"/>
        <v>74.290627687016325</v>
      </c>
      <c r="E83" s="502" t="s">
        <v>3999</v>
      </c>
    </row>
    <row r="84" spans="1:5">
      <c r="A84" t="s">
        <v>3577</v>
      </c>
      <c r="B84">
        <v>17050</v>
      </c>
      <c r="C84" s="27">
        <f t="shared" si="2"/>
        <v>1466.0361134995701</v>
      </c>
      <c r="E84" t="s">
        <v>77</v>
      </c>
    </row>
    <row r="86" spans="1:5">
      <c r="A86" t="s">
        <v>4000</v>
      </c>
      <c r="C86" s="27">
        <f>B51*('Energy Use Data'!I67/'Energy Use Data'!E67)</f>
        <v>238.79595845558057</v>
      </c>
      <c r="E86" s="58" t="s">
        <v>4001</v>
      </c>
    </row>
    <row r="88" spans="1:5">
      <c r="A88" s="24" t="s">
        <v>90</v>
      </c>
      <c r="B88" s="25"/>
    </row>
    <row r="89" spans="1:5">
      <c r="B89" s="30" t="s">
        <v>4002</v>
      </c>
    </row>
    <row r="90" spans="1:5">
      <c r="A90" s="58" t="s">
        <v>116</v>
      </c>
      <c r="B90" s="1047" t="s">
        <v>686</v>
      </c>
    </row>
    <row r="91" spans="1:5">
      <c r="A91" t="s">
        <v>3151</v>
      </c>
      <c r="B91">
        <v>0</v>
      </c>
    </row>
    <row r="92" spans="1:5">
      <c r="A92" t="s">
        <v>462</v>
      </c>
      <c r="B92">
        <v>2447</v>
      </c>
    </row>
    <row r="93" spans="1:5">
      <c r="A93" t="s">
        <v>3087</v>
      </c>
      <c r="B93">
        <v>0</v>
      </c>
    </row>
    <row r="94" spans="1:5">
      <c r="A94" t="s">
        <v>3089</v>
      </c>
      <c r="B94">
        <v>2020</v>
      </c>
    </row>
    <row r="95" spans="1:5">
      <c r="A95" t="s">
        <v>4003</v>
      </c>
      <c r="B95">
        <v>0</v>
      </c>
    </row>
    <row r="96" spans="1:5">
      <c r="A96" t="s">
        <v>4004</v>
      </c>
      <c r="B96">
        <v>0</v>
      </c>
    </row>
    <row r="97" spans="1:5">
      <c r="A97" t="s">
        <v>4005</v>
      </c>
      <c r="B97">
        <v>651</v>
      </c>
    </row>
    <row r="98" spans="1:5">
      <c r="A98" s="52" t="s">
        <v>125</v>
      </c>
      <c r="B98" s="52">
        <f>SUM(B91:B97)</f>
        <v>5118</v>
      </c>
    </row>
    <row r="100" spans="1:5">
      <c r="A100" t="s">
        <v>4006</v>
      </c>
    </row>
    <row r="102" spans="1:5" s="33" customFormat="1" ht="30">
      <c r="B102" s="823" t="s">
        <v>4007</v>
      </c>
      <c r="C102" s="101" t="s">
        <v>4008</v>
      </c>
      <c r="D102" s="101" t="s">
        <v>4009</v>
      </c>
      <c r="E102" s="100" t="s">
        <v>505</v>
      </c>
    </row>
    <row r="103" spans="1:5">
      <c r="A103" t="s">
        <v>63</v>
      </c>
      <c r="B103" s="500">
        <f>'Energy Use Data'!G63/'Energy Use Data'!I63</f>
        <v>0.14528991370717503</v>
      </c>
      <c r="C103" s="27">
        <f>I135*B103</f>
        <v>235.96181342228047</v>
      </c>
      <c r="D103" s="27">
        <f>C103*($B$98/$C$119)</f>
        <v>236.2266709504762</v>
      </c>
    </row>
    <row r="104" spans="1:5">
      <c r="A104" t="s">
        <v>64</v>
      </c>
      <c r="B104" s="500">
        <f>'Energy Use Data'!G64/'Energy Use Data'!I64</f>
        <v>0</v>
      </c>
      <c r="C104" s="27">
        <f>I136*B104</f>
        <v>0</v>
      </c>
      <c r="D104" s="27">
        <f t="shared" ref="D104:D117" si="3">C104*($B$98/$C$119)</f>
        <v>0</v>
      </c>
    </row>
    <row r="105" spans="1:5">
      <c r="A105" t="s">
        <v>65</v>
      </c>
      <c r="B105" s="500">
        <f>'Energy Use Data'!G65/'Energy Use Data'!I65</f>
        <v>4.5191962195028603</v>
      </c>
      <c r="C105" s="27">
        <f>I137*B105</f>
        <v>2322.9368013919261</v>
      </c>
      <c r="D105" s="27">
        <f t="shared" si="3"/>
        <v>2325.5442033712898</v>
      </c>
    </row>
    <row r="106" spans="1:5">
      <c r="A106" t="s">
        <v>66</v>
      </c>
      <c r="B106" s="500">
        <f>'Energy Use Data'!G66/'Energy Use Data'!I66</f>
        <v>4.6255153744525837</v>
      </c>
      <c r="C106" s="27">
        <f>I138*B106</f>
        <v>1490.664799952561</v>
      </c>
      <c r="D106" s="27">
        <f t="shared" si="3"/>
        <v>1492.3380104969183</v>
      </c>
    </row>
    <row r="107" spans="1:5">
      <c r="A107" t="s">
        <v>67</v>
      </c>
      <c r="B107" s="500">
        <f>'Energy Use Data'!G67/'Energy Use Data'!I67</f>
        <v>4.903650135021878</v>
      </c>
      <c r="C107" s="1051">
        <f>C70*B107</f>
        <v>82.641051286697163</v>
      </c>
      <c r="D107" s="27">
        <f t="shared" si="3"/>
        <v>82.733812501971087</v>
      </c>
      <c r="E107" s="51" t="s">
        <v>4010</v>
      </c>
    </row>
    <row r="108" spans="1:5">
      <c r="A108" t="s">
        <v>68</v>
      </c>
      <c r="B108" s="500">
        <f>'Energy Use Data'!G68/'Energy Use Data'!I68</f>
        <v>1.7069115105987274E-5</v>
      </c>
      <c r="C108" s="27">
        <f t="shared" ref="C108:C117" si="4">I140*B108</f>
        <v>1.2306817772250249E-2</v>
      </c>
      <c r="D108" s="27">
        <f t="shared" si="3"/>
        <v>1.2320631674117836E-2</v>
      </c>
    </row>
    <row r="109" spans="1:5">
      <c r="A109" t="s">
        <v>69</v>
      </c>
      <c r="B109" s="500">
        <f>'Energy Use Data'!G69/'Energy Use Data'!I69</f>
        <v>0</v>
      </c>
      <c r="C109" s="27">
        <f t="shared" si="4"/>
        <v>0</v>
      </c>
      <c r="D109" s="27">
        <f t="shared" si="3"/>
        <v>0</v>
      </c>
    </row>
    <row r="110" spans="1:5">
      <c r="A110" t="s">
        <v>70</v>
      </c>
      <c r="B110" s="500">
        <f>'Energy Use Data'!G70/'Energy Use Data'!I70</f>
        <v>0.91149612350534581</v>
      </c>
      <c r="C110" s="27">
        <f t="shared" si="4"/>
        <v>899.81831418442596</v>
      </c>
      <c r="D110" s="27">
        <f t="shared" si="3"/>
        <v>900.82832360528766</v>
      </c>
    </row>
    <row r="111" spans="1:5">
      <c r="A111" t="s">
        <v>71</v>
      </c>
      <c r="B111" s="500">
        <f>'Energy Use Data'!G71/'Energy Use Data'!I71</f>
        <v>0</v>
      </c>
      <c r="C111" s="27">
        <f t="shared" si="4"/>
        <v>0</v>
      </c>
      <c r="D111" s="27">
        <f t="shared" si="3"/>
        <v>0</v>
      </c>
    </row>
    <row r="112" spans="1:5">
      <c r="A112" t="s">
        <v>72</v>
      </c>
      <c r="B112" s="500">
        <f>'Energy Use Data'!G72/'Energy Use Data'!I72</f>
        <v>0</v>
      </c>
      <c r="C112" s="27">
        <f t="shared" si="4"/>
        <v>0</v>
      </c>
      <c r="D112" s="27">
        <f t="shared" si="3"/>
        <v>0</v>
      </c>
    </row>
    <row r="113" spans="1:9">
      <c r="A113" t="s">
        <v>73</v>
      </c>
      <c r="B113" s="500">
        <f>'Energy Use Data'!G73/'Energy Use Data'!I73</f>
        <v>0</v>
      </c>
      <c r="C113" s="27">
        <f t="shared" si="4"/>
        <v>0</v>
      </c>
      <c r="D113" s="27">
        <f t="shared" si="3"/>
        <v>0</v>
      </c>
    </row>
    <row r="114" spans="1:9">
      <c r="A114" t="s">
        <v>74</v>
      </c>
      <c r="B114" s="500">
        <f>'Energy Use Data'!G74/'Energy Use Data'!I74</f>
        <v>0</v>
      </c>
      <c r="C114" s="27">
        <f t="shared" si="4"/>
        <v>0</v>
      </c>
      <c r="D114" s="27">
        <f t="shared" si="3"/>
        <v>0</v>
      </c>
    </row>
    <row r="115" spans="1:9">
      <c r="A115" t="s">
        <v>75</v>
      </c>
      <c r="B115" s="500">
        <f>'Energy Use Data'!G75/'Energy Use Data'!I75</f>
        <v>0</v>
      </c>
      <c r="C115" s="27">
        <f t="shared" si="4"/>
        <v>0</v>
      </c>
      <c r="D115" s="27">
        <f t="shared" si="3"/>
        <v>0</v>
      </c>
    </row>
    <row r="116" spans="1:9">
      <c r="A116" t="s">
        <v>76</v>
      </c>
      <c r="B116" s="500">
        <f>'Energy Use Data'!G76/'Energy Use Data'!I76</f>
        <v>0</v>
      </c>
      <c r="C116" s="27">
        <f t="shared" si="4"/>
        <v>0</v>
      </c>
      <c r="D116" s="27">
        <f t="shared" si="3"/>
        <v>0</v>
      </c>
    </row>
    <row r="117" spans="1:9">
      <c r="A117" t="s">
        <v>77</v>
      </c>
      <c r="B117" s="500">
        <f>'Energy Use Data'!G77/'Energy Use Data'!I77</f>
        <v>5.2180271986409218E-2</v>
      </c>
      <c r="C117" s="27">
        <f t="shared" si="4"/>
        <v>80.226607342130976</v>
      </c>
      <c r="D117" s="27">
        <f t="shared" si="3"/>
        <v>80.316658442383115</v>
      </c>
    </row>
    <row r="119" spans="1:9">
      <c r="A119" s="52" t="s">
        <v>125</v>
      </c>
      <c r="B119" s="52"/>
      <c r="C119" s="53">
        <f>SUM(C103:C117)</f>
        <v>5112.2616943977937</v>
      </c>
      <c r="D119" s="53">
        <f>SUM(D103:D117)</f>
        <v>5118</v>
      </c>
    </row>
    <row r="122" spans="1:9">
      <c r="A122" s="24" t="s">
        <v>4011</v>
      </c>
      <c r="B122" s="25"/>
      <c r="C122" s="25"/>
      <c r="D122" s="25"/>
      <c r="E122" s="25"/>
      <c r="F122" s="25"/>
      <c r="G122" s="25"/>
      <c r="H122" s="25"/>
      <c r="I122" s="25"/>
    </row>
    <row r="123" spans="1:9">
      <c r="A123" t="s">
        <v>4012</v>
      </c>
    </row>
    <row r="124" spans="1:9">
      <c r="A124" t="s">
        <v>4013</v>
      </c>
    </row>
    <row r="125" spans="1:9">
      <c r="A125" t="s">
        <v>4014</v>
      </c>
    </row>
    <row r="126" spans="1:9">
      <c r="A126" t="s">
        <v>4015</v>
      </c>
    </row>
    <row r="128" spans="1:9" ht="30">
      <c r="B128" s="101" t="s">
        <v>40</v>
      </c>
      <c r="C128" s="101" t="s">
        <v>41</v>
      </c>
      <c r="D128" s="101" t="s">
        <v>42</v>
      </c>
      <c r="E128" s="101" t="s">
        <v>43</v>
      </c>
      <c r="F128" s="101" t="s">
        <v>44</v>
      </c>
      <c r="G128" s="101" t="s">
        <v>45</v>
      </c>
      <c r="H128" s="101" t="s">
        <v>46</v>
      </c>
      <c r="I128" s="101" t="s">
        <v>141</v>
      </c>
    </row>
    <row r="129" spans="1:9">
      <c r="A129" t="s">
        <v>4016</v>
      </c>
      <c r="B129" s="105">
        <f>'Energy Use Data'!B69/SUM('Energy Use Data'!B68:B69)</f>
        <v>0</v>
      </c>
      <c r="C129" s="105"/>
      <c r="D129" s="105"/>
      <c r="E129" s="50">
        <f>'Energy Use Data'!E69/SUM('Energy Use Data'!E68:E69)</f>
        <v>1.2350170720184391E-3</v>
      </c>
      <c r="F129" s="105">
        <f>'Energy Use Data'!F69/SUM('Energy Use Data'!F68:F69)</f>
        <v>3.5367672648504107E-2</v>
      </c>
      <c r="G129" s="105">
        <f>'Energy Use Data'!G69/SUM('Energy Use Data'!G68:G69)</f>
        <v>0</v>
      </c>
      <c r="H129" s="105"/>
      <c r="I129" s="105">
        <f>'Energy Use Data'!I69/SUM('Energy Use Data'!I68:I69)</f>
        <v>0.28709230472662045</v>
      </c>
    </row>
    <row r="132" spans="1:9">
      <c r="A132" s="535" t="s">
        <v>4017</v>
      </c>
      <c r="B132" s="536"/>
      <c r="C132" s="536"/>
      <c r="D132" s="536"/>
      <c r="E132" s="536"/>
      <c r="F132" s="536"/>
      <c r="G132" s="536"/>
      <c r="H132" s="536"/>
      <c r="I132" s="536"/>
    </row>
    <row r="133" spans="1:9">
      <c r="A133" s="52" t="s">
        <v>4018</v>
      </c>
    </row>
    <row r="134" spans="1:9" ht="30">
      <c r="A134" s="36" t="s">
        <v>114</v>
      </c>
      <c r="B134" s="37" t="s">
        <v>40</v>
      </c>
      <c r="C134" s="37" t="s">
        <v>41</v>
      </c>
      <c r="D134" s="37" t="s">
        <v>42</v>
      </c>
      <c r="E134" s="37" t="s">
        <v>43</v>
      </c>
      <c r="F134" s="37" t="s">
        <v>44</v>
      </c>
      <c r="G134" s="37" t="s">
        <v>45</v>
      </c>
      <c r="H134" s="37" t="s">
        <v>46</v>
      </c>
      <c r="I134" s="37" t="s">
        <v>141</v>
      </c>
    </row>
    <row r="135" spans="1:9">
      <c r="A135" t="s">
        <v>63</v>
      </c>
      <c r="B135" s="27">
        <f>B27</f>
        <v>470.01440162984295</v>
      </c>
      <c r="C135" s="27"/>
      <c r="D135" s="27"/>
      <c r="E135" s="27">
        <f>SUM(C27:E27)</f>
        <v>179.78002861948659</v>
      </c>
      <c r="F135" s="27">
        <f>F27</f>
        <v>23.406265060240965</v>
      </c>
      <c r="G135" s="27">
        <f>D103</f>
        <v>236.2266709504762</v>
      </c>
      <c r="H135" s="27"/>
      <c r="I135" s="27">
        <f>SUMIFS($C$56:$C$84,$E$56:$E$84,A135)</f>
        <v>1624.0756663800514</v>
      </c>
    </row>
    <row r="136" spans="1:9">
      <c r="A136" t="s">
        <v>64</v>
      </c>
      <c r="B136" s="27">
        <f>B28</f>
        <v>1334.0812813937966</v>
      </c>
      <c r="C136" s="27"/>
      <c r="D136" s="27"/>
      <c r="E136" s="27">
        <f>SUM(C28:E28)</f>
        <v>119.10019114140059</v>
      </c>
      <c r="F136" s="27">
        <f>F28</f>
        <v>5.2213975903614456</v>
      </c>
      <c r="G136" s="27">
        <f t="shared" ref="G136:G149" si="5">D104</f>
        <v>0</v>
      </c>
      <c r="H136" s="27"/>
      <c r="I136" s="27">
        <f>SUMIFS($C$56:$C$84,$E$56:$E$84,A136)</f>
        <v>1306.620808254514</v>
      </c>
    </row>
    <row r="137" spans="1:9">
      <c r="A137" t="s">
        <v>65</v>
      </c>
      <c r="B137" s="27">
        <f>B29</f>
        <v>5.6377990094488739</v>
      </c>
      <c r="C137" s="27"/>
      <c r="D137" s="27"/>
      <c r="E137" s="27">
        <f>SUM(C29:E29)</f>
        <v>56.522882261737415</v>
      </c>
      <c r="F137" s="27">
        <f>F29</f>
        <v>0</v>
      </c>
      <c r="G137" s="27">
        <f t="shared" si="5"/>
        <v>2325.5442033712898</v>
      </c>
      <c r="H137" s="27"/>
      <c r="I137" s="27">
        <f>SUMIFS($C$56:$C$84,$E$56:$E$84,A137)</f>
        <v>514.01547721410145</v>
      </c>
    </row>
    <row r="138" spans="1:9">
      <c r="A138" t="s">
        <v>66</v>
      </c>
      <c r="B138" s="27">
        <f>B30</f>
        <v>664.07337806034627</v>
      </c>
      <c r="C138" s="27"/>
      <c r="D138" s="27"/>
      <c r="E138" s="27">
        <f>SUM(C30:E30)</f>
        <v>43.753537619986936</v>
      </c>
      <c r="F138" s="27">
        <f>F30</f>
        <v>6.031614457831326</v>
      </c>
      <c r="G138" s="27">
        <f t="shared" si="5"/>
        <v>1492.3380104969183</v>
      </c>
      <c r="H138" s="27"/>
      <c r="I138" s="27">
        <f>SUMIFS($C$56:$C$84,$E$56:$E$84,A138)</f>
        <v>322.26999140154771</v>
      </c>
    </row>
    <row r="139" spans="1:9">
      <c r="A139" t="s">
        <v>67</v>
      </c>
      <c r="B139">
        <v>0</v>
      </c>
      <c r="E139" s="27">
        <f>B51</f>
        <v>2234</v>
      </c>
      <c r="F139">
        <v>0</v>
      </c>
      <c r="G139" s="27">
        <f t="shared" si="5"/>
        <v>82.733812501971087</v>
      </c>
      <c r="H139" s="27"/>
      <c r="I139" s="1051">
        <f>SUMIFS($C$56:$C$84,$E$56:$E$84,A139)+$C$86</f>
        <v>255.6489249216167</v>
      </c>
    </row>
    <row r="140" spans="1:9">
      <c r="A140" t="s">
        <v>68</v>
      </c>
      <c r="B140" s="27">
        <f>B31</f>
        <v>905.01510414837185</v>
      </c>
      <c r="C140" s="27"/>
      <c r="D140" s="27"/>
      <c r="E140" s="27">
        <f>SUM(C31:E31)</f>
        <v>192.26772171756582</v>
      </c>
      <c r="F140" s="1053">
        <f>F31*(1-F129)</f>
        <v>395.99110048030025</v>
      </c>
      <c r="G140" s="27">
        <f t="shared" si="5"/>
        <v>1.2320631674117836E-2</v>
      </c>
      <c r="H140" s="27"/>
      <c r="I140" s="1053">
        <f>SUMIFS($C$56:$C$84,$E$56:$E$84,A140)*(1-I129)</f>
        <v>720.99916696521836</v>
      </c>
    </row>
    <row r="141" spans="1:9">
      <c r="A141" t="s">
        <v>69</v>
      </c>
      <c r="B141">
        <v>0</v>
      </c>
      <c r="E141" s="1052">
        <v>0</v>
      </c>
      <c r="F141" s="1053">
        <f>F31*F129</f>
        <v>14.518779037772042</v>
      </c>
      <c r="G141" s="27">
        <f t="shared" si="5"/>
        <v>0</v>
      </c>
      <c r="H141" s="27"/>
      <c r="I141" s="1053">
        <f>SUM(C71:C72)*I129</f>
        <v>290.35079004252015</v>
      </c>
    </row>
    <row r="142" spans="1:9">
      <c r="A142" t="s">
        <v>70</v>
      </c>
      <c r="B142" s="27">
        <f>B34</f>
        <v>10627.547859074783</v>
      </c>
      <c r="C142" s="27"/>
      <c r="D142" s="27"/>
      <c r="E142" s="27">
        <f>SUM(C34:E34)</f>
        <v>512.0972542427171</v>
      </c>
      <c r="F142" s="27">
        <f>F34</f>
        <v>181.84867469879518</v>
      </c>
      <c r="G142" s="27">
        <f t="shared" si="5"/>
        <v>900.82832360528766</v>
      </c>
      <c r="H142" s="27"/>
      <c r="I142" s="27">
        <f>SUMIFS($C$56:$C$84,$E$56:$E$84,A142)</f>
        <v>987.18830610490102</v>
      </c>
    </row>
    <row r="143" spans="1:9">
      <c r="A143" t="s">
        <v>71</v>
      </c>
      <c r="B143" s="540">
        <f>$B$32*B264</f>
        <v>784.95845412262315</v>
      </c>
      <c r="E143" s="540">
        <f>SUM($C$32:$E$32)*B264</f>
        <v>719.05758734409858</v>
      </c>
      <c r="F143" s="540">
        <f>$F$32*B264</f>
        <v>196.80804456581734</v>
      </c>
      <c r="G143" s="27">
        <f t="shared" si="5"/>
        <v>0</v>
      </c>
      <c r="H143" s="27"/>
      <c r="I143" s="540">
        <f>C74*(B264/SUM(B264:B265))+C83</f>
        <v>602.17324319054046</v>
      </c>
    </row>
    <row r="144" spans="1:9">
      <c r="A144" t="s">
        <v>72</v>
      </c>
      <c r="B144" s="540">
        <f>$B$32*B265</f>
        <v>275.11634880441898</v>
      </c>
      <c r="C144" s="27"/>
      <c r="D144" s="27"/>
      <c r="E144" s="540">
        <f>SUM($C$32:$E$32)*B265</f>
        <v>252.01906797900361</v>
      </c>
      <c r="F144" s="540">
        <f>$F$32*B265</f>
        <v>68.97831388644002</v>
      </c>
      <c r="G144" s="27">
        <f t="shared" si="5"/>
        <v>0</v>
      </c>
      <c r="H144" s="27"/>
      <c r="I144" s="540">
        <f>C74*(B265/SUM(B264:B265))</f>
        <v>185.01506291436075</v>
      </c>
    </row>
    <row r="145" spans="1:9">
      <c r="A145" t="s">
        <v>73</v>
      </c>
      <c r="B145" s="27">
        <f>B33</f>
        <v>1.1869050546208155</v>
      </c>
      <c r="C145" s="27"/>
      <c r="D145" s="27"/>
      <c r="E145" s="27">
        <f>SUM(C33:E33)</f>
        <v>229.07029995015037</v>
      </c>
      <c r="F145" s="27">
        <f>F33</f>
        <v>27.007228915662651</v>
      </c>
      <c r="G145" s="27">
        <f t="shared" si="5"/>
        <v>0</v>
      </c>
      <c r="H145" s="27"/>
      <c r="I145" s="27">
        <f>SUMIFS($C$56:$C$84,$E$56:$E$84,A145)</f>
        <v>114.35941530524505</v>
      </c>
    </row>
    <row r="146" spans="1:9">
      <c r="A146" t="s">
        <v>74</v>
      </c>
      <c r="B146" s="27">
        <f>B35</f>
        <v>0</v>
      </c>
      <c r="C146" s="27"/>
      <c r="D146" s="27"/>
      <c r="E146" s="27">
        <f>SUM(C35:E35)</f>
        <v>131.14023518977703</v>
      </c>
      <c r="F146" s="27">
        <f>F35</f>
        <v>14.403855421686748</v>
      </c>
      <c r="G146" s="27">
        <f t="shared" si="5"/>
        <v>0</v>
      </c>
      <c r="H146" s="27"/>
      <c r="I146" s="27">
        <f>SUMIFS($C$56:$C$84,$E$56:$E$84,A146)</f>
        <v>77.128116938950981</v>
      </c>
    </row>
    <row r="147" spans="1:9">
      <c r="A147" t="s">
        <v>75</v>
      </c>
      <c r="G147" s="27">
        <f t="shared" si="5"/>
        <v>0</v>
      </c>
      <c r="H147" s="27"/>
      <c r="I147" s="791">
        <f>SUMIFS($C$56:$C$84,$E$56:$E$84,A147)</f>
        <v>880.65348237317278</v>
      </c>
    </row>
    <row r="148" spans="1:9">
      <c r="A148" t="s">
        <v>76</v>
      </c>
      <c r="B148" s="540">
        <f>$B$32*B266</f>
        <v>153.53561542274176</v>
      </c>
      <c r="C148" s="27"/>
      <c r="D148" s="27"/>
      <c r="E148" s="540">
        <f>SUM($C$32:$E$32)*B266</f>
        <v>140.64559546742794</v>
      </c>
      <c r="F148" s="540">
        <f>$F$32*B266</f>
        <v>38.495087330875172</v>
      </c>
      <c r="G148" s="27">
        <f t="shared" si="5"/>
        <v>0</v>
      </c>
      <c r="H148" s="27"/>
      <c r="I148" s="791">
        <f>SUMIFS($C$56:$C$84,$E$56:$E$84,A148)</f>
        <v>881.34135855545992</v>
      </c>
    </row>
    <row r="149" spans="1:9">
      <c r="A149" t="s">
        <v>77</v>
      </c>
      <c r="B149" s="27">
        <f>B37</f>
        <v>778.01626330394458</v>
      </c>
      <c r="C149" s="27"/>
      <c r="D149" s="27"/>
      <c r="E149" s="27">
        <f>SUM(C37:E37)</f>
        <v>70.499184615674963</v>
      </c>
      <c r="F149" s="27">
        <f>F37</f>
        <v>3.0608192771084339</v>
      </c>
      <c r="G149" s="27">
        <f t="shared" si="5"/>
        <v>80.316658442383115</v>
      </c>
      <c r="H149" s="27"/>
      <c r="I149" s="27">
        <f>SUMIFS($C$56:$C$84,$E$56:$E$84,A149)</f>
        <v>1537.4892519346517</v>
      </c>
    </row>
    <row r="151" spans="1:9">
      <c r="A151" s="537" t="s">
        <v>4019</v>
      </c>
      <c r="B151" s="537"/>
      <c r="C151" s="537"/>
      <c r="D151" s="537"/>
    </row>
    <row r="152" spans="1:9">
      <c r="A152" s="1052" t="s">
        <v>4020</v>
      </c>
      <c r="B152" s="1052"/>
      <c r="C152" s="1052"/>
      <c r="D152" s="1052"/>
    </row>
    <row r="153" spans="1:9">
      <c r="A153" s="51" t="s">
        <v>4021</v>
      </c>
    </row>
    <row r="155" spans="1:9">
      <c r="A155" s="23" t="s">
        <v>4022</v>
      </c>
    </row>
    <row r="156" spans="1:9">
      <c r="A156" s="23"/>
    </row>
    <row r="157" spans="1:9">
      <c r="A157" s="52" t="s">
        <v>4023</v>
      </c>
    </row>
    <row r="158" spans="1:9" ht="30">
      <c r="A158" s="36" t="s">
        <v>114</v>
      </c>
      <c r="B158" s="37" t="s">
        <v>40</v>
      </c>
      <c r="C158" s="37" t="s">
        <v>41</v>
      </c>
      <c r="D158" s="37" t="s">
        <v>42</v>
      </c>
      <c r="E158" s="37" t="s">
        <v>43</v>
      </c>
      <c r="F158" s="37" t="s">
        <v>44</v>
      </c>
      <c r="G158" s="37" t="s">
        <v>45</v>
      </c>
      <c r="H158" s="37" t="s">
        <v>46</v>
      </c>
      <c r="I158" s="37" t="s">
        <v>141</v>
      </c>
    </row>
    <row r="159" spans="1:9">
      <c r="A159" t="s">
        <v>63</v>
      </c>
      <c r="B159" s="27">
        <f>B135*'Unit Conversions'!$E$16</f>
        <v>19.678562967438264</v>
      </c>
      <c r="C159" s="27"/>
      <c r="D159" s="27"/>
      <c r="E159" s="27">
        <f>E135*'Unit Conversions'!$E$16</f>
        <v>7.5270302382406644</v>
      </c>
      <c r="F159" s="27">
        <f>F135*'Unit Conversions'!$E$16</f>
        <v>0.97997350554216878</v>
      </c>
      <c r="G159" s="27">
        <f>G135*'Unit Conversions'!$E$16</f>
        <v>9.8903382593545377</v>
      </c>
      <c r="H159" s="27"/>
      <c r="I159" s="27">
        <f>I135*'Unit Conversions'!$E$16</f>
        <v>67.996799999999993</v>
      </c>
    </row>
    <row r="160" spans="1:9">
      <c r="A160" t="s">
        <v>64</v>
      </c>
      <c r="B160" s="27">
        <f>B136*'Unit Conversions'!$E$16</f>
        <v>55.855315089395482</v>
      </c>
      <c r="C160" s="27"/>
      <c r="D160" s="27"/>
      <c r="E160" s="27">
        <f>E136*'Unit Conversions'!$E$16</f>
        <v>4.9864868027081597</v>
      </c>
      <c r="F160" s="27">
        <f>F136*'Unit Conversions'!$E$16</f>
        <v>0.218609474313253</v>
      </c>
      <c r="G160" s="27">
        <f>G136*'Unit Conversions'!$E$16</f>
        <v>0</v>
      </c>
      <c r="H160" s="27"/>
      <c r="I160" s="27">
        <f>I136*'Unit Conversions'!$E$16</f>
        <v>54.705599999999997</v>
      </c>
    </row>
    <row r="161" spans="1:9">
      <c r="A161" t="s">
        <v>65</v>
      </c>
      <c r="B161" s="27">
        <f>B137*'Unit Conversions'!$E$16</f>
        <v>0.23604336892760547</v>
      </c>
      <c r="C161" s="27"/>
      <c r="D161" s="27"/>
      <c r="E161" s="27">
        <f>E137*'Unit Conversions'!$E$16</f>
        <v>2.3665000345344223</v>
      </c>
      <c r="F161" s="27">
        <f>F137*'Unit Conversions'!$E$16</f>
        <v>0</v>
      </c>
      <c r="G161" s="27">
        <f>G137*'Unit Conversions'!$E$16</f>
        <v>97.365884706749171</v>
      </c>
      <c r="H161" s="27"/>
      <c r="I161" s="27">
        <f>I137*'Unit Conversions'!$E$16</f>
        <v>21.520800000000001</v>
      </c>
    </row>
    <row r="162" spans="1:9">
      <c r="A162" t="s">
        <v>66</v>
      </c>
      <c r="B162" s="27">
        <f>B138*'Unit Conversions'!$E$16</f>
        <v>27.80342419263058</v>
      </c>
      <c r="C162" s="27"/>
      <c r="D162" s="27"/>
      <c r="E162" s="27">
        <f>E138*'Unit Conversions'!$E$16</f>
        <v>1.8318731130736132</v>
      </c>
      <c r="F162" s="27">
        <f>F138*'Unit Conversions'!$E$16</f>
        <v>0.25253163412048196</v>
      </c>
      <c r="G162" s="27">
        <f>G138*'Unit Conversions'!$E$16</f>
        <v>62.481207823484979</v>
      </c>
      <c r="H162" s="27"/>
      <c r="I162" s="27">
        <f>I138*'Unit Conversions'!$E$16</f>
        <v>13.492800000000001</v>
      </c>
    </row>
    <row r="163" spans="1:9">
      <c r="A163" t="s">
        <v>67</v>
      </c>
      <c r="B163" s="27">
        <f>B139*'Unit Conversions'!$E$16</f>
        <v>0</v>
      </c>
      <c r="C163" s="27"/>
      <c r="D163" s="27"/>
      <c r="E163" s="27">
        <f>E139*'Unit Conversions'!$E$16</f>
        <v>93.533112000000003</v>
      </c>
      <c r="F163" s="27">
        <f>F139*'Unit Conversions'!$E$16</f>
        <v>0</v>
      </c>
      <c r="G163" s="27">
        <f>G139*'Unit Conversions'!$E$16</f>
        <v>3.4638992618325255</v>
      </c>
      <c r="H163" s="27"/>
      <c r="I163" s="27">
        <f>I139*'Unit Conversions'!$E$16</f>
        <v>10.703509188618249</v>
      </c>
    </row>
    <row r="164" spans="1:9">
      <c r="A164" t="s">
        <v>68</v>
      </c>
      <c r="B164" s="27">
        <f>B140*'Unit Conversions'!$E$16</f>
        <v>37.891172380484036</v>
      </c>
      <c r="C164" s="27"/>
      <c r="D164" s="27"/>
      <c r="E164" s="27">
        <f>E140*'Unit Conversions'!$E$16</f>
        <v>8.0498649728710454</v>
      </c>
      <c r="F164" s="27">
        <f>F140*'Unit Conversions'!$E$16</f>
        <v>16.579355394909211</v>
      </c>
      <c r="G164" s="27">
        <f>G140*'Unit Conversions'!$E$16</f>
        <v>5.1584020693196564E-4</v>
      </c>
      <c r="H164" s="27"/>
      <c r="I164" s="27">
        <f>I140*'Unit Conversions'!$E$16</f>
        <v>30.186793122499765</v>
      </c>
    </row>
    <row r="165" spans="1:9">
      <c r="A165" t="s">
        <v>69</v>
      </c>
      <c r="B165" s="27">
        <f>B141*'Unit Conversions'!$E$16</f>
        <v>0</v>
      </c>
      <c r="C165" s="27"/>
      <c r="D165" s="27"/>
      <c r="E165" s="27">
        <f>E141*'Unit Conversions'!$E$16</f>
        <v>0</v>
      </c>
      <c r="F165" s="27">
        <f>F141*'Unit Conversions'!$E$16</f>
        <v>0.60787224075343993</v>
      </c>
      <c r="G165" s="27">
        <f>G141*'Unit Conversions'!$E$16</f>
        <v>0</v>
      </c>
      <c r="H165" s="27"/>
      <c r="I165" s="27">
        <f>I141*'Unit Conversions'!$E$16</f>
        <v>12.156406877500235</v>
      </c>
    </row>
    <row r="166" spans="1:9">
      <c r="A166" t="s">
        <v>70</v>
      </c>
      <c r="B166" s="27">
        <f>B142*'Unit Conversions'!$E$16</f>
        <v>444.95417376374303</v>
      </c>
      <c r="C166" s="27"/>
      <c r="D166" s="27"/>
      <c r="E166" s="27">
        <f>E142*'Unit Conversions'!$E$16</f>
        <v>21.440487840634081</v>
      </c>
      <c r="F166" s="27">
        <f>F142*'Unit Conversions'!$E$16</f>
        <v>7.6136403122891574</v>
      </c>
      <c r="G166" s="27">
        <f>G142*'Unit Conversions'!$E$16</f>
        <v>37.715880252706185</v>
      </c>
      <c r="H166" s="27"/>
      <c r="I166" s="27">
        <f>I142*'Unit Conversions'!$E$16</f>
        <v>41.331600000000002</v>
      </c>
    </row>
    <row r="167" spans="1:9">
      <c r="A167" t="s">
        <v>71</v>
      </c>
      <c r="B167" s="27">
        <f>B143*'Unit Conversions'!$E$16</f>
        <v>32.864640557205988</v>
      </c>
      <c r="C167" s="27"/>
      <c r="D167" s="27"/>
      <c r="E167" s="27">
        <f>E143*'Unit Conversions'!$E$16</f>
        <v>30.105503066922722</v>
      </c>
      <c r="F167" s="27">
        <f>F143*'Unit Conversions'!$E$16</f>
        <v>8.2399592098816417</v>
      </c>
      <c r="G167" s="27">
        <f>G143*'Unit Conversions'!$E$16</f>
        <v>0</v>
      </c>
      <c r="H167" s="27"/>
      <c r="I167" s="27">
        <f>I143*'Unit Conversions'!$E$16</f>
        <v>25.211789345901551</v>
      </c>
    </row>
    <row r="168" spans="1:9">
      <c r="A168" t="s">
        <v>72</v>
      </c>
      <c r="B168" s="27">
        <f>B144*'Unit Conversions'!$E$16</f>
        <v>11.518571291743415</v>
      </c>
      <c r="C168" s="27"/>
      <c r="D168" s="27"/>
      <c r="E168" s="27">
        <f>E144*'Unit Conversions'!$E$16</f>
        <v>10.551534338144924</v>
      </c>
      <c r="F168" s="27">
        <f>F144*'Unit Conversions'!$E$16</f>
        <v>2.887984045797471</v>
      </c>
      <c r="G168" s="27">
        <f>G144*'Unit Conversions'!$E$16</f>
        <v>0</v>
      </c>
      <c r="H168" s="27"/>
      <c r="I168" s="27">
        <f>I144*'Unit Conversions'!$E$16</f>
        <v>7.7462106540984568</v>
      </c>
    </row>
    <row r="169" spans="1:9">
      <c r="A169" t="s">
        <v>73</v>
      </c>
      <c r="B169" s="27">
        <f>B145*'Unit Conversions'!$E$16</f>
        <v>4.9693340826864309E-2</v>
      </c>
      <c r="C169" s="27"/>
      <c r="D169" s="27"/>
      <c r="E169" s="27">
        <f>E145*'Unit Conversions'!$E$16</f>
        <v>9.5907153183128955</v>
      </c>
      <c r="F169" s="27">
        <f>F145*'Unit Conversions'!$E$16</f>
        <v>1.1307386602409639</v>
      </c>
      <c r="G169" s="27">
        <f>G145*'Unit Conversions'!$E$16</f>
        <v>0</v>
      </c>
      <c r="H169" s="27"/>
      <c r="I169" s="27">
        <f>I145*'Unit Conversions'!$E$16</f>
        <v>4.7880000000000003</v>
      </c>
    </row>
    <row r="170" spans="1:9">
      <c r="A170" t="s">
        <v>74</v>
      </c>
      <c r="B170" s="27">
        <f>B146*'Unit Conversions'!$E$16</f>
        <v>0</v>
      </c>
      <c r="C170" s="27"/>
      <c r="D170" s="27"/>
      <c r="E170" s="27">
        <f>E146*'Unit Conversions'!$E$16</f>
        <v>5.4905793669255853</v>
      </c>
      <c r="F170" s="27">
        <f>F146*'Unit Conversions'!$E$16</f>
        <v>0.6030606187951808</v>
      </c>
      <c r="G170" s="27">
        <f>G146*'Unit Conversions'!$E$16</f>
        <v>0</v>
      </c>
      <c r="H170" s="27"/>
      <c r="I170" s="27">
        <f>I146*'Unit Conversions'!$E$16</f>
        <v>3.2292000000000001</v>
      </c>
    </row>
    <row r="171" spans="1:9">
      <c r="A171" t="s">
        <v>75</v>
      </c>
      <c r="B171" s="27">
        <f>B147*'Unit Conversions'!$E$16</f>
        <v>0</v>
      </c>
      <c r="C171" s="27"/>
      <c r="D171" s="27"/>
      <c r="E171" s="27">
        <f>E147*'Unit Conversions'!$E$16</f>
        <v>0</v>
      </c>
      <c r="F171" s="27">
        <f>F147*'Unit Conversions'!$E$16</f>
        <v>0</v>
      </c>
      <c r="G171" s="27">
        <f>G147*'Unit Conversions'!$E$16</f>
        <v>0</v>
      </c>
      <c r="H171" s="27"/>
      <c r="I171" s="27">
        <f>I147*'Unit Conversions'!$E$16</f>
        <v>36.871200000000002</v>
      </c>
    </row>
    <row r="172" spans="1:9">
      <c r="A172" t="s">
        <v>76</v>
      </c>
      <c r="B172" s="27">
        <f>B148*'Unit Conversions'!$E$16</f>
        <v>6.4282291465193522</v>
      </c>
      <c r="C172" s="27"/>
      <c r="D172" s="27"/>
      <c r="E172" s="27">
        <f>E148*'Unit Conversions'!$E$16</f>
        <v>5.8885497910302735</v>
      </c>
      <c r="F172" s="27">
        <f>F148*'Unit Conversions'!$E$16</f>
        <v>1.6117123163690819</v>
      </c>
      <c r="G172" s="27">
        <f>G148*'Unit Conversions'!$E$16</f>
        <v>0</v>
      </c>
      <c r="H172" s="27"/>
      <c r="I172" s="27">
        <f>I148*'Unit Conversions'!$E$16</f>
        <v>36.9</v>
      </c>
    </row>
    <row r="173" spans="1:9">
      <c r="A173" t="s">
        <v>77</v>
      </c>
      <c r="B173" s="27">
        <f>B149*'Unit Conversions'!$E$16</f>
        <v>32.573984912009557</v>
      </c>
      <c r="C173" s="27"/>
      <c r="D173" s="27"/>
      <c r="E173" s="27">
        <f>E149*'Unit Conversions'!$E$16</f>
        <v>2.9516598614890794</v>
      </c>
      <c r="F173" s="27">
        <f>F149*'Unit Conversions'!$E$16</f>
        <v>0.12815038149397592</v>
      </c>
      <c r="G173" s="27">
        <f>G149*'Unit Conversions'!$E$16</f>
        <v>3.3626978556656963</v>
      </c>
      <c r="H173" s="27"/>
      <c r="I173" s="27">
        <f>I149*'Unit Conversions'!$E$16</f>
        <v>64.371600000000001</v>
      </c>
    </row>
    <row r="175" spans="1:9">
      <c r="A175" s="24" t="s">
        <v>4024</v>
      </c>
      <c r="B175" s="25"/>
      <c r="C175" s="25"/>
      <c r="D175" s="25"/>
      <c r="E175" s="25"/>
      <c r="F175" s="25"/>
      <c r="G175" s="25"/>
    </row>
    <row r="176" spans="1:9">
      <c r="A176" t="s">
        <v>4025</v>
      </c>
    </row>
    <row r="177" spans="1:3">
      <c r="A177" t="s">
        <v>4026</v>
      </c>
    </row>
    <row r="179" spans="1:3">
      <c r="A179" s="535" t="s">
        <v>4027</v>
      </c>
      <c r="B179" s="536"/>
    </row>
    <row r="180" spans="1:3">
      <c r="A180" s="538" t="s">
        <v>4028</v>
      </c>
    </row>
    <row r="182" spans="1:3">
      <c r="A182" t="s">
        <v>4029</v>
      </c>
      <c r="B182">
        <v>780</v>
      </c>
      <c r="C182" t="s">
        <v>4030</v>
      </c>
    </row>
    <row r="183" spans="1:3">
      <c r="B183">
        <f>B182/1000</f>
        <v>0.78</v>
      </c>
      <c r="C183" t="s">
        <v>4031</v>
      </c>
    </row>
    <row r="184" spans="1:3">
      <c r="B184" s="501">
        <f>B183/'Unit Conversions'!E48</f>
        <v>0.85980257610079536</v>
      </c>
      <c r="C184" t="s">
        <v>4032</v>
      </c>
    </row>
    <row r="185" spans="1:3">
      <c r="B185" s="501">
        <f>B184*'Unit Conversions'!E47</f>
        <v>24.649680054233702</v>
      </c>
      <c r="C185" t="s">
        <v>4033</v>
      </c>
    </row>
    <row r="186" spans="1:3">
      <c r="B186" s="501">
        <f>B185*'Unit Conversions'!E5</f>
        <v>26.006891287075813</v>
      </c>
      <c r="C186" t="s">
        <v>4034</v>
      </c>
    </row>
    <row r="187" spans="1:3">
      <c r="B187" s="546">
        <f>B186/10^6</f>
        <v>2.6006891287075812E-5</v>
      </c>
      <c r="C187" t="s">
        <v>4035</v>
      </c>
    </row>
    <row r="189" spans="1:3">
      <c r="A189" t="s">
        <v>4036</v>
      </c>
      <c r="B189">
        <v>2.2999999999999998</v>
      </c>
      <c r="C189" t="s">
        <v>4037</v>
      </c>
    </row>
    <row r="190" spans="1:3">
      <c r="B190" s="546">
        <f>B189/10^6</f>
        <v>2.3E-6</v>
      </c>
      <c r="C190" t="s">
        <v>4038</v>
      </c>
    </row>
    <row r="192" spans="1:3">
      <c r="A192" s="535" t="s">
        <v>4039</v>
      </c>
    </row>
    <row r="193" spans="1:4">
      <c r="A193" s="538" t="s">
        <v>4040</v>
      </c>
    </row>
    <row r="194" spans="1:4">
      <c r="B194" s="30" t="s">
        <v>595</v>
      </c>
      <c r="C194" s="98" t="s">
        <v>116</v>
      </c>
    </row>
    <row r="195" spans="1:4">
      <c r="A195" t="s">
        <v>4041</v>
      </c>
      <c r="B195">
        <v>20</v>
      </c>
      <c r="C195" s="49" t="s">
        <v>4042</v>
      </c>
    </row>
    <row r="196" spans="1:4">
      <c r="B196" s="46"/>
      <c r="C196" s="49"/>
    </row>
    <row r="197" spans="1:4">
      <c r="A197" t="s">
        <v>4043</v>
      </c>
      <c r="B197">
        <v>16</v>
      </c>
      <c r="C197" s="49" t="s">
        <v>4044</v>
      </c>
    </row>
    <row r="198" spans="1:4">
      <c r="A198" t="s">
        <v>4045</v>
      </c>
      <c r="B198">
        <v>6.5</v>
      </c>
      <c r="C198" s="49" t="s">
        <v>4044</v>
      </c>
    </row>
    <row r="200" spans="1:4">
      <c r="A200" t="s">
        <v>4046</v>
      </c>
    </row>
    <row r="201" spans="1:4">
      <c r="A201" t="s">
        <v>4047</v>
      </c>
    </row>
    <row r="203" spans="1:4">
      <c r="A203" t="s">
        <v>4048</v>
      </c>
      <c r="B203" s="791">
        <f>B195*(B197/SUM(B197:B198))</f>
        <v>14.222222222222223</v>
      </c>
      <c r="C203" s="49" t="s">
        <v>4042</v>
      </c>
    </row>
    <row r="204" spans="1:4">
      <c r="A204" t="s">
        <v>4049</v>
      </c>
      <c r="B204" s="791">
        <f>B195*B198/SUM(B197:B198)</f>
        <v>5.7777777777777777</v>
      </c>
      <c r="C204" s="49" t="s">
        <v>4042</v>
      </c>
    </row>
    <row r="206" spans="1:4">
      <c r="A206" t="s">
        <v>4050</v>
      </c>
      <c r="B206" s="791">
        <f>B187*B203*10^6</f>
        <v>369.87578719396708</v>
      </c>
      <c r="C206" s="49" t="s">
        <v>183</v>
      </c>
      <c r="D206" s="58" t="s">
        <v>4051</v>
      </c>
    </row>
    <row r="207" spans="1:4">
      <c r="A207" t="s">
        <v>4052</v>
      </c>
      <c r="B207" s="791">
        <f>B190*B204*10^6</f>
        <v>13.288888888888888</v>
      </c>
      <c r="C207" s="49" t="s">
        <v>183</v>
      </c>
    </row>
    <row r="209" spans="1:9">
      <c r="A209" t="s">
        <v>4053</v>
      </c>
      <c r="B209">
        <f>B74</f>
        <v>8291</v>
      </c>
      <c r="C209" t="s">
        <v>3975</v>
      </c>
    </row>
    <row r="210" spans="1:9">
      <c r="A210" t="s">
        <v>4053</v>
      </c>
      <c r="B210" s="791">
        <f>B209*10^6*'Unit Conversions'!E6</f>
        <v>29.846770904459106</v>
      </c>
      <c r="C210" t="s">
        <v>183</v>
      </c>
    </row>
    <row r="211" spans="1:9">
      <c r="A211" t="s">
        <v>4054</v>
      </c>
    </row>
    <row r="213" spans="1:9">
      <c r="B213" s="30" t="s">
        <v>40</v>
      </c>
      <c r="C213" s="30" t="s">
        <v>141</v>
      </c>
      <c r="D213" s="98" t="s">
        <v>116</v>
      </c>
    </row>
    <row r="214" spans="1:9">
      <c r="A214" t="s">
        <v>71</v>
      </c>
      <c r="B214" s="27">
        <f>B206</f>
        <v>369.87578719396708</v>
      </c>
      <c r="C214" s="27">
        <f>B210</f>
        <v>29.846770904459106</v>
      </c>
      <c r="D214" s="49" t="s">
        <v>183</v>
      </c>
    </row>
    <row r="216" spans="1:9">
      <c r="A216" t="s">
        <v>4055</v>
      </c>
    </row>
    <row r="218" spans="1:9">
      <c r="B218" s="30" t="s">
        <v>40</v>
      </c>
      <c r="C218" s="30" t="s">
        <v>141</v>
      </c>
      <c r="D218" s="98" t="s">
        <v>116</v>
      </c>
    </row>
    <row r="219" spans="1:9">
      <c r="A219" t="s">
        <v>72</v>
      </c>
      <c r="B219" s="791">
        <f>B$214*($B265/$B$264)</f>
        <v>129.63600245277198</v>
      </c>
      <c r="C219" s="791">
        <f>C$214*($B265/$B$264)</f>
        <v>10.460852535201832</v>
      </c>
      <c r="D219" s="49" t="s">
        <v>183</v>
      </c>
    </row>
    <row r="220" spans="1:9">
      <c r="A220" t="s">
        <v>76</v>
      </c>
      <c r="B220" s="791">
        <f>B$214*($B266/$B$264)</f>
        <v>72.346639899906634</v>
      </c>
      <c r="C220" s="791">
        <f>C$214*($B266/$B$264)</f>
        <v>5.8379425243846654</v>
      </c>
      <c r="D220" s="49" t="s">
        <v>183</v>
      </c>
    </row>
    <row r="223" spans="1:9">
      <c r="A223" s="26" t="s">
        <v>4056</v>
      </c>
      <c r="B223" s="974"/>
      <c r="C223" s="974"/>
      <c r="D223" s="974"/>
      <c r="E223" s="974"/>
      <c r="F223" s="974"/>
      <c r="G223" s="974"/>
      <c r="H223" s="974"/>
      <c r="I223" s="974"/>
    </row>
    <row r="224" spans="1:9">
      <c r="A224" s="1065" t="s">
        <v>4023</v>
      </c>
      <c r="B224" s="974"/>
      <c r="C224" s="974"/>
      <c r="D224" s="974"/>
      <c r="E224" s="974"/>
      <c r="F224" s="974"/>
      <c r="G224" s="974"/>
      <c r="H224" s="974"/>
      <c r="I224" s="974"/>
    </row>
    <row r="225" spans="1:9" ht="30">
      <c r="A225" s="1063" t="s">
        <v>114</v>
      </c>
      <c r="B225" s="1064" t="s">
        <v>40</v>
      </c>
      <c r="C225" s="1064" t="s">
        <v>41</v>
      </c>
      <c r="D225" s="1064" t="s">
        <v>42</v>
      </c>
      <c r="E225" s="1064" t="s">
        <v>43</v>
      </c>
      <c r="F225" s="1064" t="s">
        <v>44</v>
      </c>
      <c r="G225" s="1064" t="s">
        <v>45</v>
      </c>
      <c r="H225" s="1064" t="s">
        <v>46</v>
      </c>
      <c r="I225" s="1064" t="s">
        <v>141</v>
      </c>
    </row>
    <row r="226" spans="1:9">
      <c r="A226" t="s">
        <v>63</v>
      </c>
      <c r="B226" s="27">
        <f>B159</f>
        <v>19.678562967438264</v>
      </c>
      <c r="C226" s="27"/>
      <c r="D226" s="27"/>
      <c r="E226" s="27">
        <f t="shared" ref="E226:I226" si="6">E159</f>
        <v>7.5270302382406644</v>
      </c>
      <c r="F226" s="27">
        <f t="shared" si="6"/>
        <v>0.97997350554216878</v>
      </c>
      <c r="G226" s="27">
        <f t="shared" si="6"/>
        <v>9.8903382593545377</v>
      </c>
      <c r="H226" s="27"/>
      <c r="I226" s="27">
        <f t="shared" si="6"/>
        <v>67.996799999999993</v>
      </c>
    </row>
    <row r="227" spans="1:9">
      <c r="A227" t="s">
        <v>64</v>
      </c>
      <c r="B227" s="27">
        <f t="shared" ref="B227:I240" si="7">B160</f>
        <v>55.855315089395482</v>
      </c>
      <c r="C227" s="27"/>
      <c r="D227" s="27"/>
      <c r="E227" s="27">
        <f t="shared" si="7"/>
        <v>4.9864868027081597</v>
      </c>
      <c r="F227" s="27">
        <f t="shared" si="7"/>
        <v>0.218609474313253</v>
      </c>
      <c r="G227" s="27">
        <f t="shared" si="7"/>
        <v>0</v>
      </c>
      <c r="H227" s="27"/>
      <c r="I227" s="27">
        <f t="shared" si="7"/>
        <v>54.705599999999997</v>
      </c>
    </row>
    <row r="228" spans="1:9">
      <c r="A228" t="s">
        <v>65</v>
      </c>
      <c r="B228" s="27">
        <f t="shared" si="7"/>
        <v>0.23604336892760547</v>
      </c>
      <c r="C228" s="27"/>
      <c r="D228" s="27"/>
      <c r="E228" s="27">
        <f t="shared" si="7"/>
        <v>2.3665000345344223</v>
      </c>
      <c r="F228" s="27">
        <f t="shared" si="7"/>
        <v>0</v>
      </c>
      <c r="G228" s="27">
        <f t="shared" si="7"/>
        <v>97.365884706749171</v>
      </c>
      <c r="H228" s="27"/>
      <c r="I228" s="27">
        <f t="shared" si="7"/>
        <v>21.520800000000001</v>
      </c>
    </row>
    <row r="229" spans="1:9">
      <c r="A229" t="s">
        <v>66</v>
      </c>
      <c r="B229" s="27">
        <f t="shared" si="7"/>
        <v>27.80342419263058</v>
      </c>
      <c r="C229" s="27"/>
      <c r="D229" s="27"/>
      <c r="E229" s="27">
        <f t="shared" si="7"/>
        <v>1.8318731130736132</v>
      </c>
      <c r="F229" s="27">
        <f t="shared" si="7"/>
        <v>0.25253163412048196</v>
      </c>
      <c r="G229" s="27">
        <f t="shared" si="7"/>
        <v>62.481207823484979</v>
      </c>
      <c r="H229" s="27"/>
      <c r="I229" s="27">
        <f t="shared" si="7"/>
        <v>13.492800000000001</v>
      </c>
    </row>
    <row r="230" spans="1:9">
      <c r="A230" t="s">
        <v>67</v>
      </c>
      <c r="B230" s="27">
        <f t="shared" si="7"/>
        <v>0</v>
      </c>
      <c r="C230" s="27"/>
      <c r="D230" s="27"/>
      <c r="E230" s="27">
        <f t="shared" si="7"/>
        <v>93.533112000000003</v>
      </c>
      <c r="F230" s="27">
        <f t="shared" si="7"/>
        <v>0</v>
      </c>
      <c r="G230" s="27">
        <f t="shared" si="7"/>
        <v>3.4638992618325255</v>
      </c>
      <c r="H230" s="27"/>
      <c r="I230" s="27">
        <f t="shared" si="7"/>
        <v>10.703509188618249</v>
      </c>
    </row>
    <row r="231" spans="1:9">
      <c r="A231" t="s">
        <v>68</v>
      </c>
      <c r="B231" s="27">
        <f t="shared" si="7"/>
        <v>37.891172380484036</v>
      </c>
      <c r="C231" s="27"/>
      <c r="D231" s="27"/>
      <c r="E231" s="27">
        <f t="shared" si="7"/>
        <v>8.0498649728710454</v>
      </c>
      <c r="F231" s="27">
        <f t="shared" si="7"/>
        <v>16.579355394909211</v>
      </c>
      <c r="G231" s="27">
        <f t="shared" si="7"/>
        <v>5.1584020693196564E-4</v>
      </c>
      <c r="H231" s="27"/>
      <c r="I231" s="27">
        <f t="shared" si="7"/>
        <v>30.186793122499765</v>
      </c>
    </row>
    <row r="232" spans="1:9">
      <c r="A232" t="s">
        <v>69</v>
      </c>
      <c r="B232" s="27">
        <f t="shared" si="7"/>
        <v>0</v>
      </c>
      <c r="C232" s="27"/>
      <c r="D232" s="27"/>
      <c r="E232" s="27">
        <f t="shared" si="7"/>
        <v>0</v>
      </c>
      <c r="F232" s="27">
        <f t="shared" si="7"/>
        <v>0.60787224075343993</v>
      </c>
      <c r="G232" s="27">
        <f t="shared" si="7"/>
        <v>0</v>
      </c>
      <c r="H232" s="27"/>
      <c r="I232" s="27">
        <f t="shared" si="7"/>
        <v>12.156406877500235</v>
      </c>
    </row>
    <row r="233" spans="1:9">
      <c r="A233" t="s">
        <v>70</v>
      </c>
      <c r="B233" s="27">
        <f t="shared" si="7"/>
        <v>444.95417376374303</v>
      </c>
      <c r="C233" s="27"/>
      <c r="D233" s="27"/>
      <c r="E233" s="27">
        <f t="shared" si="7"/>
        <v>21.440487840634081</v>
      </c>
      <c r="F233" s="27">
        <f t="shared" si="7"/>
        <v>7.6136403122891574</v>
      </c>
      <c r="G233" s="27">
        <f t="shared" si="7"/>
        <v>37.715880252706185</v>
      </c>
      <c r="H233" s="27"/>
      <c r="I233" s="27">
        <f t="shared" si="7"/>
        <v>41.331600000000002</v>
      </c>
    </row>
    <row r="234" spans="1:9">
      <c r="A234" s="537" t="s">
        <v>71</v>
      </c>
      <c r="B234" s="540">
        <f>B214</f>
        <v>369.87578719396708</v>
      </c>
      <c r="C234" s="540"/>
      <c r="D234" s="540"/>
      <c r="E234" s="540"/>
      <c r="F234" s="540"/>
      <c r="G234" s="540"/>
      <c r="H234" s="540"/>
      <c r="I234" s="540">
        <f>C214</f>
        <v>29.846770904459106</v>
      </c>
    </row>
    <row r="235" spans="1:9">
      <c r="A235" s="537" t="s">
        <v>72</v>
      </c>
      <c r="B235" s="540">
        <f>B219</f>
        <v>129.63600245277198</v>
      </c>
      <c r="C235" s="540"/>
      <c r="D235" s="540"/>
      <c r="E235" s="540"/>
      <c r="F235" s="540"/>
      <c r="G235" s="540"/>
      <c r="H235" s="540"/>
      <c r="I235" s="540">
        <f>C219</f>
        <v>10.460852535201832</v>
      </c>
    </row>
    <row r="236" spans="1:9">
      <c r="A236" t="s">
        <v>73</v>
      </c>
      <c r="B236" s="27">
        <f t="shared" si="7"/>
        <v>4.9693340826864309E-2</v>
      </c>
      <c r="C236" s="27"/>
      <c r="D236" s="27"/>
      <c r="E236" s="27">
        <f t="shared" si="7"/>
        <v>9.5907153183128955</v>
      </c>
      <c r="F236" s="27">
        <f t="shared" si="7"/>
        <v>1.1307386602409639</v>
      </c>
      <c r="G236" s="27">
        <f t="shared" si="7"/>
        <v>0</v>
      </c>
      <c r="H236" s="27"/>
      <c r="I236" s="27">
        <f t="shared" si="7"/>
        <v>4.7880000000000003</v>
      </c>
    </row>
    <row r="237" spans="1:9">
      <c r="A237" t="s">
        <v>74</v>
      </c>
      <c r="B237" s="27">
        <f t="shared" si="7"/>
        <v>0</v>
      </c>
      <c r="C237" s="27"/>
      <c r="D237" s="27"/>
      <c r="E237" s="27">
        <f t="shared" si="7"/>
        <v>5.4905793669255853</v>
      </c>
      <c r="F237" s="27">
        <f t="shared" si="7"/>
        <v>0.6030606187951808</v>
      </c>
      <c r="G237" s="27">
        <f t="shared" si="7"/>
        <v>0</v>
      </c>
      <c r="H237" s="27"/>
      <c r="I237" s="27">
        <f t="shared" si="7"/>
        <v>3.2292000000000001</v>
      </c>
    </row>
    <row r="238" spans="1:9">
      <c r="A238" t="s">
        <v>75</v>
      </c>
      <c r="B238" s="27">
        <f t="shared" si="7"/>
        <v>0</v>
      </c>
      <c r="C238" s="27"/>
      <c r="D238" s="27"/>
      <c r="E238" s="27">
        <f t="shared" si="7"/>
        <v>0</v>
      </c>
      <c r="F238" s="27">
        <f t="shared" si="7"/>
        <v>0</v>
      </c>
      <c r="G238" s="27">
        <f t="shared" si="7"/>
        <v>0</v>
      </c>
      <c r="H238" s="27"/>
      <c r="I238" s="27">
        <f t="shared" si="7"/>
        <v>36.871200000000002</v>
      </c>
    </row>
    <row r="239" spans="1:9">
      <c r="A239" s="537" t="s">
        <v>76</v>
      </c>
      <c r="B239" s="540">
        <f>B220</f>
        <v>72.346639899906634</v>
      </c>
      <c r="C239" s="540"/>
      <c r="D239" s="540"/>
      <c r="E239" s="540"/>
      <c r="F239" s="540"/>
      <c r="G239" s="540"/>
      <c r="H239" s="540"/>
      <c r="I239" s="540">
        <f>C220</f>
        <v>5.8379425243846654</v>
      </c>
    </row>
    <row r="240" spans="1:9">
      <c r="A240" t="s">
        <v>77</v>
      </c>
      <c r="B240" s="27">
        <f t="shared" si="7"/>
        <v>32.573984912009557</v>
      </c>
      <c r="C240" s="27"/>
      <c r="D240" s="27"/>
      <c r="E240" s="27">
        <f t="shared" si="7"/>
        <v>2.9516598614890794</v>
      </c>
      <c r="F240" s="27">
        <f t="shared" si="7"/>
        <v>0.12815038149397592</v>
      </c>
      <c r="G240" s="27">
        <f t="shared" si="7"/>
        <v>3.3626978556656963</v>
      </c>
      <c r="H240" s="27"/>
      <c r="I240" s="27">
        <f t="shared" si="7"/>
        <v>64.371600000000001</v>
      </c>
    </row>
    <row r="243" spans="1:12">
      <c r="A243" s="1027" t="s">
        <v>4057</v>
      </c>
      <c r="B243" s="1028"/>
      <c r="C243" s="1028"/>
      <c r="D243" s="1028"/>
      <c r="E243" s="1028"/>
      <c r="F243" s="1028"/>
      <c r="G243" s="1028"/>
      <c r="H243" s="1028"/>
      <c r="I243" s="1028"/>
      <c r="J243" s="1028"/>
      <c r="K243" s="1028"/>
    </row>
    <row r="245" spans="1:12" ht="30">
      <c r="B245" s="37" t="s">
        <v>40</v>
      </c>
      <c r="C245" s="37" t="s">
        <v>1211</v>
      </c>
      <c r="D245" s="37" t="s">
        <v>2783</v>
      </c>
      <c r="E245" s="37" t="s">
        <v>3153</v>
      </c>
      <c r="F245" s="37" t="s">
        <v>44</v>
      </c>
      <c r="G245" s="37" t="s">
        <v>3178</v>
      </c>
      <c r="H245" s="37" t="s">
        <v>3062</v>
      </c>
      <c r="I245" s="37" t="s">
        <v>3949</v>
      </c>
      <c r="J245" s="37" t="s">
        <v>3065</v>
      </c>
      <c r="K245" s="37" t="s">
        <v>3950</v>
      </c>
      <c r="L245" s="1054" t="s">
        <v>116</v>
      </c>
    </row>
    <row r="246" spans="1:12">
      <c r="A246" t="s">
        <v>3960</v>
      </c>
      <c r="B246" s="27">
        <f t="shared" ref="B246:K246" si="8">B38</f>
        <v>341.82865573079488</v>
      </c>
      <c r="C246" s="27">
        <f t="shared" si="8"/>
        <v>0</v>
      </c>
      <c r="D246" s="27">
        <f t="shared" si="8"/>
        <v>0</v>
      </c>
      <c r="E246" s="27">
        <f t="shared" si="8"/>
        <v>0</v>
      </c>
      <c r="F246" s="27">
        <f t="shared" si="8"/>
        <v>879.53542168674699</v>
      </c>
      <c r="G246" s="27">
        <f t="shared" si="8"/>
        <v>0.63003020279016242</v>
      </c>
      <c r="H246" s="27">
        <f t="shared" si="8"/>
        <v>16.481312670920694</v>
      </c>
      <c r="I246" s="27">
        <f t="shared" si="8"/>
        <v>899.30017758046608</v>
      </c>
      <c r="J246" s="27">
        <f t="shared" si="8"/>
        <v>91</v>
      </c>
      <c r="K246" s="27">
        <f t="shared" si="8"/>
        <v>1129</v>
      </c>
      <c r="L246" s="49" t="s">
        <v>686</v>
      </c>
    </row>
    <row r="247" spans="1:12">
      <c r="A247" t="s">
        <v>3960</v>
      </c>
      <c r="B247" s="27">
        <f>B246*'Unit Conversions'!$E$16</f>
        <v>14.311682158136922</v>
      </c>
      <c r="C247" s="27">
        <f>C246*'Unit Conversions'!$E$16</f>
        <v>0</v>
      </c>
      <c r="D247" s="27">
        <f>D246*'Unit Conversions'!$E$16</f>
        <v>0</v>
      </c>
      <c r="E247" s="27">
        <f>E246*'Unit Conversions'!$E$16</f>
        <v>0</v>
      </c>
      <c r="F247" s="27">
        <f>F246*'Unit Conversions'!$E$16</f>
        <v>36.824389035180722</v>
      </c>
      <c r="G247" s="27">
        <f>G246*'Unit Conversions'!$E$16</f>
        <v>2.6378104530418521E-2</v>
      </c>
      <c r="H247" s="27">
        <f>H246*'Unit Conversions'!$E$16</f>
        <v>0.69003959890610767</v>
      </c>
      <c r="I247" s="27">
        <f>I246*'Unit Conversions'!$E$16</f>
        <v>37.651899834938959</v>
      </c>
      <c r="J247" s="27">
        <f>J246*'Unit Conversions'!$E$16</f>
        <v>3.8099880000000002</v>
      </c>
      <c r="K247" s="27">
        <f>K246*'Unit Conversions'!$E$16</f>
        <v>47.268972000000005</v>
      </c>
      <c r="L247" s="49" t="s">
        <v>183</v>
      </c>
    </row>
    <row r="248" spans="1:12">
      <c r="L248" s="49"/>
    </row>
    <row r="249" spans="1:12">
      <c r="A249" s="23" t="s">
        <v>4058</v>
      </c>
      <c r="B249" s="30" t="s">
        <v>595</v>
      </c>
      <c r="C249" s="98" t="s">
        <v>116</v>
      </c>
      <c r="D249" s="23" t="s">
        <v>271</v>
      </c>
      <c r="L249" s="49"/>
    </row>
    <row r="250" spans="1:12">
      <c r="A250" t="s">
        <v>273</v>
      </c>
      <c r="B250" s="793">
        <f>B247</f>
        <v>14.311682158136922</v>
      </c>
      <c r="C250" s="49" t="s">
        <v>183</v>
      </c>
      <c r="L250" s="49"/>
    </row>
    <row r="251" spans="1:12">
      <c r="A251" t="s">
        <v>275</v>
      </c>
      <c r="B251" s="793">
        <f>F247</f>
        <v>36.824389035180722</v>
      </c>
      <c r="C251" s="49" t="s">
        <v>183</v>
      </c>
      <c r="L251" s="49"/>
    </row>
    <row r="252" spans="1:12">
      <c r="A252" t="s">
        <v>276</v>
      </c>
      <c r="B252" s="793">
        <f>H247</f>
        <v>0.69003959890610767</v>
      </c>
      <c r="C252" s="49" t="s">
        <v>183</v>
      </c>
      <c r="L252" s="49"/>
    </row>
    <row r="253" spans="1:12">
      <c r="A253" t="s">
        <v>279</v>
      </c>
      <c r="B253" s="793">
        <f>SUM(B250:B252)*('Other Country-Specific Data'!B6/SUM('Other Country-Specific Data'!B3:B5))</f>
        <v>9.3824595983557408</v>
      </c>
      <c r="C253" s="49" t="s">
        <v>183</v>
      </c>
      <c r="D253" t="s">
        <v>4059</v>
      </c>
      <c r="L253" s="49"/>
    </row>
    <row r="257" spans="1:8">
      <c r="A257" s="1027" t="s">
        <v>4060</v>
      </c>
      <c r="B257" s="1028"/>
      <c r="C257" s="1028"/>
      <c r="D257" s="1028"/>
      <c r="E257" s="1028"/>
      <c r="F257" s="1028"/>
      <c r="G257" s="1028"/>
      <c r="H257" s="1028"/>
    </row>
    <row r="258" spans="1:8">
      <c r="A258" s="538" t="s">
        <v>4061</v>
      </c>
    </row>
    <row r="260" spans="1:8">
      <c r="A260" t="s">
        <v>4062</v>
      </c>
    </row>
    <row r="261" spans="1:8">
      <c r="A261" t="s">
        <v>4063</v>
      </c>
    </row>
    <row r="262" spans="1:8">
      <c r="A262" t="s">
        <v>4064</v>
      </c>
    </row>
    <row r="264" spans="1:8">
      <c r="A264" t="s">
        <v>4065</v>
      </c>
      <c r="B264" s="105">
        <f>SUM(G273:G327)/SUM(G273:G420)</f>
        <v>0.64679607413882989</v>
      </c>
    </row>
    <row r="265" spans="1:8">
      <c r="A265" t="s">
        <v>4066</v>
      </c>
      <c r="B265" s="105">
        <f>SUM(G328:G394)/SUM(G273:G420)</f>
        <v>0.22669247449153454</v>
      </c>
    </row>
    <row r="266" spans="1:8">
      <c r="A266" t="s">
        <v>4067</v>
      </c>
      <c r="B266" s="105">
        <f>SUM(G395:G420)/SUM(G273:G420)</f>
        <v>0.12651145136963557</v>
      </c>
    </row>
    <row r="268" spans="1:8">
      <c r="A268" s="23" t="s">
        <v>4068</v>
      </c>
    </row>
    <row r="269" spans="1:8">
      <c r="A269" t="s">
        <v>4065</v>
      </c>
      <c r="B269" s="50">
        <f>B264/SUM($B$264:$B$265)</f>
        <v>0.7404745891093939</v>
      </c>
    </row>
    <row r="270" spans="1:8">
      <c r="A270" t="s">
        <v>4066</v>
      </c>
      <c r="B270" s="50">
        <f>B265/SUM($B$264:$B$265)</f>
        <v>0.25952541089060616</v>
      </c>
    </row>
    <row r="272" spans="1:8">
      <c r="A272" s="23" t="s">
        <v>4069</v>
      </c>
    </row>
    <row r="273" spans="1:8">
      <c r="A273">
        <v>15</v>
      </c>
      <c r="B273" t="s">
        <v>3990</v>
      </c>
      <c r="C273">
        <v>1572</v>
      </c>
      <c r="D273" t="s">
        <v>71</v>
      </c>
      <c r="E273">
        <v>157201</v>
      </c>
      <c r="F273" t="s">
        <v>4070</v>
      </c>
      <c r="G273">
        <v>10534466</v>
      </c>
      <c r="H273">
        <v>2.4849894396886101E-3</v>
      </c>
    </row>
    <row r="274" spans="1:8">
      <c r="A274">
        <v>15</v>
      </c>
      <c r="B274" t="s">
        <v>3990</v>
      </c>
      <c r="C274">
        <v>1572</v>
      </c>
      <c r="D274" t="s">
        <v>71</v>
      </c>
      <c r="E274">
        <v>157202</v>
      </c>
      <c r="F274" t="s">
        <v>4071</v>
      </c>
      <c r="G274">
        <v>117320619</v>
      </c>
      <c r="H274">
        <v>2.7674919570933199E-2</v>
      </c>
    </row>
    <row r="275" spans="1:8">
      <c r="A275">
        <v>15</v>
      </c>
      <c r="B275" t="s">
        <v>3990</v>
      </c>
      <c r="C275">
        <v>1572</v>
      </c>
      <c r="D275" t="s">
        <v>71</v>
      </c>
      <c r="E275">
        <v>157203</v>
      </c>
      <c r="F275" t="s">
        <v>4072</v>
      </c>
      <c r="G275">
        <v>203536089</v>
      </c>
      <c r="H275">
        <v>4.8012403453627499E-2</v>
      </c>
    </row>
    <row r="276" spans="1:8">
      <c r="A276">
        <v>15</v>
      </c>
      <c r="B276" t="s">
        <v>3990</v>
      </c>
      <c r="C276">
        <v>1572</v>
      </c>
      <c r="D276" t="s">
        <v>71</v>
      </c>
      <c r="E276">
        <v>157204</v>
      </c>
      <c r="F276" t="s">
        <v>4073</v>
      </c>
      <c r="G276">
        <v>142776548</v>
      </c>
      <c r="H276">
        <v>3.3679753109003702E-2</v>
      </c>
    </row>
    <row r="277" spans="1:8">
      <c r="A277">
        <v>15</v>
      </c>
      <c r="B277" t="s">
        <v>3990</v>
      </c>
      <c r="C277">
        <v>1572</v>
      </c>
      <c r="D277" t="s">
        <v>71</v>
      </c>
      <c r="E277">
        <v>157205</v>
      </c>
      <c r="F277" t="s">
        <v>4074</v>
      </c>
      <c r="G277">
        <v>813651</v>
      </c>
      <c r="H277">
        <v>1.9193323540007401E-4</v>
      </c>
    </row>
    <row r="278" spans="1:8">
      <c r="A278">
        <v>15</v>
      </c>
      <c r="B278" t="s">
        <v>3990</v>
      </c>
      <c r="C278">
        <v>1572</v>
      </c>
      <c r="D278" t="s">
        <v>71</v>
      </c>
      <c r="E278">
        <v>157206</v>
      </c>
      <c r="F278" t="s">
        <v>4075</v>
      </c>
      <c r="G278">
        <v>1368515</v>
      </c>
      <c r="H278">
        <v>3.2282085518672301E-4</v>
      </c>
    </row>
    <row r="279" spans="1:8">
      <c r="A279">
        <v>15</v>
      </c>
      <c r="B279" t="s">
        <v>3990</v>
      </c>
      <c r="C279">
        <v>1572</v>
      </c>
      <c r="D279" t="s">
        <v>71</v>
      </c>
      <c r="E279">
        <v>157207</v>
      </c>
      <c r="F279" t="s">
        <v>4076</v>
      </c>
      <c r="G279">
        <v>632227612</v>
      </c>
      <c r="H279">
        <v>0.149137026907633</v>
      </c>
    </row>
    <row r="280" spans="1:8">
      <c r="A280">
        <v>15</v>
      </c>
      <c r="B280" t="s">
        <v>3990</v>
      </c>
      <c r="C280">
        <v>1572</v>
      </c>
      <c r="D280" t="s">
        <v>71</v>
      </c>
      <c r="E280">
        <v>157208</v>
      </c>
      <c r="F280" t="s">
        <v>4077</v>
      </c>
      <c r="G280">
        <v>1996951976</v>
      </c>
      <c r="H280">
        <v>0.47106370383893298</v>
      </c>
    </row>
    <row r="281" spans="1:8">
      <c r="A281">
        <v>15</v>
      </c>
      <c r="B281" t="s">
        <v>3990</v>
      </c>
      <c r="C281">
        <v>1572</v>
      </c>
      <c r="D281" t="s">
        <v>71</v>
      </c>
      <c r="E281">
        <v>157209</v>
      </c>
      <c r="F281" t="s">
        <v>4078</v>
      </c>
      <c r="G281">
        <v>217996987</v>
      </c>
      <c r="H281">
        <v>5.1423604250935499E-2</v>
      </c>
    </row>
    <row r="282" spans="1:8">
      <c r="A282">
        <v>15</v>
      </c>
      <c r="B282" t="s">
        <v>3990</v>
      </c>
      <c r="C282">
        <v>1572</v>
      </c>
      <c r="D282" t="s">
        <v>71</v>
      </c>
      <c r="E282">
        <v>157210</v>
      </c>
      <c r="F282" t="s">
        <v>4079</v>
      </c>
      <c r="G282">
        <v>1761055215</v>
      </c>
      <c r="H282">
        <v>0.41541769767765702</v>
      </c>
    </row>
    <row r="283" spans="1:8">
      <c r="A283">
        <v>15</v>
      </c>
      <c r="B283" t="s">
        <v>3990</v>
      </c>
      <c r="C283">
        <v>1572</v>
      </c>
      <c r="D283" t="s">
        <v>71</v>
      </c>
      <c r="E283">
        <v>157211</v>
      </c>
      <c r="F283" t="s">
        <v>4080</v>
      </c>
      <c r="G283">
        <v>2571503</v>
      </c>
      <c r="H283">
        <v>6.0659532235687896E-4</v>
      </c>
    </row>
    <row r="284" spans="1:8">
      <c r="A284">
        <v>15</v>
      </c>
      <c r="B284" t="s">
        <v>3990</v>
      </c>
      <c r="C284">
        <v>1572</v>
      </c>
      <c r="D284" t="s">
        <v>71</v>
      </c>
      <c r="E284">
        <v>157212</v>
      </c>
      <c r="F284" t="s">
        <v>4081</v>
      </c>
      <c r="G284">
        <v>161721606</v>
      </c>
      <c r="H284">
        <v>3.8148728476553297E-2</v>
      </c>
    </row>
    <row r="285" spans="1:8">
      <c r="A285">
        <v>15</v>
      </c>
      <c r="B285" t="s">
        <v>3990</v>
      </c>
      <c r="C285">
        <v>1572</v>
      </c>
      <c r="D285" t="s">
        <v>71</v>
      </c>
      <c r="E285">
        <v>157213</v>
      </c>
      <c r="F285" t="s">
        <v>4082</v>
      </c>
      <c r="G285">
        <v>231487687</v>
      </c>
      <c r="H285">
        <v>5.4605943729178402E-2</v>
      </c>
    </row>
    <row r="286" spans="1:8">
      <c r="A286">
        <v>15</v>
      </c>
      <c r="B286" t="s">
        <v>3990</v>
      </c>
      <c r="C286">
        <v>1572</v>
      </c>
      <c r="D286" t="s">
        <v>71</v>
      </c>
      <c r="E286">
        <v>157214</v>
      </c>
      <c r="F286" t="s">
        <v>4083</v>
      </c>
      <c r="G286">
        <v>238935708</v>
      </c>
      <c r="H286">
        <v>5.6362867481324803E-2</v>
      </c>
    </row>
    <row r="287" spans="1:8">
      <c r="A287">
        <v>15</v>
      </c>
      <c r="B287" t="s">
        <v>3990</v>
      </c>
      <c r="C287">
        <v>1572</v>
      </c>
      <c r="D287" t="s">
        <v>71</v>
      </c>
      <c r="E287">
        <v>157215</v>
      </c>
      <c r="F287" t="s">
        <v>4084</v>
      </c>
      <c r="G287">
        <v>16523131</v>
      </c>
      <c r="H287">
        <v>3.8976637302347902E-3</v>
      </c>
    </row>
    <row r="288" spans="1:8">
      <c r="A288">
        <v>15</v>
      </c>
      <c r="B288" t="s">
        <v>3990</v>
      </c>
      <c r="C288">
        <v>1572</v>
      </c>
      <c r="D288" t="s">
        <v>71</v>
      </c>
      <c r="E288">
        <v>157216</v>
      </c>
      <c r="F288" t="s">
        <v>4085</v>
      </c>
      <c r="G288">
        <v>40979035</v>
      </c>
      <c r="H288">
        <v>9.6666000178490408E-3</v>
      </c>
    </row>
    <row r="289" spans="1:8">
      <c r="A289">
        <v>15</v>
      </c>
      <c r="B289" t="s">
        <v>3990</v>
      </c>
      <c r="C289">
        <v>1572</v>
      </c>
      <c r="D289" t="s">
        <v>71</v>
      </c>
      <c r="E289">
        <v>157217</v>
      </c>
      <c r="F289" t="s">
        <v>4086</v>
      </c>
      <c r="G289">
        <v>124915087</v>
      </c>
      <c r="H289">
        <v>2.9466388904077701E-2</v>
      </c>
    </row>
    <row r="290" spans="1:8">
      <c r="A290">
        <v>15</v>
      </c>
      <c r="B290" t="s">
        <v>3990</v>
      </c>
      <c r="C290">
        <v>1572</v>
      </c>
      <c r="D290" t="s">
        <v>71</v>
      </c>
      <c r="E290">
        <v>157218</v>
      </c>
      <c r="F290" t="s">
        <v>4087</v>
      </c>
      <c r="G290">
        <v>9075793</v>
      </c>
      <c r="H290">
        <v>2.1409010918825699E-3</v>
      </c>
    </row>
    <row r="291" spans="1:8">
      <c r="A291">
        <v>15</v>
      </c>
      <c r="B291" t="s">
        <v>3990</v>
      </c>
      <c r="C291">
        <v>1572</v>
      </c>
      <c r="D291" t="s">
        <v>71</v>
      </c>
      <c r="E291">
        <v>157219</v>
      </c>
      <c r="F291" t="s">
        <v>4088</v>
      </c>
      <c r="G291">
        <v>485592078</v>
      </c>
      <c r="H291">
        <v>0.114546972369216</v>
      </c>
    </row>
    <row r="292" spans="1:8">
      <c r="A292">
        <v>15</v>
      </c>
      <c r="B292" t="s">
        <v>3990</v>
      </c>
      <c r="C292">
        <v>1572</v>
      </c>
      <c r="D292" t="s">
        <v>71</v>
      </c>
      <c r="E292">
        <v>157220</v>
      </c>
      <c r="F292" t="s">
        <v>4089</v>
      </c>
      <c r="G292">
        <v>18513511</v>
      </c>
      <c r="H292">
        <v>4.3671771617620602E-3</v>
      </c>
    </row>
    <row r="293" spans="1:8">
      <c r="A293">
        <v>15</v>
      </c>
      <c r="B293" t="s">
        <v>3990</v>
      </c>
      <c r="C293">
        <v>1572</v>
      </c>
      <c r="D293" t="s">
        <v>71</v>
      </c>
      <c r="E293">
        <v>157221</v>
      </c>
      <c r="F293" t="s">
        <v>4090</v>
      </c>
      <c r="G293">
        <v>1232009</v>
      </c>
      <c r="H293">
        <v>2.90620270130572E-4</v>
      </c>
    </row>
    <row r="294" spans="1:8">
      <c r="A294">
        <v>15</v>
      </c>
      <c r="B294" t="s">
        <v>3990</v>
      </c>
      <c r="C294">
        <v>1572</v>
      </c>
      <c r="D294" t="s">
        <v>71</v>
      </c>
      <c r="E294">
        <v>157222</v>
      </c>
      <c r="F294" t="s">
        <v>4091</v>
      </c>
      <c r="G294">
        <v>8567575</v>
      </c>
      <c r="H294">
        <v>2.0210168601559999E-3</v>
      </c>
    </row>
    <row r="295" spans="1:8">
      <c r="A295">
        <v>15</v>
      </c>
      <c r="B295" t="s">
        <v>3990</v>
      </c>
      <c r="C295">
        <v>1572</v>
      </c>
      <c r="D295" t="s">
        <v>71</v>
      </c>
      <c r="E295">
        <v>157223</v>
      </c>
      <c r="F295" t="s">
        <v>4092</v>
      </c>
      <c r="G295">
        <v>31644917</v>
      </c>
      <c r="H295">
        <v>7.4647622921582002E-3</v>
      </c>
    </row>
    <row r="296" spans="1:8">
      <c r="A296">
        <v>15</v>
      </c>
      <c r="B296" t="s">
        <v>3990</v>
      </c>
      <c r="C296">
        <v>1572</v>
      </c>
      <c r="D296" t="s">
        <v>71</v>
      </c>
      <c r="E296">
        <v>157224</v>
      </c>
      <c r="F296" t="s">
        <v>4093</v>
      </c>
      <c r="G296">
        <v>88516122</v>
      </c>
      <c r="H296">
        <v>2.0880187796152999E-2</v>
      </c>
    </row>
    <row r="297" spans="1:8">
      <c r="A297">
        <v>15</v>
      </c>
      <c r="B297" t="s">
        <v>3990</v>
      </c>
      <c r="C297">
        <v>1572</v>
      </c>
      <c r="D297" t="s">
        <v>71</v>
      </c>
      <c r="E297">
        <v>157225</v>
      </c>
      <c r="F297" t="s">
        <v>4094</v>
      </c>
      <c r="G297">
        <v>74966350</v>
      </c>
      <c r="H297">
        <v>1.76839137438955E-2</v>
      </c>
    </row>
    <row r="298" spans="1:8">
      <c r="A298">
        <v>15</v>
      </c>
      <c r="B298" t="s">
        <v>3990</v>
      </c>
      <c r="C298">
        <v>1572</v>
      </c>
      <c r="D298" t="s">
        <v>71</v>
      </c>
      <c r="E298">
        <v>157226</v>
      </c>
      <c r="F298" t="s">
        <v>4095</v>
      </c>
      <c r="G298">
        <v>6071813</v>
      </c>
      <c r="H298">
        <v>1.43228818477975E-3</v>
      </c>
    </row>
    <row r="299" spans="1:8">
      <c r="A299">
        <v>15</v>
      </c>
      <c r="B299" t="s">
        <v>3990</v>
      </c>
      <c r="C299">
        <v>1572</v>
      </c>
      <c r="D299" t="s">
        <v>71</v>
      </c>
      <c r="E299">
        <v>157227</v>
      </c>
      <c r="F299" t="s">
        <v>4096</v>
      </c>
      <c r="G299">
        <v>58069941</v>
      </c>
      <c r="H299">
        <v>1.36981969611312E-2</v>
      </c>
    </row>
    <row r="300" spans="1:8">
      <c r="A300">
        <v>15</v>
      </c>
      <c r="B300" t="s">
        <v>3990</v>
      </c>
      <c r="C300">
        <v>1572</v>
      </c>
      <c r="D300" t="s">
        <v>71</v>
      </c>
      <c r="E300">
        <v>157228</v>
      </c>
      <c r="F300" t="s">
        <v>4097</v>
      </c>
      <c r="G300">
        <v>7126819</v>
      </c>
      <c r="H300">
        <v>1.6811549777247499E-3</v>
      </c>
    </row>
    <row r="301" spans="1:8">
      <c r="A301">
        <v>15</v>
      </c>
      <c r="B301" t="s">
        <v>3990</v>
      </c>
      <c r="C301">
        <v>1572</v>
      </c>
      <c r="D301" t="s">
        <v>71</v>
      </c>
      <c r="E301">
        <v>157229</v>
      </c>
      <c r="F301" t="s">
        <v>4098</v>
      </c>
      <c r="G301">
        <v>105534637</v>
      </c>
      <c r="H301">
        <v>2.48947083284877E-2</v>
      </c>
    </row>
    <row r="302" spans="1:8">
      <c r="A302">
        <v>15</v>
      </c>
      <c r="B302" t="s">
        <v>3990</v>
      </c>
      <c r="C302">
        <v>1573</v>
      </c>
      <c r="D302" t="s">
        <v>4099</v>
      </c>
      <c r="E302">
        <v>157301</v>
      </c>
      <c r="F302" t="s">
        <v>4100</v>
      </c>
      <c r="G302">
        <v>2854857</v>
      </c>
      <c r="H302">
        <v>6.7343608084369103E-4</v>
      </c>
    </row>
    <row r="303" spans="1:8">
      <c r="A303">
        <v>15</v>
      </c>
      <c r="B303" t="s">
        <v>3990</v>
      </c>
      <c r="C303">
        <v>1573</v>
      </c>
      <c r="D303" t="s">
        <v>4099</v>
      </c>
      <c r="E303">
        <v>157302</v>
      </c>
      <c r="F303" t="s">
        <v>4101</v>
      </c>
      <c r="G303">
        <v>226830</v>
      </c>
      <c r="H303">
        <v>5.3507235640094901E-5</v>
      </c>
    </row>
    <row r="304" spans="1:8">
      <c r="A304">
        <v>15</v>
      </c>
      <c r="B304" t="s">
        <v>3990</v>
      </c>
      <c r="C304">
        <v>1573</v>
      </c>
      <c r="D304" t="s">
        <v>4099</v>
      </c>
      <c r="E304">
        <v>157303</v>
      </c>
      <c r="F304" t="s">
        <v>4102</v>
      </c>
      <c r="G304">
        <v>8710673</v>
      </c>
      <c r="H304">
        <v>2.05477244101226E-3</v>
      </c>
    </row>
    <row r="305" spans="1:8">
      <c r="A305">
        <v>15</v>
      </c>
      <c r="B305" t="s">
        <v>3990</v>
      </c>
      <c r="C305">
        <v>1573</v>
      </c>
      <c r="D305" t="s">
        <v>4099</v>
      </c>
      <c r="E305">
        <v>157304</v>
      </c>
      <c r="F305" t="s">
        <v>4103</v>
      </c>
      <c r="G305">
        <v>26448283</v>
      </c>
      <c r="H305">
        <v>6.23892126595651E-3</v>
      </c>
    </row>
    <row r="306" spans="1:8">
      <c r="A306">
        <v>15</v>
      </c>
      <c r="B306" t="s">
        <v>3990</v>
      </c>
      <c r="C306">
        <v>1573</v>
      </c>
      <c r="D306" t="s">
        <v>4099</v>
      </c>
      <c r="E306">
        <v>157305</v>
      </c>
      <c r="F306" t="s">
        <v>4104</v>
      </c>
      <c r="G306">
        <v>14769189</v>
      </c>
      <c r="H306">
        <v>3.48392397846889E-3</v>
      </c>
    </row>
    <row r="307" spans="1:8">
      <c r="A307">
        <v>15</v>
      </c>
      <c r="B307" t="s">
        <v>3990</v>
      </c>
      <c r="C307">
        <v>1573</v>
      </c>
      <c r="D307" t="s">
        <v>4099</v>
      </c>
      <c r="E307">
        <v>157306</v>
      </c>
      <c r="F307" t="s">
        <v>4105</v>
      </c>
      <c r="G307">
        <v>478126685</v>
      </c>
      <c r="H307">
        <v>0.112785950712482</v>
      </c>
    </row>
    <row r="308" spans="1:8">
      <c r="A308">
        <v>15</v>
      </c>
      <c r="B308" t="s">
        <v>3990</v>
      </c>
      <c r="C308">
        <v>1573</v>
      </c>
      <c r="D308" t="s">
        <v>4099</v>
      </c>
      <c r="E308">
        <v>157307</v>
      </c>
      <c r="F308" t="s">
        <v>4106</v>
      </c>
      <c r="G308">
        <v>255510910</v>
      </c>
      <c r="H308">
        <v>6.0272814310210698E-2</v>
      </c>
    </row>
    <row r="309" spans="1:8">
      <c r="A309">
        <v>15</v>
      </c>
      <c r="B309" t="s">
        <v>3990</v>
      </c>
      <c r="C309">
        <v>1573</v>
      </c>
      <c r="D309" t="s">
        <v>4099</v>
      </c>
      <c r="E309">
        <v>157308</v>
      </c>
      <c r="F309" t="s">
        <v>4107</v>
      </c>
      <c r="G309">
        <v>880517698</v>
      </c>
      <c r="H309">
        <v>0.20770651127346401</v>
      </c>
    </row>
    <row r="310" spans="1:8">
      <c r="A310">
        <v>15</v>
      </c>
      <c r="B310" t="s">
        <v>3990</v>
      </c>
      <c r="C310">
        <v>1573</v>
      </c>
      <c r="D310" t="s">
        <v>4099</v>
      </c>
      <c r="E310">
        <v>157309</v>
      </c>
      <c r="F310" t="s">
        <v>4108</v>
      </c>
      <c r="G310">
        <v>25425648</v>
      </c>
      <c r="H310">
        <v>5.9976905120050598E-3</v>
      </c>
    </row>
    <row r="311" spans="1:8">
      <c r="A311">
        <v>15</v>
      </c>
      <c r="B311" t="s">
        <v>3990</v>
      </c>
      <c r="C311">
        <v>1573</v>
      </c>
      <c r="D311" t="s">
        <v>4099</v>
      </c>
      <c r="E311">
        <v>157310</v>
      </c>
      <c r="F311" t="s">
        <v>4109</v>
      </c>
      <c r="G311">
        <v>23099274</v>
      </c>
      <c r="H311">
        <v>5.4489190011599801E-3</v>
      </c>
    </row>
    <row r="312" spans="1:8">
      <c r="A312">
        <v>15</v>
      </c>
      <c r="B312" t="s">
        <v>3990</v>
      </c>
      <c r="C312">
        <v>1573</v>
      </c>
      <c r="D312" t="s">
        <v>4099</v>
      </c>
      <c r="E312">
        <v>157311</v>
      </c>
      <c r="F312" t="s">
        <v>4110</v>
      </c>
      <c r="G312">
        <v>20947387</v>
      </c>
      <c r="H312">
        <v>4.9413074648558897E-3</v>
      </c>
    </row>
    <row r="313" spans="1:8">
      <c r="A313">
        <v>15</v>
      </c>
      <c r="B313" t="s">
        <v>3990</v>
      </c>
      <c r="C313">
        <v>1573</v>
      </c>
      <c r="D313" t="s">
        <v>4099</v>
      </c>
      <c r="E313">
        <v>157312</v>
      </c>
      <c r="F313" t="s">
        <v>4111</v>
      </c>
      <c r="G313">
        <v>443182590</v>
      </c>
      <c r="H313">
        <v>0.10454294085754701</v>
      </c>
    </row>
    <row r="314" spans="1:8">
      <c r="A314">
        <v>15</v>
      </c>
      <c r="B314" t="s">
        <v>3990</v>
      </c>
      <c r="C314">
        <v>1573</v>
      </c>
      <c r="D314" t="s">
        <v>4099</v>
      </c>
      <c r="E314">
        <v>157313</v>
      </c>
      <c r="F314" t="s">
        <v>4112</v>
      </c>
      <c r="G314">
        <v>604763</v>
      </c>
      <c r="H314">
        <v>1.42658362418598E-4</v>
      </c>
    </row>
    <row r="315" spans="1:8">
      <c r="A315">
        <v>15</v>
      </c>
      <c r="B315" t="s">
        <v>3990</v>
      </c>
      <c r="C315">
        <v>1573</v>
      </c>
      <c r="D315" t="s">
        <v>4099</v>
      </c>
      <c r="E315">
        <v>157314</v>
      </c>
      <c r="F315" t="s">
        <v>4113</v>
      </c>
      <c r="G315">
        <v>77225014</v>
      </c>
      <c r="H315">
        <v>1.82167130512173E-2</v>
      </c>
    </row>
    <row r="316" spans="1:8">
      <c r="A316">
        <v>15</v>
      </c>
      <c r="B316" t="s">
        <v>3990</v>
      </c>
      <c r="C316">
        <v>1573</v>
      </c>
      <c r="D316" t="s">
        <v>4099</v>
      </c>
      <c r="E316">
        <v>157315</v>
      </c>
      <c r="F316" t="s">
        <v>4114</v>
      </c>
      <c r="G316">
        <v>16069487</v>
      </c>
      <c r="H316">
        <v>3.7906530332162498E-3</v>
      </c>
    </row>
    <row r="317" spans="1:8">
      <c r="A317">
        <v>15</v>
      </c>
      <c r="B317" t="s">
        <v>3990</v>
      </c>
      <c r="C317">
        <v>1573</v>
      </c>
      <c r="D317" t="s">
        <v>4099</v>
      </c>
      <c r="E317">
        <v>157316</v>
      </c>
      <c r="F317" t="s">
        <v>4115</v>
      </c>
      <c r="G317">
        <v>1186472</v>
      </c>
      <c r="H317">
        <v>2.7987848558115998E-4</v>
      </c>
    </row>
    <row r="318" spans="1:8">
      <c r="A318">
        <v>15</v>
      </c>
      <c r="B318" t="s">
        <v>3990</v>
      </c>
      <c r="C318">
        <v>1573</v>
      </c>
      <c r="D318" t="s">
        <v>4099</v>
      </c>
      <c r="E318">
        <v>157317</v>
      </c>
      <c r="F318" t="s">
        <v>4116</v>
      </c>
      <c r="G318">
        <v>8805689</v>
      </c>
      <c r="H318">
        <v>2.0771858938252899E-3</v>
      </c>
    </row>
    <row r="319" spans="1:8">
      <c r="A319">
        <v>15</v>
      </c>
      <c r="B319" t="s">
        <v>3990</v>
      </c>
      <c r="C319">
        <v>1573</v>
      </c>
      <c r="D319" t="s">
        <v>4099</v>
      </c>
      <c r="E319">
        <v>157318</v>
      </c>
      <c r="F319" t="s">
        <v>4117</v>
      </c>
      <c r="G319">
        <v>626044074</v>
      </c>
      <c r="H319">
        <v>0.14767838376142001</v>
      </c>
    </row>
    <row r="320" spans="1:8">
      <c r="A320">
        <v>15</v>
      </c>
      <c r="B320" t="s">
        <v>3990</v>
      </c>
      <c r="C320">
        <v>1573</v>
      </c>
      <c r="D320" t="s">
        <v>4099</v>
      </c>
      <c r="E320">
        <v>157319</v>
      </c>
      <c r="F320" t="s">
        <v>4118</v>
      </c>
      <c r="G320">
        <v>2665856</v>
      </c>
      <c r="H320">
        <v>6.2885237920275497E-4</v>
      </c>
    </row>
    <row r="321" spans="1:8">
      <c r="A321">
        <v>15</v>
      </c>
      <c r="B321" t="s">
        <v>3990</v>
      </c>
      <c r="C321">
        <v>1573</v>
      </c>
      <c r="D321" t="s">
        <v>4099</v>
      </c>
      <c r="E321">
        <v>157320</v>
      </c>
      <c r="F321" t="s">
        <v>4119</v>
      </c>
      <c r="G321">
        <v>14684356</v>
      </c>
      <c r="H321">
        <v>3.46391260730521E-3</v>
      </c>
    </row>
    <row r="322" spans="1:8">
      <c r="A322">
        <v>15</v>
      </c>
      <c r="B322" t="s">
        <v>3990</v>
      </c>
      <c r="C322">
        <v>1573</v>
      </c>
      <c r="D322" t="s">
        <v>4099</v>
      </c>
      <c r="E322">
        <v>157321</v>
      </c>
      <c r="F322" t="s">
        <v>4120</v>
      </c>
      <c r="G322">
        <v>173009889</v>
      </c>
      <c r="H322">
        <v>4.0811536828416303E-2</v>
      </c>
    </row>
    <row r="323" spans="1:8">
      <c r="A323">
        <v>15</v>
      </c>
      <c r="B323" t="s">
        <v>3990</v>
      </c>
      <c r="C323">
        <v>1573</v>
      </c>
      <c r="D323" t="s">
        <v>4099</v>
      </c>
      <c r="E323">
        <v>157322</v>
      </c>
      <c r="F323" t="s">
        <v>4121</v>
      </c>
      <c r="G323">
        <v>24298028.999999899</v>
      </c>
      <c r="H323">
        <v>5.7316949402321498E-3</v>
      </c>
    </row>
    <row r="324" spans="1:8">
      <c r="A324">
        <v>15</v>
      </c>
      <c r="B324" t="s">
        <v>3990</v>
      </c>
      <c r="C324">
        <v>1573</v>
      </c>
      <c r="D324" t="s">
        <v>4099</v>
      </c>
      <c r="E324">
        <v>157323</v>
      </c>
      <c r="F324" t="s">
        <v>4122</v>
      </c>
      <c r="G324">
        <v>157100051</v>
      </c>
      <c r="H324">
        <v>3.7058543613842601E-2</v>
      </c>
    </row>
    <row r="325" spans="1:8">
      <c r="A325">
        <v>15</v>
      </c>
      <c r="B325" t="s">
        <v>3990</v>
      </c>
      <c r="C325">
        <v>1573</v>
      </c>
      <c r="D325" t="s">
        <v>4099</v>
      </c>
      <c r="E325">
        <v>157324</v>
      </c>
      <c r="F325" t="s">
        <v>4123</v>
      </c>
      <c r="G325">
        <v>117132836</v>
      </c>
      <c r="H325">
        <v>2.7630623184960498E-2</v>
      </c>
    </row>
    <row r="326" spans="1:8">
      <c r="A326">
        <v>15</v>
      </c>
      <c r="B326" t="s">
        <v>3990</v>
      </c>
      <c r="C326">
        <v>1573</v>
      </c>
      <c r="D326" t="s">
        <v>4099</v>
      </c>
      <c r="E326">
        <v>157325</v>
      </c>
      <c r="F326" t="s">
        <v>4124</v>
      </c>
      <c r="G326">
        <v>38080439</v>
      </c>
      <c r="H326">
        <v>8.9828462851089409E-3</v>
      </c>
    </row>
    <row r="327" spans="1:8">
      <c r="A327">
        <v>15</v>
      </c>
      <c r="B327" t="s">
        <v>3990</v>
      </c>
      <c r="C327">
        <v>1573</v>
      </c>
      <c r="D327" t="s">
        <v>4099</v>
      </c>
      <c r="E327">
        <v>157326</v>
      </c>
      <c r="F327" t="s">
        <v>4125</v>
      </c>
      <c r="G327">
        <v>470729206</v>
      </c>
      <c r="H327">
        <v>0.11104094938110801</v>
      </c>
    </row>
    <row r="328" spans="1:8">
      <c r="A328">
        <v>15</v>
      </c>
      <c r="B328" t="s">
        <v>3990</v>
      </c>
      <c r="C328">
        <v>1574</v>
      </c>
      <c r="D328" t="s">
        <v>4126</v>
      </c>
      <c r="E328">
        <v>157401</v>
      </c>
      <c r="F328" t="s">
        <v>4127</v>
      </c>
      <c r="G328">
        <v>218791</v>
      </c>
      <c r="H328">
        <v>5.1610905051942003E-5</v>
      </c>
    </row>
    <row r="329" spans="1:8">
      <c r="A329">
        <v>15</v>
      </c>
      <c r="B329" t="s">
        <v>3990</v>
      </c>
      <c r="C329">
        <v>1574</v>
      </c>
      <c r="D329" t="s">
        <v>4126</v>
      </c>
      <c r="E329">
        <v>157402</v>
      </c>
      <c r="F329" t="s">
        <v>4128</v>
      </c>
      <c r="G329">
        <v>15063994.999999899</v>
      </c>
      <c r="H329">
        <v>3.5534661647322299E-3</v>
      </c>
    </row>
    <row r="330" spans="1:8">
      <c r="A330">
        <v>15</v>
      </c>
      <c r="B330" t="s">
        <v>3990</v>
      </c>
      <c r="C330">
        <v>1574</v>
      </c>
      <c r="D330" t="s">
        <v>4126</v>
      </c>
      <c r="E330">
        <v>157403</v>
      </c>
      <c r="F330" t="s">
        <v>4129</v>
      </c>
      <c r="G330">
        <v>145173659</v>
      </c>
      <c r="H330">
        <v>3.4245210866498198E-2</v>
      </c>
    </row>
    <row r="331" spans="1:8">
      <c r="A331">
        <v>15</v>
      </c>
      <c r="B331" t="s">
        <v>3990</v>
      </c>
      <c r="C331">
        <v>1574</v>
      </c>
      <c r="D331" t="s">
        <v>4126</v>
      </c>
      <c r="E331">
        <v>157404</v>
      </c>
      <c r="F331" t="s">
        <v>4130</v>
      </c>
      <c r="G331">
        <v>79823158</v>
      </c>
      <c r="H331">
        <v>1.8829592755113998E-2</v>
      </c>
    </row>
    <row r="332" spans="1:8">
      <c r="A332">
        <v>15</v>
      </c>
      <c r="B332" t="s">
        <v>3990</v>
      </c>
      <c r="C332">
        <v>1574</v>
      </c>
      <c r="D332" t="s">
        <v>4126</v>
      </c>
      <c r="E332">
        <v>157406</v>
      </c>
      <c r="F332" t="s">
        <v>4131</v>
      </c>
      <c r="G332">
        <v>644860</v>
      </c>
      <c r="H332">
        <v>1.5211689800675201E-4</v>
      </c>
    </row>
    <row r="333" spans="1:8">
      <c r="A333">
        <v>15</v>
      </c>
      <c r="B333" t="s">
        <v>3990</v>
      </c>
      <c r="C333">
        <v>1574</v>
      </c>
      <c r="D333" t="s">
        <v>4126</v>
      </c>
      <c r="E333">
        <v>157407</v>
      </c>
      <c r="F333" t="s">
        <v>4132</v>
      </c>
      <c r="G333">
        <v>9591810</v>
      </c>
      <c r="H333">
        <v>2.26262504027253E-3</v>
      </c>
    </row>
    <row r="334" spans="1:8">
      <c r="A334">
        <v>15</v>
      </c>
      <c r="B334" t="s">
        <v>3990</v>
      </c>
      <c r="C334">
        <v>1574</v>
      </c>
      <c r="D334" t="s">
        <v>4126</v>
      </c>
      <c r="E334">
        <v>157408</v>
      </c>
      <c r="F334" t="s">
        <v>3293</v>
      </c>
      <c r="G334">
        <v>403375410</v>
      </c>
      <c r="H334">
        <v>9.5152771301370606E-2</v>
      </c>
    </row>
    <row r="335" spans="1:8">
      <c r="A335">
        <v>15</v>
      </c>
      <c r="B335" t="s">
        <v>3990</v>
      </c>
      <c r="C335">
        <v>1574</v>
      </c>
      <c r="D335" t="s">
        <v>4126</v>
      </c>
      <c r="E335">
        <v>157409</v>
      </c>
      <c r="F335" t="s">
        <v>4133</v>
      </c>
      <c r="G335">
        <v>2325092</v>
      </c>
      <c r="H335">
        <v>5.4846909813031604E-4</v>
      </c>
    </row>
    <row r="336" spans="1:8">
      <c r="A336">
        <v>15</v>
      </c>
      <c r="B336" t="s">
        <v>3990</v>
      </c>
      <c r="C336">
        <v>1574</v>
      </c>
      <c r="D336" t="s">
        <v>4126</v>
      </c>
      <c r="E336">
        <v>157410</v>
      </c>
      <c r="F336" t="s">
        <v>4134</v>
      </c>
      <c r="G336">
        <v>1973780</v>
      </c>
      <c r="H336">
        <v>4.6559763506461498E-4</v>
      </c>
    </row>
    <row r="337" spans="1:8">
      <c r="A337">
        <v>15</v>
      </c>
      <c r="B337" t="s">
        <v>3990</v>
      </c>
      <c r="C337">
        <v>1574</v>
      </c>
      <c r="D337" t="s">
        <v>4126</v>
      </c>
      <c r="E337">
        <v>157411</v>
      </c>
      <c r="F337" t="s">
        <v>4135</v>
      </c>
      <c r="G337">
        <v>985755087</v>
      </c>
      <c r="H337">
        <v>0.23253110136900401</v>
      </c>
    </row>
    <row r="338" spans="1:8">
      <c r="A338">
        <v>15</v>
      </c>
      <c r="B338" t="s">
        <v>3990</v>
      </c>
      <c r="C338">
        <v>1574</v>
      </c>
      <c r="D338" t="s">
        <v>4126</v>
      </c>
      <c r="E338">
        <v>157412</v>
      </c>
      <c r="F338" t="s">
        <v>4136</v>
      </c>
      <c r="G338">
        <v>76880594</v>
      </c>
      <c r="H338">
        <v>1.8135467351357699E-2</v>
      </c>
    </row>
    <row r="339" spans="1:8">
      <c r="A339">
        <v>15</v>
      </c>
      <c r="B339" t="s">
        <v>3990</v>
      </c>
      <c r="C339">
        <v>1574</v>
      </c>
      <c r="D339" t="s">
        <v>4126</v>
      </c>
      <c r="E339">
        <v>157413</v>
      </c>
      <c r="F339" t="s">
        <v>4137</v>
      </c>
      <c r="G339">
        <v>40602320</v>
      </c>
      <c r="H339">
        <v>9.5777362067387007E-3</v>
      </c>
    </row>
    <row r="340" spans="1:8">
      <c r="A340">
        <v>15</v>
      </c>
      <c r="B340" t="s">
        <v>3990</v>
      </c>
      <c r="C340">
        <v>1574</v>
      </c>
      <c r="D340" t="s">
        <v>4126</v>
      </c>
      <c r="E340">
        <v>157415</v>
      </c>
      <c r="F340" t="s">
        <v>4138</v>
      </c>
      <c r="G340">
        <v>5050293</v>
      </c>
      <c r="H340">
        <v>1.1913204496870799E-3</v>
      </c>
    </row>
    <row r="341" spans="1:8">
      <c r="A341">
        <v>15</v>
      </c>
      <c r="B341" t="s">
        <v>3990</v>
      </c>
      <c r="C341">
        <v>1574</v>
      </c>
      <c r="D341" t="s">
        <v>4126</v>
      </c>
      <c r="E341">
        <v>157416</v>
      </c>
      <c r="F341" t="s">
        <v>4139</v>
      </c>
      <c r="G341">
        <v>28369205</v>
      </c>
      <c r="H341">
        <v>6.6920501558751398E-3</v>
      </c>
    </row>
    <row r="342" spans="1:8">
      <c r="A342">
        <v>15</v>
      </c>
      <c r="B342" t="s">
        <v>3990</v>
      </c>
      <c r="C342">
        <v>1574</v>
      </c>
      <c r="D342" t="s">
        <v>4126</v>
      </c>
      <c r="E342">
        <v>157418</v>
      </c>
      <c r="F342" t="s">
        <v>4140</v>
      </c>
      <c r="G342">
        <v>930230</v>
      </c>
      <c r="H342">
        <v>2.19433213461559E-4</v>
      </c>
    </row>
    <row r="343" spans="1:8">
      <c r="A343">
        <v>15</v>
      </c>
      <c r="B343" t="s">
        <v>3990</v>
      </c>
      <c r="C343">
        <v>1574</v>
      </c>
      <c r="D343" t="s">
        <v>4126</v>
      </c>
      <c r="E343">
        <v>157419</v>
      </c>
      <c r="F343" t="s">
        <v>4141</v>
      </c>
      <c r="G343">
        <v>578945</v>
      </c>
      <c r="H343">
        <v>1.3656811946239299E-4</v>
      </c>
    </row>
    <row r="344" spans="1:8">
      <c r="A344">
        <v>15</v>
      </c>
      <c r="B344" t="s">
        <v>3990</v>
      </c>
      <c r="C344">
        <v>1575</v>
      </c>
      <c r="D344" t="s">
        <v>4142</v>
      </c>
      <c r="E344">
        <v>157501</v>
      </c>
      <c r="F344" t="s">
        <v>4143</v>
      </c>
      <c r="G344">
        <v>305015</v>
      </c>
      <c r="H344">
        <v>7.1950401087878798E-5</v>
      </c>
    </row>
    <row r="345" spans="1:8">
      <c r="A345">
        <v>15</v>
      </c>
      <c r="B345" t="s">
        <v>3990</v>
      </c>
      <c r="C345">
        <v>1575</v>
      </c>
      <c r="D345" t="s">
        <v>4142</v>
      </c>
      <c r="E345">
        <v>157502</v>
      </c>
      <c r="F345" t="s">
        <v>4144</v>
      </c>
      <c r="G345">
        <v>3681</v>
      </c>
      <c r="H345">
        <v>8.6831607102759503E-7</v>
      </c>
    </row>
    <row r="346" spans="1:8">
      <c r="A346">
        <v>15</v>
      </c>
      <c r="B346" t="s">
        <v>3990</v>
      </c>
      <c r="C346">
        <v>1575</v>
      </c>
      <c r="D346" t="s">
        <v>4142</v>
      </c>
      <c r="E346">
        <v>157503</v>
      </c>
      <c r="F346" t="s">
        <v>4145</v>
      </c>
      <c r="G346">
        <v>1598031</v>
      </c>
      <c r="H346">
        <v>3.7696169500143898E-4</v>
      </c>
    </row>
    <row r="347" spans="1:8">
      <c r="A347">
        <v>15</v>
      </c>
      <c r="B347" t="s">
        <v>3990</v>
      </c>
      <c r="C347">
        <v>1575</v>
      </c>
      <c r="D347" t="s">
        <v>4142</v>
      </c>
      <c r="E347">
        <v>157504</v>
      </c>
      <c r="F347" t="s">
        <v>4146</v>
      </c>
      <c r="G347">
        <v>12975</v>
      </c>
      <c r="H347">
        <v>3.0606903074118502E-6</v>
      </c>
    </row>
    <row r="348" spans="1:8">
      <c r="A348">
        <v>15</v>
      </c>
      <c r="B348" t="s">
        <v>3990</v>
      </c>
      <c r="C348">
        <v>1575</v>
      </c>
      <c r="D348" t="s">
        <v>4142</v>
      </c>
      <c r="E348">
        <v>157505</v>
      </c>
      <c r="F348" t="s">
        <v>4147</v>
      </c>
      <c r="G348">
        <v>4342956</v>
      </c>
      <c r="H348">
        <v>1.0244657676081799E-3</v>
      </c>
    </row>
    <row r="349" spans="1:8">
      <c r="A349">
        <v>15</v>
      </c>
      <c r="B349" t="s">
        <v>3990</v>
      </c>
      <c r="C349">
        <v>1575</v>
      </c>
      <c r="D349" t="s">
        <v>4142</v>
      </c>
      <c r="E349">
        <v>157506</v>
      </c>
      <c r="F349" t="s">
        <v>4148</v>
      </c>
      <c r="G349">
        <v>9908</v>
      </c>
      <c r="H349">
        <v>2.3372115272321101E-6</v>
      </c>
    </row>
    <row r="350" spans="1:8">
      <c r="A350">
        <v>15</v>
      </c>
      <c r="B350" t="s">
        <v>3990</v>
      </c>
      <c r="C350">
        <v>1575</v>
      </c>
      <c r="D350" t="s">
        <v>4142</v>
      </c>
      <c r="E350">
        <v>157507</v>
      </c>
      <c r="F350" t="s">
        <v>4149</v>
      </c>
      <c r="G350">
        <v>123407</v>
      </c>
      <c r="H350">
        <v>2.9110644220945999E-5</v>
      </c>
    </row>
    <row r="351" spans="1:8">
      <c r="A351">
        <v>15</v>
      </c>
      <c r="B351" t="s">
        <v>3990</v>
      </c>
      <c r="C351">
        <v>1575</v>
      </c>
      <c r="D351" t="s">
        <v>4142</v>
      </c>
      <c r="E351">
        <v>157508</v>
      </c>
      <c r="F351" t="s">
        <v>4150</v>
      </c>
      <c r="G351">
        <v>767918</v>
      </c>
      <c r="H351">
        <v>1.81145216145441E-4</v>
      </c>
    </row>
    <row r="352" spans="1:8">
      <c r="A352">
        <v>15</v>
      </c>
      <c r="B352" t="s">
        <v>3990</v>
      </c>
      <c r="C352">
        <v>1576</v>
      </c>
      <c r="D352" t="s">
        <v>4151</v>
      </c>
      <c r="E352">
        <v>157601</v>
      </c>
      <c r="F352" t="s">
        <v>4152</v>
      </c>
      <c r="G352">
        <v>667204166</v>
      </c>
      <c r="H352">
        <v>0.15738769356000001</v>
      </c>
    </row>
    <row r="353" spans="1:8">
      <c r="A353">
        <v>15</v>
      </c>
      <c r="B353" t="s">
        <v>3990</v>
      </c>
      <c r="C353">
        <v>1576</v>
      </c>
      <c r="D353" t="s">
        <v>4151</v>
      </c>
      <c r="E353">
        <v>157602</v>
      </c>
      <c r="F353" t="s">
        <v>4153</v>
      </c>
      <c r="G353">
        <v>25415291</v>
      </c>
      <c r="H353">
        <v>5.9952473852602503E-3</v>
      </c>
    </row>
    <row r="354" spans="1:8">
      <c r="A354">
        <v>15</v>
      </c>
      <c r="B354" t="s">
        <v>3990</v>
      </c>
      <c r="C354">
        <v>1576</v>
      </c>
      <c r="D354" t="s">
        <v>4151</v>
      </c>
      <c r="E354">
        <v>157603</v>
      </c>
      <c r="F354" t="s">
        <v>4154</v>
      </c>
      <c r="G354">
        <v>49800</v>
      </c>
      <c r="H354">
        <v>1.17473893879854E-5</v>
      </c>
    </row>
    <row r="355" spans="1:8">
      <c r="A355">
        <v>15</v>
      </c>
      <c r="B355" t="s">
        <v>3990</v>
      </c>
      <c r="C355">
        <v>1576</v>
      </c>
      <c r="D355" t="s">
        <v>4151</v>
      </c>
      <c r="E355">
        <v>157604</v>
      </c>
      <c r="F355" t="s">
        <v>4155</v>
      </c>
      <c r="G355">
        <v>238066121</v>
      </c>
      <c r="H355">
        <v>5.6157739427193702E-2</v>
      </c>
    </row>
    <row r="356" spans="1:8">
      <c r="A356">
        <v>15</v>
      </c>
      <c r="B356" t="s">
        <v>3990</v>
      </c>
      <c r="C356">
        <v>1576</v>
      </c>
      <c r="D356" t="s">
        <v>4151</v>
      </c>
      <c r="E356">
        <v>157605</v>
      </c>
      <c r="F356" t="s">
        <v>4156</v>
      </c>
      <c r="G356">
        <v>29924774.999999899</v>
      </c>
      <c r="H356">
        <v>7.0589956681295302E-3</v>
      </c>
    </row>
    <row r="357" spans="1:8">
      <c r="A357">
        <v>15</v>
      </c>
      <c r="B357" t="s">
        <v>3990</v>
      </c>
      <c r="C357">
        <v>1576</v>
      </c>
      <c r="D357" t="s">
        <v>4151</v>
      </c>
      <c r="E357">
        <v>157606</v>
      </c>
      <c r="F357" t="s">
        <v>4157</v>
      </c>
      <c r="G357">
        <v>21199809</v>
      </c>
      <c r="H357">
        <v>5.0008516320063697E-3</v>
      </c>
    </row>
    <row r="358" spans="1:8">
      <c r="A358">
        <v>15</v>
      </c>
      <c r="B358" t="s">
        <v>3990</v>
      </c>
      <c r="C358">
        <v>1576</v>
      </c>
      <c r="D358" t="s">
        <v>4151</v>
      </c>
      <c r="E358">
        <v>157607</v>
      </c>
      <c r="F358" t="s">
        <v>4158</v>
      </c>
      <c r="G358">
        <v>24340303</v>
      </c>
      <c r="H358">
        <v>5.74166701129616E-3</v>
      </c>
    </row>
    <row r="359" spans="1:8">
      <c r="A359">
        <v>15</v>
      </c>
      <c r="B359" t="s">
        <v>3990</v>
      </c>
      <c r="C359">
        <v>1576</v>
      </c>
      <c r="D359" t="s">
        <v>4151</v>
      </c>
      <c r="E359">
        <v>157608</v>
      </c>
      <c r="F359" t="s">
        <v>4159</v>
      </c>
      <c r="G359">
        <v>25279262</v>
      </c>
      <c r="H359">
        <v>5.9631593203795701E-3</v>
      </c>
    </row>
    <row r="360" spans="1:8">
      <c r="A360">
        <v>15</v>
      </c>
      <c r="B360" t="s">
        <v>3990</v>
      </c>
      <c r="C360">
        <v>1576</v>
      </c>
      <c r="D360" t="s">
        <v>4151</v>
      </c>
      <c r="E360">
        <v>157609</v>
      </c>
      <c r="F360" t="s">
        <v>4160</v>
      </c>
      <c r="G360">
        <v>11664901</v>
      </c>
      <c r="H360">
        <v>2.7516492815120499E-3</v>
      </c>
    </row>
    <row r="361" spans="1:8">
      <c r="A361">
        <v>15</v>
      </c>
      <c r="B361" t="s">
        <v>3990</v>
      </c>
      <c r="C361">
        <v>1576</v>
      </c>
      <c r="D361" t="s">
        <v>4151</v>
      </c>
      <c r="E361">
        <v>157610</v>
      </c>
      <c r="F361" t="s">
        <v>4161</v>
      </c>
      <c r="G361">
        <v>255575570</v>
      </c>
      <c r="H361">
        <v>6.0288067045106801E-2</v>
      </c>
    </row>
    <row r="362" spans="1:8">
      <c r="A362">
        <v>15</v>
      </c>
      <c r="B362" t="s">
        <v>3990</v>
      </c>
      <c r="C362">
        <v>1576</v>
      </c>
      <c r="D362" t="s">
        <v>4151</v>
      </c>
      <c r="E362">
        <v>157611</v>
      </c>
      <c r="F362" t="s">
        <v>4162</v>
      </c>
      <c r="G362">
        <v>164603</v>
      </c>
      <c r="H362">
        <v>3.8828424406236102E-5</v>
      </c>
    </row>
    <row r="363" spans="1:8">
      <c r="A363">
        <v>15</v>
      </c>
      <c r="B363" t="s">
        <v>3990</v>
      </c>
      <c r="C363">
        <v>1576</v>
      </c>
      <c r="D363" t="s">
        <v>4151</v>
      </c>
      <c r="E363">
        <v>157612</v>
      </c>
      <c r="F363" t="s">
        <v>4163</v>
      </c>
      <c r="G363">
        <v>90868959</v>
      </c>
      <c r="H363">
        <v>2.1435201699877102E-2</v>
      </c>
    </row>
    <row r="364" spans="1:8">
      <c r="A364">
        <v>15</v>
      </c>
      <c r="B364" t="s">
        <v>3990</v>
      </c>
      <c r="C364">
        <v>1576</v>
      </c>
      <c r="D364" t="s">
        <v>4151</v>
      </c>
      <c r="E364">
        <v>157613</v>
      </c>
      <c r="F364" t="s">
        <v>4164</v>
      </c>
      <c r="G364">
        <v>850.99999999999898</v>
      </c>
      <c r="H364">
        <v>2.0074354154971E-7</v>
      </c>
    </row>
    <row r="365" spans="1:8">
      <c r="A365">
        <v>15</v>
      </c>
      <c r="B365" t="s">
        <v>3990</v>
      </c>
      <c r="C365">
        <v>1576</v>
      </c>
      <c r="D365" t="s">
        <v>4151</v>
      </c>
      <c r="E365">
        <v>157614</v>
      </c>
      <c r="F365" t="s">
        <v>4165</v>
      </c>
      <c r="G365">
        <v>17571929</v>
      </c>
      <c r="H365">
        <v>4.1450661096592897E-3</v>
      </c>
    </row>
    <row r="366" spans="1:8">
      <c r="A366">
        <v>15</v>
      </c>
      <c r="B366" t="s">
        <v>3990</v>
      </c>
      <c r="C366">
        <v>1576</v>
      </c>
      <c r="D366" t="s">
        <v>4151</v>
      </c>
      <c r="E366">
        <v>157615</v>
      </c>
      <c r="F366" t="s">
        <v>4166</v>
      </c>
      <c r="G366">
        <v>105978192</v>
      </c>
      <c r="H366">
        <v>2.4999339117644102E-2</v>
      </c>
    </row>
    <row r="367" spans="1:8">
      <c r="A367">
        <v>15</v>
      </c>
      <c r="B367" t="s">
        <v>3990</v>
      </c>
      <c r="C367">
        <v>1576</v>
      </c>
      <c r="D367" t="s">
        <v>4151</v>
      </c>
      <c r="E367">
        <v>157616</v>
      </c>
      <c r="F367" t="s">
        <v>4167</v>
      </c>
      <c r="G367">
        <v>283292585</v>
      </c>
      <c r="H367">
        <v>6.6826271219356401E-2</v>
      </c>
    </row>
    <row r="368" spans="1:8">
      <c r="A368">
        <v>15</v>
      </c>
      <c r="B368" t="s">
        <v>3990</v>
      </c>
      <c r="C368">
        <v>1578</v>
      </c>
      <c r="D368" t="s">
        <v>4168</v>
      </c>
      <c r="E368">
        <v>157801</v>
      </c>
      <c r="F368" t="s">
        <v>4169</v>
      </c>
      <c r="G368">
        <v>54941614</v>
      </c>
      <c r="H368">
        <v>1.2960251671935499E-2</v>
      </c>
    </row>
    <row r="369" spans="1:8">
      <c r="A369">
        <v>15</v>
      </c>
      <c r="B369" t="s">
        <v>3990</v>
      </c>
      <c r="C369">
        <v>1578</v>
      </c>
      <c r="D369" t="s">
        <v>4168</v>
      </c>
      <c r="E369">
        <v>157802</v>
      </c>
      <c r="F369" t="s">
        <v>4170</v>
      </c>
      <c r="G369">
        <v>195426</v>
      </c>
      <c r="H369">
        <v>4.6099303585068902E-5</v>
      </c>
    </row>
    <row r="370" spans="1:8">
      <c r="A370">
        <v>15</v>
      </c>
      <c r="B370" t="s">
        <v>3990</v>
      </c>
      <c r="C370">
        <v>1578</v>
      </c>
      <c r="D370" t="s">
        <v>4168</v>
      </c>
      <c r="E370">
        <v>157804</v>
      </c>
      <c r="F370" t="s">
        <v>4171</v>
      </c>
      <c r="G370">
        <v>195704</v>
      </c>
      <c r="H370">
        <v>4.6164881381250801E-5</v>
      </c>
    </row>
    <row r="371" spans="1:8">
      <c r="A371">
        <v>15</v>
      </c>
      <c r="B371" t="s">
        <v>3990</v>
      </c>
      <c r="C371">
        <v>1578</v>
      </c>
      <c r="D371" t="s">
        <v>4168</v>
      </c>
      <c r="E371">
        <v>157806</v>
      </c>
      <c r="F371" t="s">
        <v>4172</v>
      </c>
      <c r="G371">
        <v>938488</v>
      </c>
      <c r="H371">
        <v>2.2138120425605699E-4</v>
      </c>
    </row>
    <row r="372" spans="1:8">
      <c r="A372">
        <v>15</v>
      </c>
      <c r="B372" t="s">
        <v>3990</v>
      </c>
      <c r="C372">
        <v>1579</v>
      </c>
      <c r="D372" t="s">
        <v>4173</v>
      </c>
      <c r="E372">
        <v>157901</v>
      </c>
      <c r="F372" t="s">
        <v>4174</v>
      </c>
      <c r="G372">
        <v>8065917</v>
      </c>
      <c r="H372">
        <v>1.90268007570624E-3</v>
      </c>
    </row>
    <row r="373" spans="1:8">
      <c r="A373">
        <v>15</v>
      </c>
      <c r="B373" t="s">
        <v>3990</v>
      </c>
      <c r="C373">
        <v>1579</v>
      </c>
      <c r="D373" t="s">
        <v>4173</v>
      </c>
      <c r="E373">
        <v>157902</v>
      </c>
      <c r="F373" t="s">
        <v>4175</v>
      </c>
      <c r="G373">
        <v>565553</v>
      </c>
      <c r="H373">
        <v>1.3340906246070899E-4</v>
      </c>
    </row>
    <row r="374" spans="1:8">
      <c r="A374">
        <v>15</v>
      </c>
      <c r="B374" t="s">
        <v>3990</v>
      </c>
      <c r="C374">
        <v>1579</v>
      </c>
      <c r="D374" t="s">
        <v>4173</v>
      </c>
      <c r="E374">
        <v>157903</v>
      </c>
      <c r="F374" t="s">
        <v>4176</v>
      </c>
      <c r="G374">
        <v>40062</v>
      </c>
      <c r="H374">
        <v>9.4502793907925899E-6</v>
      </c>
    </row>
    <row r="375" spans="1:8">
      <c r="A375">
        <v>15</v>
      </c>
      <c r="B375" t="s">
        <v>3990</v>
      </c>
      <c r="C375">
        <v>1579</v>
      </c>
      <c r="D375" t="s">
        <v>4173</v>
      </c>
      <c r="E375">
        <v>157904</v>
      </c>
      <c r="F375" t="s">
        <v>4177</v>
      </c>
      <c r="G375">
        <v>387348</v>
      </c>
      <c r="H375">
        <v>9.1372043868621794E-5</v>
      </c>
    </row>
    <row r="376" spans="1:8">
      <c r="A376">
        <v>15</v>
      </c>
      <c r="B376" t="s">
        <v>3990</v>
      </c>
      <c r="C376">
        <v>1579</v>
      </c>
      <c r="D376" t="s">
        <v>4173</v>
      </c>
      <c r="E376">
        <v>157905</v>
      </c>
      <c r="F376" t="s">
        <v>4178</v>
      </c>
      <c r="G376">
        <v>633399</v>
      </c>
      <c r="H376">
        <v>1.4941334720804301E-4</v>
      </c>
    </row>
    <row r="377" spans="1:8">
      <c r="A377">
        <v>15</v>
      </c>
      <c r="B377" t="s">
        <v>3990</v>
      </c>
      <c r="C377">
        <v>1579</v>
      </c>
      <c r="D377" t="s">
        <v>4173</v>
      </c>
      <c r="E377">
        <v>157907</v>
      </c>
      <c r="F377" t="s">
        <v>4179</v>
      </c>
      <c r="G377">
        <v>10085532</v>
      </c>
      <c r="H377">
        <v>2.3790897909435099E-3</v>
      </c>
    </row>
    <row r="378" spans="1:8">
      <c r="A378">
        <v>15</v>
      </c>
      <c r="B378" t="s">
        <v>3990</v>
      </c>
      <c r="C378">
        <v>1580</v>
      </c>
      <c r="D378" t="s">
        <v>4180</v>
      </c>
      <c r="E378">
        <v>158001</v>
      </c>
      <c r="F378" t="s">
        <v>4181</v>
      </c>
      <c r="G378">
        <v>383340</v>
      </c>
      <c r="H378">
        <v>9.04265913251069E-5</v>
      </c>
    </row>
    <row r="379" spans="1:8">
      <c r="A379">
        <v>15</v>
      </c>
      <c r="B379" t="s">
        <v>3990</v>
      </c>
      <c r="C379">
        <v>1580</v>
      </c>
      <c r="D379" t="s">
        <v>4180</v>
      </c>
      <c r="E379">
        <v>158002</v>
      </c>
      <c r="F379" t="s">
        <v>4182</v>
      </c>
      <c r="G379">
        <v>2149005</v>
      </c>
      <c r="H379">
        <v>5.0693169742424798E-4</v>
      </c>
    </row>
    <row r="380" spans="1:8">
      <c r="A380">
        <v>15</v>
      </c>
      <c r="B380" t="s">
        <v>3990</v>
      </c>
      <c r="C380">
        <v>1580</v>
      </c>
      <c r="D380" t="s">
        <v>4180</v>
      </c>
      <c r="E380">
        <v>158003</v>
      </c>
      <c r="F380" t="s">
        <v>4183</v>
      </c>
      <c r="G380">
        <v>705202</v>
      </c>
      <c r="H380">
        <v>1.6635105403988099E-4</v>
      </c>
    </row>
    <row r="381" spans="1:8">
      <c r="A381">
        <v>15</v>
      </c>
      <c r="B381" t="s">
        <v>3990</v>
      </c>
      <c r="C381">
        <v>1580</v>
      </c>
      <c r="D381" t="s">
        <v>4180</v>
      </c>
      <c r="E381">
        <v>158007</v>
      </c>
      <c r="F381" t="s">
        <v>4184</v>
      </c>
      <c r="G381">
        <v>8744435</v>
      </c>
      <c r="H381">
        <v>2.0627366048780699E-3</v>
      </c>
    </row>
    <row r="382" spans="1:8">
      <c r="A382">
        <v>15</v>
      </c>
      <c r="B382" t="s">
        <v>3990</v>
      </c>
      <c r="C382">
        <v>1581</v>
      </c>
      <c r="D382" t="s">
        <v>4185</v>
      </c>
      <c r="E382">
        <v>158101</v>
      </c>
      <c r="F382" t="s">
        <v>4186</v>
      </c>
      <c r="G382">
        <v>3274197</v>
      </c>
      <c r="H382">
        <v>7.7235476088300401E-4</v>
      </c>
    </row>
    <row r="383" spans="1:8">
      <c r="A383">
        <v>15</v>
      </c>
      <c r="B383" t="s">
        <v>3990</v>
      </c>
      <c r="C383">
        <v>1581</v>
      </c>
      <c r="D383" t="s">
        <v>4185</v>
      </c>
      <c r="E383">
        <v>158102</v>
      </c>
      <c r="F383" t="s">
        <v>4187</v>
      </c>
      <c r="G383">
        <v>682</v>
      </c>
      <c r="H383">
        <v>1.6087790286357501E-7</v>
      </c>
    </row>
    <row r="384" spans="1:8">
      <c r="A384">
        <v>15</v>
      </c>
      <c r="B384" t="s">
        <v>3990</v>
      </c>
      <c r="C384">
        <v>1581</v>
      </c>
      <c r="D384" t="s">
        <v>4185</v>
      </c>
      <c r="E384">
        <v>158103</v>
      </c>
      <c r="F384" t="s">
        <v>4188</v>
      </c>
      <c r="G384">
        <v>5912</v>
      </c>
      <c r="H384">
        <v>1.39458967995521E-6</v>
      </c>
    </row>
    <row r="385" spans="1:8">
      <c r="A385">
        <v>15</v>
      </c>
      <c r="B385" t="s">
        <v>3990</v>
      </c>
      <c r="C385">
        <v>1581</v>
      </c>
      <c r="D385" t="s">
        <v>4185</v>
      </c>
      <c r="E385">
        <v>158104</v>
      </c>
      <c r="F385" t="s">
        <v>4189</v>
      </c>
      <c r="G385">
        <v>578024</v>
      </c>
      <c r="H385">
        <v>1.36350863526121E-4</v>
      </c>
    </row>
    <row r="386" spans="1:8">
      <c r="A386">
        <v>15</v>
      </c>
      <c r="B386" t="s">
        <v>3990</v>
      </c>
      <c r="C386">
        <v>1581</v>
      </c>
      <c r="D386" t="s">
        <v>4185</v>
      </c>
      <c r="E386">
        <v>158105</v>
      </c>
      <c r="F386" t="s">
        <v>4190</v>
      </c>
      <c r="G386">
        <v>307399</v>
      </c>
      <c r="H386">
        <v>7.25127660738418E-5</v>
      </c>
    </row>
    <row r="387" spans="1:8">
      <c r="A387">
        <v>15</v>
      </c>
      <c r="B387" t="s">
        <v>3990</v>
      </c>
      <c r="C387">
        <v>1581</v>
      </c>
      <c r="D387" t="s">
        <v>4185</v>
      </c>
      <c r="E387">
        <v>158106</v>
      </c>
      <c r="F387" t="s">
        <v>4191</v>
      </c>
      <c r="G387">
        <v>40.999999999999901</v>
      </c>
      <c r="H387">
        <v>9.6715454800683002E-9</v>
      </c>
    </row>
    <row r="388" spans="1:8">
      <c r="A388">
        <v>15</v>
      </c>
      <c r="B388" t="s">
        <v>3990</v>
      </c>
      <c r="C388">
        <v>1581</v>
      </c>
      <c r="D388" t="s">
        <v>4185</v>
      </c>
      <c r="E388">
        <v>158107</v>
      </c>
      <c r="F388" t="s">
        <v>4192</v>
      </c>
      <c r="G388">
        <v>368445</v>
      </c>
      <c r="H388">
        <v>8.6912989619603994E-5</v>
      </c>
    </row>
    <row r="389" spans="1:8">
      <c r="A389">
        <v>15</v>
      </c>
      <c r="B389" t="s">
        <v>3990</v>
      </c>
      <c r="C389">
        <v>1581</v>
      </c>
      <c r="D389" t="s">
        <v>4185</v>
      </c>
      <c r="E389">
        <v>158108</v>
      </c>
      <c r="F389" t="s">
        <v>4193</v>
      </c>
      <c r="G389">
        <v>331450</v>
      </c>
      <c r="H389">
        <v>7.8186189008991102E-5</v>
      </c>
    </row>
    <row r="390" spans="1:8">
      <c r="A390">
        <v>15</v>
      </c>
      <c r="B390" t="s">
        <v>3990</v>
      </c>
      <c r="C390">
        <v>1581</v>
      </c>
      <c r="D390" t="s">
        <v>4185</v>
      </c>
      <c r="E390">
        <v>158109</v>
      </c>
      <c r="F390" t="s">
        <v>4194</v>
      </c>
      <c r="G390">
        <v>3537</v>
      </c>
      <c r="H390">
        <v>8.3434771617076997E-7</v>
      </c>
    </row>
    <row r="391" spans="1:8">
      <c r="A391">
        <v>15</v>
      </c>
      <c r="B391" t="s">
        <v>3990</v>
      </c>
      <c r="C391">
        <v>1581</v>
      </c>
      <c r="D391" t="s">
        <v>4185</v>
      </c>
      <c r="E391">
        <v>158110</v>
      </c>
      <c r="F391" t="s">
        <v>4195</v>
      </c>
      <c r="G391">
        <v>54004893</v>
      </c>
      <c r="H391">
        <v>1.2739287287700501E-2</v>
      </c>
    </row>
    <row r="392" spans="1:8">
      <c r="A392">
        <v>15</v>
      </c>
      <c r="B392" t="s">
        <v>3990</v>
      </c>
      <c r="C392">
        <v>1581</v>
      </c>
      <c r="D392" t="s">
        <v>4185</v>
      </c>
      <c r="E392">
        <v>158111</v>
      </c>
      <c r="F392" t="s">
        <v>4196</v>
      </c>
      <c r="G392">
        <v>252953</v>
      </c>
      <c r="H392">
        <v>5.9669425459017403E-5</v>
      </c>
    </row>
    <row r="393" spans="1:8">
      <c r="A393">
        <v>15</v>
      </c>
      <c r="B393" t="s">
        <v>3990</v>
      </c>
      <c r="C393">
        <v>1581</v>
      </c>
      <c r="D393" t="s">
        <v>4185</v>
      </c>
      <c r="E393">
        <v>158112</v>
      </c>
      <c r="F393" t="s">
        <v>4197</v>
      </c>
      <c r="G393">
        <v>92</v>
      </c>
      <c r="H393">
        <v>2.1702004491860501E-8</v>
      </c>
    </row>
    <row r="394" spans="1:8">
      <c r="A394">
        <v>15</v>
      </c>
      <c r="B394" t="s">
        <v>3990</v>
      </c>
      <c r="C394">
        <v>1581</v>
      </c>
      <c r="D394" t="s">
        <v>4185</v>
      </c>
      <c r="E394">
        <v>158113</v>
      </c>
      <c r="F394" t="s">
        <v>4198</v>
      </c>
      <c r="G394">
        <v>4346231</v>
      </c>
      <c r="H394">
        <v>1.02523831178982E-3</v>
      </c>
    </row>
    <row r="395" spans="1:8">
      <c r="A395">
        <v>15</v>
      </c>
      <c r="B395" t="s">
        <v>3990</v>
      </c>
      <c r="C395">
        <v>1582</v>
      </c>
      <c r="D395" t="s">
        <v>4199</v>
      </c>
      <c r="E395">
        <v>158201</v>
      </c>
      <c r="F395" t="s">
        <v>4200</v>
      </c>
      <c r="G395">
        <v>59405635</v>
      </c>
      <c r="H395">
        <v>1.40132756262155E-2</v>
      </c>
    </row>
    <row r="396" spans="1:8">
      <c r="A396">
        <v>15</v>
      </c>
      <c r="B396" t="s">
        <v>3990</v>
      </c>
      <c r="C396">
        <v>1582</v>
      </c>
      <c r="D396" t="s">
        <v>4199</v>
      </c>
      <c r="E396">
        <v>158202</v>
      </c>
      <c r="F396" t="s">
        <v>4201</v>
      </c>
      <c r="G396">
        <v>69282654</v>
      </c>
      <c r="H396">
        <v>1.6343179003435002E-2</v>
      </c>
    </row>
    <row r="397" spans="1:8">
      <c r="A397">
        <v>15</v>
      </c>
      <c r="B397" t="s">
        <v>3990</v>
      </c>
      <c r="C397">
        <v>1582</v>
      </c>
      <c r="D397" t="s">
        <v>4199</v>
      </c>
      <c r="E397">
        <v>158203</v>
      </c>
      <c r="F397" t="s">
        <v>4202</v>
      </c>
      <c r="G397">
        <v>83761420</v>
      </c>
      <c r="H397">
        <v>1.9758594707441499E-2</v>
      </c>
    </row>
    <row r="398" spans="1:8">
      <c r="A398">
        <v>15</v>
      </c>
      <c r="B398" t="s">
        <v>3990</v>
      </c>
      <c r="C398">
        <v>1582</v>
      </c>
      <c r="D398" t="s">
        <v>4199</v>
      </c>
      <c r="E398">
        <v>158204</v>
      </c>
      <c r="F398" t="s">
        <v>4203</v>
      </c>
      <c r="G398">
        <v>68023317</v>
      </c>
      <c r="H398">
        <v>1.6046112294404901E-2</v>
      </c>
    </row>
    <row r="399" spans="1:8">
      <c r="A399">
        <v>15</v>
      </c>
      <c r="B399" t="s">
        <v>3990</v>
      </c>
      <c r="C399">
        <v>1582</v>
      </c>
      <c r="D399" t="s">
        <v>4199</v>
      </c>
      <c r="E399">
        <v>158205</v>
      </c>
      <c r="F399" t="s">
        <v>4204</v>
      </c>
      <c r="G399">
        <v>77888603</v>
      </c>
      <c r="H399">
        <v>1.8373247958377598E-2</v>
      </c>
    </row>
    <row r="400" spans="1:8">
      <c r="A400">
        <v>15</v>
      </c>
      <c r="B400" t="s">
        <v>3990</v>
      </c>
      <c r="C400">
        <v>1582</v>
      </c>
      <c r="D400" t="s">
        <v>4199</v>
      </c>
      <c r="E400">
        <v>158206</v>
      </c>
      <c r="F400" t="s">
        <v>4205</v>
      </c>
      <c r="G400">
        <v>4642908</v>
      </c>
      <c r="H400">
        <v>1.09522185077495E-3</v>
      </c>
    </row>
    <row r="401" spans="1:8">
      <c r="A401">
        <v>15</v>
      </c>
      <c r="B401" t="s">
        <v>3990</v>
      </c>
      <c r="C401">
        <v>1582</v>
      </c>
      <c r="D401" t="s">
        <v>4199</v>
      </c>
      <c r="E401">
        <v>158207</v>
      </c>
      <c r="F401" t="s">
        <v>4206</v>
      </c>
      <c r="G401">
        <v>139121901</v>
      </c>
      <c r="H401">
        <v>3.2817653482806297E-2</v>
      </c>
    </row>
    <row r="402" spans="1:8">
      <c r="A402">
        <v>15</v>
      </c>
      <c r="B402" t="s">
        <v>3990</v>
      </c>
      <c r="C402">
        <v>1582</v>
      </c>
      <c r="D402" t="s">
        <v>4199</v>
      </c>
      <c r="E402">
        <v>158208</v>
      </c>
      <c r="F402" t="s">
        <v>4207</v>
      </c>
      <c r="G402">
        <v>46429789</v>
      </c>
      <c r="H402">
        <v>1.09523857547189E-2</v>
      </c>
    </row>
    <row r="403" spans="1:8">
      <c r="A403">
        <v>15</v>
      </c>
      <c r="B403" t="s">
        <v>3990</v>
      </c>
      <c r="C403">
        <v>1582</v>
      </c>
      <c r="D403" t="s">
        <v>4199</v>
      </c>
      <c r="E403">
        <v>158209</v>
      </c>
      <c r="F403" t="s">
        <v>4208</v>
      </c>
      <c r="G403">
        <v>4384121</v>
      </c>
      <c r="H403">
        <v>1.03417623516152E-3</v>
      </c>
    </row>
    <row r="404" spans="1:8">
      <c r="A404">
        <v>15</v>
      </c>
      <c r="B404" t="s">
        <v>3990</v>
      </c>
      <c r="C404">
        <v>1582</v>
      </c>
      <c r="D404" t="s">
        <v>4199</v>
      </c>
      <c r="E404">
        <v>158210</v>
      </c>
      <c r="F404" t="s">
        <v>4209</v>
      </c>
      <c r="G404">
        <v>1824907</v>
      </c>
      <c r="H404">
        <v>4.3047978164378003E-4</v>
      </c>
    </row>
    <row r="405" spans="1:8">
      <c r="A405">
        <v>15</v>
      </c>
      <c r="B405" t="s">
        <v>3990</v>
      </c>
      <c r="C405">
        <v>1582</v>
      </c>
      <c r="D405" t="s">
        <v>4199</v>
      </c>
      <c r="E405">
        <v>158211</v>
      </c>
      <c r="F405" t="s">
        <v>4210</v>
      </c>
      <c r="G405">
        <v>66552907</v>
      </c>
      <c r="H405">
        <v>1.56992552897867E-2</v>
      </c>
    </row>
    <row r="406" spans="1:8">
      <c r="A406">
        <v>15</v>
      </c>
      <c r="B406" t="s">
        <v>3990</v>
      </c>
      <c r="C406">
        <v>1582</v>
      </c>
      <c r="D406" t="s">
        <v>4199</v>
      </c>
      <c r="E406">
        <v>158212</v>
      </c>
      <c r="F406" t="s">
        <v>4211</v>
      </c>
      <c r="G406">
        <v>278081281</v>
      </c>
      <c r="H406">
        <v>6.5596969667003693E-2</v>
      </c>
    </row>
    <row r="407" spans="1:8">
      <c r="A407">
        <v>15</v>
      </c>
      <c r="B407" t="s">
        <v>3990</v>
      </c>
      <c r="C407">
        <v>1582</v>
      </c>
      <c r="D407" t="s">
        <v>4199</v>
      </c>
      <c r="E407">
        <v>158213</v>
      </c>
      <c r="F407" t="s">
        <v>4212</v>
      </c>
      <c r="G407">
        <v>11957740</v>
      </c>
      <c r="H407">
        <v>2.8207274694837E-3</v>
      </c>
    </row>
    <row r="408" spans="1:8">
      <c r="A408">
        <v>15</v>
      </c>
      <c r="B408" t="s">
        <v>3990</v>
      </c>
      <c r="C408">
        <v>1582</v>
      </c>
      <c r="D408" t="s">
        <v>4199</v>
      </c>
      <c r="E408">
        <v>158214</v>
      </c>
      <c r="F408" t="s">
        <v>4213</v>
      </c>
      <c r="G408">
        <v>17459748</v>
      </c>
      <c r="H408">
        <v>4.1186035817690602E-3</v>
      </c>
    </row>
    <row r="409" spans="1:8">
      <c r="A409">
        <v>15</v>
      </c>
      <c r="B409" t="s">
        <v>3990</v>
      </c>
      <c r="C409">
        <v>1582</v>
      </c>
      <c r="D409" t="s">
        <v>4199</v>
      </c>
      <c r="E409">
        <v>158215</v>
      </c>
      <c r="F409" t="s">
        <v>4214</v>
      </c>
      <c r="G409">
        <v>197335303</v>
      </c>
      <c r="H409">
        <v>4.6549691653354999E-2</v>
      </c>
    </row>
    <row r="410" spans="1:8">
      <c r="A410">
        <v>15</v>
      </c>
      <c r="B410" t="s">
        <v>3990</v>
      </c>
      <c r="C410">
        <v>1583</v>
      </c>
      <c r="D410" t="s">
        <v>4215</v>
      </c>
      <c r="E410">
        <v>158301</v>
      </c>
      <c r="F410" t="s">
        <v>4216</v>
      </c>
      <c r="G410">
        <v>236397702</v>
      </c>
      <c r="H410">
        <v>5.5764173811625198E-2</v>
      </c>
    </row>
    <row r="411" spans="1:8">
      <c r="A411">
        <v>15</v>
      </c>
      <c r="B411" t="s">
        <v>3990</v>
      </c>
      <c r="C411">
        <v>1583</v>
      </c>
      <c r="D411" t="s">
        <v>4215</v>
      </c>
      <c r="E411">
        <v>158302</v>
      </c>
      <c r="F411" t="s">
        <v>4217</v>
      </c>
      <c r="G411">
        <v>440941533</v>
      </c>
      <c r="H411">
        <v>0.104014294889281</v>
      </c>
    </row>
    <row r="412" spans="1:8">
      <c r="A412">
        <v>15</v>
      </c>
      <c r="B412" t="s">
        <v>3990</v>
      </c>
      <c r="C412">
        <v>1583</v>
      </c>
      <c r="D412" t="s">
        <v>4215</v>
      </c>
      <c r="E412">
        <v>158303</v>
      </c>
      <c r="F412" t="s">
        <v>4218</v>
      </c>
      <c r="G412">
        <v>24694940</v>
      </c>
      <c r="H412">
        <v>5.82532281311116E-3</v>
      </c>
    </row>
    <row r="413" spans="1:8">
      <c r="A413">
        <v>15</v>
      </c>
      <c r="B413" t="s">
        <v>3990</v>
      </c>
      <c r="C413">
        <v>1583</v>
      </c>
      <c r="D413" t="s">
        <v>4215</v>
      </c>
      <c r="E413">
        <v>158304</v>
      </c>
      <c r="F413" t="s">
        <v>4219</v>
      </c>
      <c r="G413">
        <v>467185</v>
      </c>
      <c r="H413">
        <v>1.1020490183184599E-4</v>
      </c>
    </row>
    <row r="414" spans="1:8">
      <c r="A414">
        <v>15</v>
      </c>
      <c r="B414" t="s">
        <v>3990</v>
      </c>
      <c r="C414">
        <v>1583</v>
      </c>
      <c r="D414" t="s">
        <v>4215</v>
      </c>
      <c r="E414">
        <v>158305</v>
      </c>
      <c r="F414" t="s">
        <v>4220</v>
      </c>
      <c r="G414">
        <v>6021447</v>
      </c>
      <c r="H414">
        <v>1.42040728088587E-3</v>
      </c>
    </row>
    <row r="415" spans="1:8">
      <c r="A415">
        <v>15</v>
      </c>
      <c r="B415" t="s">
        <v>3990</v>
      </c>
      <c r="C415">
        <v>1583</v>
      </c>
      <c r="D415" t="s">
        <v>4215</v>
      </c>
      <c r="E415">
        <v>158306</v>
      </c>
      <c r="F415" t="s">
        <v>4221</v>
      </c>
      <c r="G415">
        <v>10543970</v>
      </c>
      <c r="H415">
        <v>2.4872313511091599E-3</v>
      </c>
    </row>
    <row r="416" spans="1:8">
      <c r="A416">
        <v>15</v>
      </c>
      <c r="B416" t="s">
        <v>3990</v>
      </c>
      <c r="C416">
        <v>1583</v>
      </c>
      <c r="D416" t="s">
        <v>4215</v>
      </c>
      <c r="E416">
        <v>158307</v>
      </c>
      <c r="F416" t="s">
        <v>4222</v>
      </c>
      <c r="G416">
        <v>37124043</v>
      </c>
      <c r="H416">
        <v>8.7572407385002708E-3</v>
      </c>
    </row>
    <row r="417" spans="1:12">
      <c r="A417">
        <v>15</v>
      </c>
      <c r="B417" t="s">
        <v>3990</v>
      </c>
      <c r="C417">
        <v>1583</v>
      </c>
      <c r="D417" t="s">
        <v>4215</v>
      </c>
      <c r="E417">
        <v>158308</v>
      </c>
      <c r="F417" t="s">
        <v>4223</v>
      </c>
      <c r="G417">
        <v>44536800</v>
      </c>
      <c r="H417">
        <v>1.05058460179684E-2</v>
      </c>
    </row>
    <row r="418" spans="1:12">
      <c r="A418">
        <v>15</v>
      </c>
      <c r="B418" t="s">
        <v>3990</v>
      </c>
      <c r="C418">
        <v>1583</v>
      </c>
      <c r="D418" t="s">
        <v>4215</v>
      </c>
      <c r="E418">
        <v>158309</v>
      </c>
      <c r="F418" t="s">
        <v>4224</v>
      </c>
      <c r="G418">
        <v>43134124</v>
      </c>
      <c r="H418">
        <v>1.01749668782659E-2</v>
      </c>
    </row>
    <row r="419" spans="1:12">
      <c r="A419">
        <v>15</v>
      </c>
      <c r="B419" t="s">
        <v>3990</v>
      </c>
      <c r="C419">
        <v>1583</v>
      </c>
      <c r="D419" t="s">
        <v>4215</v>
      </c>
      <c r="E419">
        <v>158310</v>
      </c>
      <c r="F419" t="s">
        <v>4225</v>
      </c>
      <c r="G419">
        <v>8156688</v>
      </c>
      <c r="H419">
        <v>1.9240921697250501E-3</v>
      </c>
    </row>
    <row r="420" spans="1:12">
      <c r="A420">
        <v>15</v>
      </c>
      <c r="B420" t="s">
        <v>3990</v>
      </c>
      <c r="C420">
        <v>1583</v>
      </c>
      <c r="D420" t="s">
        <v>4215</v>
      </c>
      <c r="E420">
        <v>158311</v>
      </c>
      <c r="F420" t="s">
        <v>4226</v>
      </c>
      <c r="G420">
        <v>115517211</v>
      </c>
      <c r="H420">
        <v>2.72495112174913E-2</v>
      </c>
    </row>
    <row r="422" spans="1:12">
      <c r="D422" t="s">
        <v>4227</v>
      </c>
      <c r="L422" s="49"/>
    </row>
    <row r="423" spans="1:12">
      <c r="L423" s="49"/>
    </row>
    <row r="424" spans="1:12">
      <c r="L424" s="49"/>
    </row>
  </sheetData>
  <pageMargins left="0.7" right="0.7" top="0.75" bottom="0.75" header="0.3" footer="0.3"/>
  <pageSetup orientation="portrait" r:id="rId1"/>
  <headerFooter>
    <oddFooter>&amp;R_x000D_&amp;1#&amp;"Aptos"&amp;10&amp;K000000 Official Use Only</oddFooter>
  </headerFooter>
  <ignoredErrors>
    <ignoredError sqref="I239 B239" formula="1"/>
  </ignoredError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F283E-FC83-4462-ADBD-ADBF261E7435}">
  <dimension ref="A1:AH2828"/>
  <sheetViews>
    <sheetView workbookViewId="0">
      <pane xSplit="2" ySplit="1" topLeftCell="C2" activePane="bottomRight" state="frozen"/>
      <selection pane="bottomRight" activeCell="C34" sqref="C34"/>
      <selection pane="bottomLeft" activeCell="C2" sqref="C2"/>
      <selection pane="topRight" activeCell="C2" sqref="C2"/>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4235</v>
      </c>
      <c r="B10" s="801" t="s">
        <v>4236</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4241</v>
      </c>
      <c r="B15" s="808" t="s">
        <v>4242</v>
      </c>
      <c r="C15" s="809">
        <v>772.46887200000003</v>
      </c>
      <c r="D15" s="809">
        <v>839.67993200000001</v>
      </c>
      <c r="E15" s="809">
        <v>835.56805399999996</v>
      </c>
      <c r="F15" s="809">
        <v>832.39215100000001</v>
      </c>
      <c r="G15" s="809">
        <v>829.06683299999997</v>
      </c>
      <c r="H15" s="809">
        <v>826.93988000000002</v>
      </c>
      <c r="I15" s="809">
        <v>824.657104</v>
      </c>
      <c r="J15" s="809">
        <v>821.24591099999998</v>
      </c>
      <c r="K15" s="809">
        <v>815.68444799999997</v>
      </c>
      <c r="L15" s="809">
        <v>810.43554700000004</v>
      </c>
      <c r="M15" s="809">
        <v>807.50134300000002</v>
      </c>
      <c r="N15" s="809">
        <v>805.01220699999999</v>
      </c>
      <c r="O15" s="809">
        <v>803.82550000000003</v>
      </c>
      <c r="P15" s="809">
        <v>801.60705600000006</v>
      </c>
      <c r="Q15" s="809">
        <v>799.54010000000005</v>
      </c>
      <c r="R15" s="809">
        <v>798.39446999999996</v>
      </c>
      <c r="S15" s="809">
        <v>797.60571300000004</v>
      </c>
      <c r="T15" s="809">
        <v>798.13757299999997</v>
      </c>
      <c r="U15" s="809">
        <v>799.69812000000002</v>
      </c>
      <c r="V15" s="809">
        <v>801.39166299999999</v>
      </c>
      <c r="W15" s="809">
        <v>803.83239700000001</v>
      </c>
      <c r="X15" s="809">
        <v>806.45361300000002</v>
      </c>
      <c r="Y15" s="809">
        <v>809.37402299999997</v>
      </c>
      <c r="Z15" s="809">
        <v>811.54797399999995</v>
      </c>
      <c r="AA15" s="809">
        <v>815.90722700000003</v>
      </c>
      <c r="AB15" s="809">
        <v>820.65881300000001</v>
      </c>
      <c r="AC15" s="809">
        <v>823.51312299999995</v>
      </c>
      <c r="AD15" s="809">
        <v>828.04888900000003</v>
      </c>
      <c r="AE15" s="809">
        <v>836.25622599999997</v>
      </c>
      <c r="AF15" s="810">
        <v>2.8379999999999998E-3</v>
      </c>
      <c r="AG15" s="802"/>
    </row>
    <row r="16" spans="1:33" ht="15" customHeight="1">
      <c r="B16" s="808" t="s">
        <v>4243</v>
      </c>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A17" s="800" t="s">
        <v>4244</v>
      </c>
      <c r="B17" s="808" t="s">
        <v>4245</v>
      </c>
      <c r="C17" s="811">
        <v>15.926788</v>
      </c>
      <c r="D17" s="811">
        <v>16.784769000000001</v>
      </c>
      <c r="E17" s="811">
        <v>17.210778999999999</v>
      </c>
      <c r="F17" s="811">
        <v>17.274854999999999</v>
      </c>
      <c r="G17" s="811">
        <v>17.315328999999998</v>
      </c>
      <c r="H17" s="811">
        <v>17.467621000000001</v>
      </c>
      <c r="I17" s="811">
        <v>17.533518000000001</v>
      </c>
      <c r="J17" s="811">
        <v>17.590001999999998</v>
      </c>
      <c r="K17" s="811">
        <v>17.596128</v>
      </c>
      <c r="L17" s="811">
        <v>17.576703999999999</v>
      </c>
      <c r="M17" s="811">
        <v>17.564167000000001</v>
      </c>
      <c r="N17" s="811">
        <v>17.542175</v>
      </c>
      <c r="O17" s="811">
        <v>17.559013</v>
      </c>
      <c r="P17" s="811">
        <v>17.573502999999999</v>
      </c>
      <c r="Q17" s="811">
        <v>17.553329000000002</v>
      </c>
      <c r="R17" s="811">
        <v>17.525976</v>
      </c>
      <c r="S17" s="811">
        <v>17.551762</v>
      </c>
      <c r="T17" s="811">
        <v>17.553747000000001</v>
      </c>
      <c r="U17" s="811">
        <v>17.559426999999999</v>
      </c>
      <c r="V17" s="811">
        <v>17.572374</v>
      </c>
      <c r="W17" s="811">
        <v>17.584109999999999</v>
      </c>
      <c r="X17" s="811">
        <v>17.555267000000001</v>
      </c>
      <c r="Y17" s="811">
        <v>17.595018</v>
      </c>
      <c r="Z17" s="811">
        <v>17.568553999999999</v>
      </c>
      <c r="AA17" s="811">
        <v>17.604202000000001</v>
      </c>
      <c r="AB17" s="811">
        <v>17.551660999999999</v>
      </c>
      <c r="AC17" s="811">
        <v>17.533842</v>
      </c>
      <c r="AD17" s="811">
        <v>17.552762999999999</v>
      </c>
      <c r="AE17" s="811">
        <v>17.49287</v>
      </c>
      <c r="AF17" s="810">
        <v>3.3549999999999999E-3</v>
      </c>
      <c r="AG17" s="802"/>
    </row>
    <row r="18" spans="1:33" ht="15" customHeight="1">
      <c r="B18" s="802"/>
      <c r="C18" s="802"/>
      <c r="D18" s="802"/>
      <c r="E18" s="802"/>
      <c r="F18" s="802"/>
      <c r="G18" s="802"/>
      <c r="H18" s="802"/>
      <c r="I18" s="802"/>
      <c r="J18" s="802"/>
      <c r="K18" s="802"/>
      <c r="L18" s="802"/>
      <c r="M18" s="802"/>
      <c r="N18" s="802"/>
      <c r="O18" s="802"/>
      <c r="P18" s="802"/>
      <c r="Q18" s="802"/>
      <c r="R18" s="802"/>
      <c r="S18" s="802"/>
      <c r="T18" s="802"/>
      <c r="U18" s="802"/>
      <c r="V18" s="802"/>
      <c r="W18" s="802"/>
      <c r="X18" s="802"/>
      <c r="Y18" s="802"/>
      <c r="Z18" s="802"/>
      <c r="AA18" s="802"/>
      <c r="AB18" s="802"/>
      <c r="AC18" s="802"/>
      <c r="AD18" s="802"/>
      <c r="AE18" s="802"/>
      <c r="AF18" s="802"/>
      <c r="AG18" s="802"/>
    </row>
    <row r="19" spans="1:33" ht="15" customHeight="1">
      <c r="B19" s="808" t="s">
        <v>4246</v>
      </c>
      <c r="C19" s="802"/>
      <c r="D19" s="802"/>
      <c r="E19" s="802"/>
      <c r="F19" s="802"/>
      <c r="G19" s="802"/>
      <c r="H19" s="802"/>
      <c r="I19" s="802"/>
      <c r="J19" s="802"/>
      <c r="K19" s="802"/>
      <c r="L19" s="802"/>
      <c r="M19" s="802"/>
      <c r="N19" s="802"/>
      <c r="O19" s="802"/>
      <c r="P19" s="802"/>
      <c r="Q19" s="802"/>
      <c r="R19" s="802"/>
      <c r="S19" s="802"/>
      <c r="T19" s="802"/>
      <c r="U19" s="802"/>
      <c r="V19" s="802"/>
      <c r="W19" s="802"/>
      <c r="X19" s="802"/>
      <c r="Y19" s="802"/>
      <c r="Z19" s="802"/>
      <c r="AA19" s="802"/>
      <c r="AB19" s="802"/>
      <c r="AC19" s="802"/>
      <c r="AD19" s="802"/>
      <c r="AE19" s="802"/>
      <c r="AF19" s="802"/>
      <c r="AG19" s="802"/>
    </row>
    <row r="20" spans="1:33" ht="15" customHeight="1">
      <c r="A20" s="800" t="s">
        <v>4247</v>
      </c>
      <c r="B20" s="812" t="s">
        <v>4248</v>
      </c>
      <c r="C20" s="813">
        <v>0.214</v>
      </c>
      <c r="D20" s="813">
        <v>0.20100000000000001</v>
      </c>
      <c r="E20" s="813">
        <v>0</v>
      </c>
      <c r="F20" s="813">
        <v>0</v>
      </c>
      <c r="G20" s="813">
        <v>0</v>
      </c>
      <c r="H20" s="813">
        <v>0</v>
      </c>
      <c r="I20" s="813">
        <v>0</v>
      </c>
      <c r="J20" s="813">
        <v>0</v>
      </c>
      <c r="K20" s="813">
        <v>0</v>
      </c>
      <c r="L20" s="813">
        <v>0</v>
      </c>
      <c r="M20" s="813">
        <v>0</v>
      </c>
      <c r="N20" s="813">
        <v>0</v>
      </c>
      <c r="O20" s="813">
        <v>0</v>
      </c>
      <c r="P20" s="813">
        <v>0</v>
      </c>
      <c r="Q20" s="813">
        <v>0</v>
      </c>
      <c r="R20" s="813">
        <v>0</v>
      </c>
      <c r="S20" s="813">
        <v>0</v>
      </c>
      <c r="T20" s="813">
        <v>0</v>
      </c>
      <c r="U20" s="813">
        <v>0</v>
      </c>
      <c r="V20" s="813">
        <v>0</v>
      </c>
      <c r="W20" s="813">
        <v>0</v>
      </c>
      <c r="X20" s="813">
        <v>0</v>
      </c>
      <c r="Y20" s="813">
        <v>0</v>
      </c>
      <c r="Z20" s="813">
        <v>0</v>
      </c>
      <c r="AA20" s="813">
        <v>0</v>
      </c>
      <c r="AB20" s="813">
        <v>0</v>
      </c>
      <c r="AC20" s="813">
        <v>0</v>
      </c>
      <c r="AD20" s="813">
        <v>0</v>
      </c>
      <c r="AE20" s="813">
        <v>0</v>
      </c>
      <c r="AF20" s="814" t="s">
        <v>2805</v>
      </c>
      <c r="AG20" s="802"/>
    </row>
    <row r="21" spans="1:33" ht="15" customHeight="1">
      <c r="A21" s="800" t="s">
        <v>4249</v>
      </c>
      <c r="B21" s="812" t="s">
        <v>4250</v>
      </c>
      <c r="C21" s="813">
        <v>1.625</v>
      </c>
      <c r="D21" s="813">
        <v>1.4039999999999999</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5" customHeight="1">
      <c r="A22" s="800" t="s">
        <v>4251</v>
      </c>
      <c r="B22" s="812" t="s">
        <v>4252</v>
      </c>
      <c r="C22" s="813">
        <v>6.8129999999999997</v>
      </c>
      <c r="D22" s="813">
        <v>4.7629999999999999</v>
      </c>
      <c r="E22" s="813">
        <v>0</v>
      </c>
      <c r="F22" s="813">
        <v>0</v>
      </c>
      <c r="G22" s="813">
        <v>0</v>
      </c>
      <c r="H22" s="813">
        <v>0</v>
      </c>
      <c r="I22" s="813">
        <v>0</v>
      </c>
      <c r="J22" s="813">
        <v>0</v>
      </c>
      <c r="K22" s="813">
        <v>0</v>
      </c>
      <c r="L22" s="813">
        <v>0</v>
      </c>
      <c r="M22" s="813">
        <v>0</v>
      </c>
      <c r="N22" s="813">
        <v>0</v>
      </c>
      <c r="O22" s="813">
        <v>0</v>
      </c>
      <c r="P22" s="813">
        <v>0</v>
      </c>
      <c r="Q22" s="813">
        <v>0</v>
      </c>
      <c r="R22" s="813">
        <v>0</v>
      </c>
      <c r="S22" s="813">
        <v>0</v>
      </c>
      <c r="T22" s="813">
        <v>0</v>
      </c>
      <c r="U22" s="813">
        <v>0</v>
      </c>
      <c r="V22" s="813">
        <v>0</v>
      </c>
      <c r="W22" s="813">
        <v>0</v>
      </c>
      <c r="X22" s="813">
        <v>0</v>
      </c>
      <c r="Y22" s="813">
        <v>0</v>
      </c>
      <c r="Z22" s="813">
        <v>0</v>
      </c>
      <c r="AA22" s="813">
        <v>0</v>
      </c>
      <c r="AB22" s="813">
        <v>0</v>
      </c>
      <c r="AC22" s="813">
        <v>0</v>
      </c>
      <c r="AD22" s="813">
        <v>0</v>
      </c>
      <c r="AE22" s="813">
        <v>0</v>
      </c>
      <c r="AF22" s="814" t="s">
        <v>2805</v>
      </c>
      <c r="AG22" s="802"/>
    </row>
    <row r="23" spans="1:33" ht="15" customHeight="1">
      <c r="A23" s="800" t="s">
        <v>4253</v>
      </c>
      <c r="B23" s="812" t="s">
        <v>4254</v>
      </c>
      <c r="C23" s="813">
        <v>432.87603799999999</v>
      </c>
      <c r="D23" s="813">
        <v>452.36099200000001</v>
      </c>
      <c r="E23" s="813">
        <v>505.33966099999998</v>
      </c>
      <c r="F23" s="813">
        <v>506.29278599999998</v>
      </c>
      <c r="G23" s="813">
        <v>502.45135499999998</v>
      </c>
      <c r="H23" s="813">
        <v>501.34359699999999</v>
      </c>
      <c r="I23" s="813">
        <v>502.26086400000003</v>
      </c>
      <c r="J23" s="813">
        <v>503.232574</v>
      </c>
      <c r="K23" s="813">
        <v>500.15142800000001</v>
      </c>
      <c r="L23" s="813">
        <v>497.76004</v>
      </c>
      <c r="M23" s="813">
        <v>497.44576999999998</v>
      </c>
      <c r="N23" s="813">
        <v>495.41232300000001</v>
      </c>
      <c r="O23" s="813">
        <v>494.57861300000002</v>
      </c>
      <c r="P23" s="813">
        <v>494.388214</v>
      </c>
      <c r="Q23" s="813">
        <v>495.086975</v>
      </c>
      <c r="R23" s="813">
        <v>492.07275399999997</v>
      </c>
      <c r="S23" s="813">
        <v>492.381439</v>
      </c>
      <c r="T23" s="813">
        <v>493.467896</v>
      </c>
      <c r="U23" s="813">
        <v>494.66592400000002</v>
      </c>
      <c r="V23" s="813">
        <v>492.77990699999998</v>
      </c>
      <c r="W23" s="813">
        <v>493.91744999999997</v>
      </c>
      <c r="X23" s="813">
        <v>490.07128899999998</v>
      </c>
      <c r="Y23" s="813">
        <v>489.88024899999999</v>
      </c>
      <c r="Z23" s="813">
        <v>489.72421300000002</v>
      </c>
      <c r="AA23" s="813">
        <v>491.003693</v>
      </c>
      <c r="AB23" s="813">
        <v>490.62988300000001</v>
      </c>
      <c r="AC23" s="813">
        <v>494.089539</v>
      </c>
      <c r="AD23" s="813">
        <v>496.65966800000001</v>
      </c>
      <c r="AE23" s="813">
        <v>494.59353599999997</v>
      </c>
      <c r="AF23" s="814">
        <v>4.7710000000000001E-3</v>
      </c>
      <c r="AG23" s="802"/>
    </row>
    <row r="24" spans="1:33" ht="15" customHeight="1">
      <c r="A24" s="800" t="s">
        <v>4255</v>
      </c>
      <c r="B24" s="812" t="s">
        <v>4256</v>
      </c>
      <c r="C24" s="813">
        <v>1307.035034</v>
      </c>
      <c r="D24" s="813">
        <v>1364.159058</v>
      </c>
      <c r="E24" s="813">
        <v>1315.4326169999999</v>
      </c>
      <c r="F24" s="813">
        <v>1310.8500979999999</v>
      </c>
      <c r="G24" s="813">
        <v>1334.8823239999999</v>
      </c>
      <c r="H24" s="813">
        <v>1340.1994629999999</v>
      </c>
      <c r="I24" s="813">
        <v>1367.390625</v>
      </c>
      <c r="J24" s="813">
        <v>1371.9335940000001</v>
      </c>
      <c r="K24" s="813">
        <v>1380.356689</v>
      </c>
      <c r="L24" s="813">
        <v>1381.6195070000001</v>
      </c>
      <c r="M24" s="813">
        <v>1393.3657229999999</v>
      </c>
      <c r="N24" s="813">
        <v>1388.874634</v>
      </c>
      <c r="O24" s="813">
        <v>1409.7974850000001</v>
      </c>
      <c r="P24" s="813">
        <v>1413.0198969999999</v>
      </c>
      <c r="Q24" s="813">
        <v>1410.4488530000001</v>
      </c>
      <c r="R24" s="813">
        <v>1422.0357670000001</v>
      </c>
      <c r="S24" s="813">
        <v>1424.1060789999999</v>
      </c>
      <c r="T24" s="813">
        <v>1433.722168</v>
      </c>
      <c r="U24" s="813">
        <v>1437.4185789999999</v>
      </c>
      <c r="V24" s="813">
        <v>1441.903442</v>
      </c>
      <c r="W24" s="813">
        <v>1444.0473629999999</v>
      </c>
      <c r="X24" s="813">
        <v>1446.997437</v>
      </c>
      <c r="Y24" s="813">
        <v>1446.597168</v>
      </c>
      <c r="Z24" s="813">
        <v>1446.1514890000001</v>
      </c>
      <c r="AA24" s="813">
        <v>1433.907837</v>
      </c>
      <c r="AB24" s="813">
        <v>1432.0045170000001</v>
      </c>
      <c r="AC24" s="813">
        <v>1426.540894</v>
      </c>
      <c r="AD24" s="813">
        <v>1423.6448969999999</v>
      </c>
      <c r="AE24" s="813">
        <v>1412.465942</v>
      </c>
      <c r="AF24" s="814">
        <v>2.774E-3</v>
      </c>
      <c r="AG24" s="802"/>
    </row>
    <row r="25" spans="1:33" ht="15" customHeight="1">
      <c r="A25" s="800" t="s">
        <v>4257</v>
      </c>
      <c r="B25" s="812" t="s">
        <v>4258</v>
      </c>
      <c r="C25" s="813">
        <v>2.9580000000000002</v>
      </c>
      <c r="D25" s="813">
        <v>4.9889999999999999</v>
      </c>
      <c r="E25" s="813">
        <v>17.796140999999999</v>
      </c>
      <c r="F25" s="813">
        <v>14.548406</v>
      </c>
      <c r="G25" s="813">
        <v>3.0253429999999999</v>
      </c>
      <c r="H25" s="813">
        <v>4.9991099999999999</v>
      </c>
      <c r="I25" s="813">
        <v>4.8970000000000003E-3</v>
      </c>
      <c r="J25" s="813">
        <v>3.2530999999999997E-2</v>
      </c>
      <c r="K25" s="813">
        <v>1.8245000000000001E-2</v>
      </c>
      <c r="L25" s="813">
        <v>0</v>
      </c>
      <c r="M25" s="813">
        <v>2.7577999999999998E-2</v>
      </c>
      <c r="N25" s="813">
        <v>0</v>
      </c>
      <c r="O25" s="813">
        <v>0</v>
      </c>
      <c r="P25" s="813">
        <v>1.4940000000000001E-3</v>
      </c>
      <c r="Q25" s="813">
        <v>1.0083999999999999E-2</v>
      </c>
      <c r="R25" s="813">
        <v>0</v>
      </c>
      <c r="S25" s="813">
        <v>0</v>
      </c>
      <c r="T25" s="813">
        <v>0</v>
      </c>
      <c r="U25" s="813">
        <v>0</v>
      </c>
      <c r="V25" s="813">
        <v>3.1607599999999998</v>
      </c>
      <c r="W25" s="813">
        <v>5.9757980000000002</v>
      </c>
      <c r="X25" s="813">
        <v>10.116630000000001</v>
      </c>
      <c r="Y25" s="813">
        <v>13.934748000000001</v>
      </c>
      <c r="Z25" s="813">
        <v>17.016748</v>
      </c>
      <c r="AA25" s="813">
        <v>21.303995</v>
      </c>
      <c r="AB25" s="813">
        <v>21.332820999999999</v>
      </c>
      <c r="AC25" s="813">
        <v>19.626259000000001</v>
      </c>
      <c r="AD25" s="813">
        <v>17.717950999999999</v>
      </c>
      <c r="AE25" s="813">
        <v>18.740538000000001</v>
      </c>
      <c r="AF25" s="814">
        <v>6.8156999999999995E-2</v>
      </c>
      <c r="AG25" s="802"/>
    </row>
    <row r="26" spans="1:33" ht="15" customHeight="1">
      <c r="A26" s="800" t="s">
        <v>4259</v>
      </c>
      <c r="B26" s="812" t="s">
        <v>4260</v>
      </c>
      <c r="C26" s="813">
        <v>1751.5211179999999</v>
      </c>
      <c r="D26" s="813">
        <v>1827.8770750000001</v>
      </c>
      <c r="E26" s="813">
        <v>1838.5683590000001</v>
      </c>
      <c r="F26" s="813">
        <v>1831.691284</v>
      </c>
      <c r="G26" s="813">
        <v>1840.3591309999999</v>
      </c>
      <c r="H26" s="813">
        <v>1846.542236</v>
      </c>
      <c r="I26" s="813">
        <v>1869.6563719999999</v>
      </c>
      <c r="J26" s="813">
        <v>1875.1986079999999</v>
      </c>
      <c r="K26" s="813">
        <v>1880.526245</v>
      </c>
      <c r="L26" s="813">
        <v>1879.3795170000001</v>
      </c>
      <c r="M26" s="813">
        <v>1890.839111</v>
      </c>
      <c r="N26" s="813">
        <v>1884.286987</v>
      </c>
      <c r="O26" s="813">
        <v>1904.3760990000001</v>
      </c>
      <c r="P26" s="813">
        <v>1907.4095460000001</v>
      </c>
      <c r="Q26" s="813">
        <v>1905.5460210000001</v>
      </c>
      <c r="R26" s="813">
        <v>1914.1085210000001</v>
      </c>
      <c r="S26" s="813">
        <v>1916.4875489999999</v>
      </c>
      <c r="T26" s="813">
        <v>1927.190063</v>
      </c>
      <c r="U26" s="813">
        <v>1932.0844729999999</v>
      </c>
      <c r="V26" s="813">
        <v>1937.844116</v>
      </c>
      <c r="W26" s="813">
        <v>1943.9406739999999</v>
      </c>
      <c r="X26" s="813">
        <v>1947.185303</v>
      </c>
      <c r="Y26" s="813">
        <v>1950.4121090000001</v>
      </c>
      <c r="Z26" s="813">
        <v>1952.892456</v>
      </c>
      <c r="AA26" s="813">
        <v>1946.2154539999999</v>
      </c>
      <c r="AB26" s="813">
        <v>1943.967163</v>
      </c>
      <c r="AC26" s="813">
        <v>1940.256592</v>
      </c>
      <c r="AD26" s="813">
        <v>1938.022461</v>
      </c>
      <c r="AE26" s="813">
        <v>1925.799927</v>
      </c>
      <c r="AF26" s="814">
        <v>3.3939999999999999E-3</v>
      </c>
      <c r="AG26" s="802"/>
    </row>
    <row r="27" spans="1:33" ht="15" customHeight="1">
      <c r="A27" s="800" t="s">
        <v>4261</v>
      </c>
      <c r="B27" s="812" t="s">
        <v>4262</v>
      </c>
      <c r="C27" s="813">
        <v>1576.263062</v>
      </c>
      <c r="D27" s="813">
        <v>1595.1920170000001</v>
      </c>
      <c r="E27" s="813">
        <v>1426.872803</v>
      </c>
      <c r="F27" s="813">
        <v>1429.5588379999999</v>
      </c>
      <c r="G27" s="813">
        <v>1442.969482</v>
      </c>
      <c r="H27" s="813">
        <v>1441.673706</v>
      </c>
      <c r="I27" s="813">
        <v>1465.907471</v>
      </c>
      <c r="J27" s="813">
        <v>1498.069092</v>
      </c>
      <c r="K27" s="813">
        <v>1527.9750979999999</v>
      </c>
      <c r="L27" s="813">
        <v>1522.352905</v>
      </c>
      <c r="M27" s="813">
        <v>1516.010986</v>
      </c>
      <c r="N27" s="813">
        <v>1512.6563719999999</v>
      </c>
      <c r="O27" s="813">
        <v>1520.307495</v>
      </c>
      <c r="P27" s="813">
        <v>1514.240967</v>
      </c>
      <c r="Q27" s="813">
        <v>1515.0432129999999</v>
      </c>
      <c r="R27" s="813">
        <v>1507.7219239999999</v>
      </c>
      <c r="S27" s="813">
        <v>1517.048828</v>
      </c>
      <c r="T27" s="813">
        <v>1515.5435789999999</v>
      </c>
      <c r="U27" s="813">
        <v>1514.9886469999999</v>
      </c>
      <c r="V27" s="813">
        <v>1521.8039550000001</v>
      </c>
      <c r="W27" s="813">
        <v>1518.25</v>
      </c>
      <c r="X27" s="813">
        <v>1516.436768</v>
      </c>
      <c r="Y27" s="813">
        <v>1519.063721</v>
      </c>
      <c r="Z27" s="813">
        <v>1526.4544679999999</v>
      </c>
      <c r="AA27" s="813">
        <v>1477.1683350000001</v>
      </c>
      <c r="AB27" s="813">
        <v>1480.7432859999999</v>
      </c>
      <c r="AC27" s="813">
        <v>1513.161621</v>
      </c>
      <c r="AD27" s="813">
        <v>1525.7508539999999</v>
      </c>
      <c r="AE27" s="813">
        <v>1534.9720460000001</v>
      </c>
      <c r="AF27" s="814">
        <v>-9.4799999999999995E-4</v>
      </c>
      <c r="AG27" s="802"/>
    </row>
    <row r="28" spans="1:33" ht="15" customHeight="1">
      <c r="A28" s="800" t="s">
        <v>4263</v>
      </c>
      <c r="B28" s="812" t="s">
        <v>4264</v>
      </c>
      <c r="C28" s="813">
        <v>1376.263062</v>
      </c>
      <c r="D28" s="813">
        <v>1395.1920170000001</v>
      </c>
      <c r="E28" s="813">
        <v>1214.3210449999999</v>
      </c>
      <c r="F28" s="813">
        <v>1222.0584719999999</v>
      </c>
      <c r="G28" s="813">
        <v>1233.186279</v>
      </c>
      <c r="H28" s="813">
        <v>1234.931885</v>
      </c>
      <c r="I28" s="813">
        <v>1250.3548579999999</v>
      </c>
      <c r="J28" s="813">
        <v>1273.9506839999999</v>
      </c>
      <c r="K28" s="813">
        <v>1292.790894</v>
      </c>
      <c r="L28" s="813">
        <v>1287.0607910000001</v>
      </c>
      <c r="M28" s="813">
        <v>1280.538086</v>
      </c>
      <c r="N28" s="813">
        <v>1280.928467</v>
      </c>
      <c r="O28" s="813">
        <v>1281.2741699999999</v>
      </c>
      <c r="P28" s="813">
        <v>1279.9929199999999</v>
      </c>
      <c r="Q28" s="813">
        <v>1283.7066649999999</v>
      </c>
      <c r="R28" s="813">
        <v>1277.7777100000001</v>
      </c>
      <c r="S28" s="813">
        <v>1287.3043210000001</v>
      </c>
      <c r="T28" s="813">
        <v>1286.1804199999999</v>
      </c>
      <c r="U28" s="813">
        <v>1289.3298339999999</v>
      </c>
      <c r="V28" s="813">
        <v>1294.4785159999999</v>
      </c>
      <c r="W28" s="813">
        <v>1292.6429439999999</v>
      </c>
      <c r="X28" s="813">
        <v>1291.1010739999999</v>
      </c>
      <c r="Y28" s="813">
        <v>1292.558716</v>
      </c>
      <c r="Z28" s="813">
        <v>1298.8572999999999</v>
      </c>
      <c r="AA28" s="813">
        <v>1274.201294</v>
      </c>
      <c r="AB28" s="813">
        <v>1278.081909</v>
      </c>
      <c r="AC28" s="813">
        <v>1304.226318</v>
      </c>
      <c r="AD28" s="813">
        <v>1315.982788</v>
      </c>
      <c r="AE28" s="813">
        <v>1326.4458010000001</v>
      </c>
      <c r="AF28" s="814">
        <v>-1.3159999999999999E-3</v>
      </c>
      <c r="AG28" s="802"/>
    </row>
    <row r="29" spans="1:33" ht="15" customHeight="1">
      <c r="A29" s="800" t="s">
        <v>4265</v>
      </c>
      <c r="B29" s="812" t="s">
        <v>4266</v>
      </c>
      <c r="C29" s="813">
        <v>200</v>
      </c>
      <c r="D29" s="813">
        <v>200</v>
      </c>
      <c r="E29" s="813">
        <v>212.55174299999999</v>
      </c>
      <c r="F29" s="813">
        <v>207.50041200000001</v>
      </c>
      <c r="G29" s="813">
        <v>209.78320299999999</v>
      </c>
      <c r="H29" s="813">
        <v>206.74182099999999</v>
      </c>
      <c r="I29" s="813">
        <v>215.55256700000001</v>
      </c>
      <c r="J29" s="813">
        <v>224.11836199999999</v>
      </c>
      <c r="K29" s="813">
        <v>235.18417400000001</v>
      </c>
      <c r="L29" s="813">
        <v>235.29217499999999</v>
      </c>
      <c r="M29" s="813">
        <v>235.47283899999999</v>
      </c>
      <c r="N29" s="813">
        <v>231.72792100000001</v>
      </c>
      <c r="O29" s="813">
        <v>239.03337099999999</v>
      </c>
      <c r="P29" s="813">
        <v>234.247986</v>
      </c>
      <c r="Q29" s="813">
        <v>231.33659399999999</v>
      </c>
      <c r="R29" s="813">
        <v>229.944244</v>
      </c>
      <c r="S29" s="813">
        <v>229.744507</v>
      </c>
      <c r="T29" s="813">
        <v>229.36312899999999</v>
      </c>
      <c r="U29" s="813">
        <v>225.65879799999999</v>
      </c>
      <c r="V29" s="813">
        <v>227.32548499999999</v>
      </c>
      <c r="W29" s="813">
        <v>225.60704000000001</v>
      </c>
      <c r="X29" s="813">
        <v>225.335724</v>
      </c>
      <c r="Y29" s="813">
        <v>226.50502</v>
      </c>
      <c r="Z29" s="813">
        <v>227.59715299999999</v>
      </c>
      <c r="AA29" s="813">
        <v>202.967072</v>
      </c>
      <c r="AB29" s="813">
        <v>202.661362</v>
      </c>
      <c r="AC29" s="813">
        <v>208.93536399999999</v>
      </c>
      <c r="AD29" s="813">
        <v>209.76808199999999</v>
      </c>
      <c r="AE29" s="813">
        <v>208.52621500000001</v>
      </c>
      <c r="AF29" s="814">
        <v>1.4920000000000001E-3</v>
      </c>
      <c r="AG29" s="802"/>
    </row>
    <row r="30" spans="1:33" ht="15" customHeight="1">
      <c r="A30" s="800" t="s">
        <v>4267</v>
      </c>
      <c r="B30" s="812" t="s">
        <v>4268</v>
      </c>
      <c r="C30" s="813">
        <v>0</v>
      </c>
      <c r="D30" s="813">
        <v>0</v>
      </c>
      <c r="E30" s="813">
        <v>0</v>
      </c>
      <c r="F30" s="813">
        <v>0</v>
      </c>
      <c r="G30" s="813">
        <v>0</v>
      </c>
      <c r="H30" s="813">
        <v>0</v>
      </c>
      <c r="I30" s="813">
        <v>0</v>
      </c>
      <c r="J30" s="813">
        <v>0</v>
      </c>
      <c r="K30" s="813">
        <v>0</v>
      </c>
      <c r="L30" s="813">
        <v>0</v>
      </c>
      <c r="M30" s="813">
        <v>0</v>
      </c>
      <c r="N30" s="813">
        <v>0</v>
      </c>
      <c r="O30" s="813">
        <v>0</v>
      </c>
      <c r="P30" s="813">
        <v>0</v>
      </c>
      <c r="Q30" s="813">
        <v>0</v>
      </c>
      <c r="R30" s="813">
        <v>0</v>
      </c>
      <c r="S30" s="813">
        <v>0</v>
      </c>
      <c r="T30" s="813">
        <v>0</v>
      </c>
      <c r="U30" s="813">
        <v>0</v>
      </c>
      <c r="V30" s="813">
        <v>0</v>
      </c>
      <c r="W30" s="813">
        <v>0</v>
      </c>
      <c r="X30" s="813">
        <v>0</v>
      </c>
      <c r="Y30" s="813">
        <v>0</v>
      </c>
      <c r="Z30" s="813">
        <v>0</v>
      </c>
      <c r="AA30" s="813">
        <v>0</v>
      </c>
      <c r="AB30" s="813">
        <v>0</v>
      </c>
      <c r="AC30" s="813">
        <v>0</v>
      </c>
      <c r="AD30" s="813">
        <v>0</v>
      </c>
      <c r="AE30" s="813">
        <v>0</v>
      </c>
      <c r="AF30" s="814" t="s">
        <v>2805</v>
      </c>
      <c r="AG30" s="802"/>
    </row>
    <row r="31" spans="1:33" ht="15" customHeight="1">
      <c r="A31" s="800" t="s">
        <v>4269</v>
      </c>
      <c r="B31" s="812" t="s">
        <v>4270</v>
      </c>
      <c r="C31" s="813">
        <v>24</v>
      </c>
      <c r="D31" s="813">
        <v>24</v>
      </c>
      <c r="E31" s="813">
        <v>0.17325399999999999</v>
      </c>
      <c r="F31" s="813">
        <v>0.17325399999999999</v>
      </c>
      <c r="G31" s="813">
        <v>0.17325399999999999</v>
      </c>
      <c r="H31" s="813">
        <v>0.17325399999999999</v>
      </c>
      <c r="I31" s="813">
        <v>0.17325399999999999</v>
      </c>
      <c r="J31" s="813">
        <v>0.17325399999999999</v>
      </c>
      <c r="K31" s="813">
        <v>0.17325399999999999</v>
      </c>
      <c r="L31" s="813">
        <v>0.17325399999999999</v>
      </c>
      <c r="M31" s="813">
        <v>0.17325399999999999</v>
      </c>
      <c r="N31" s="813">
        <v>0.17325399999999999</v>
      </c>
      <c r="O31" s="813">
        <v>0.17325399999999999</v>
      </c>
      <c r="P31" s="813">
        <v>0.17325399999999999</v>
      </c>
      <c r="Q31" s="813">
        <v>0.17325399999999999</v>
      </c>
      <c r="R31" s="813">
        <v>0.17325399999999999</v>
      </c>
      <c r="S31" s="813">
        <v>0.17325399999999999</v>
      </c>
      <c r="T31" s="813">
        <v>0.17325399999999999</v>
      </c>
      <c r="U31" s="813">
        <v>0.17325399999999999</v>
      </c>
      <c r="V31" s="813">
        <v>0.17325399999999999</v>
      </c>
      <c r="W31" s="813">
        <v>0.17325399999999999</v>
      </c>
      <c r="X31" s="813">
        <v>0.17325399999999999</v>
      </c>
      <c r="Y31" s="813">
        <v>0.17325399999999999</v>
      </c>
      <c r="Z31" s="813">
        <v>0.295844</v>
      </c>
      <c r="AA31" s="813">
        <v>6.9675310000000001</v>
      </c>
      <c r="AB31" s="813">
        <v>14.780908</v>
      </c>
      <c r="AC31" s="813">
        <v>26.588282</v>
      </c>
      <c r="AD31" s="813">
        <v>30.481363000000002</v>
      </c>
      <c r="AE31" s="813">
        <v>30.481363000000002</v>
      </c>
      <c r="AF31" s="814">
        <v>8.574E-3</v>
      </c>
      <c r="AG31" s="802"/>
    </row>
    <row r="32" spans="1:33" ht="15" customHeight="1">
      <c r="A32" s="800" t="s">
        <v>4271</v>
      </c>
      <c r="B32" s="812" t="s">
        <v>4272</v>
      </c>
      <c r="C32" s="813">
        <v>918.07605000000001</v>
      </c>
      <c r="D32" s="813">
        <v>984.57763699999998</v>
      </c>
      <c r="E32" s="813">
        <v>910.28918499999997</v>
      </c>
      <c r="F32" s="813">
        <v>906.57922399999995</v>
      </c>
      <c r="G32" s="813">
        <v>904.83148200000005</v>
      </c>
      <c r="H32" s="813">
        <v>903.74475099999995</v>
      </c>
      <c r="I32" s="813">
        <v>906.797729</v>
      </c>
      <c r="J32" s="813">
        <v>903.319885</v>
      </c>
      <c r="K32" s="813">
        <v>898.93817100000001</v>
      </c>
      <c r="L32" s="813">
        <v>895.09338400000001</v>
      </c>
      <c r="M32" s="813">
        <v>891.38726799999995</v>
      </c>
      <c r="N32" s="813">
        <v>890.19982900000002</v>
      </c>
      <c r="O32" s="813">
        <v>890.20636000000002</v>
      </c>
      <c r="P32" s="813">
        <v>897.28649900000005</v>
      </c>
      <c r="Q32" s="813">
        <v>896.68267800000001</v>
      </c>
      <c r="R32" s="813">
        <v>897.57128899999998</v>
      </c>
      <c r="S32" s="813">
        <v>899.26776099999995</v>
      </c>
      <c r="T32" s="813">
        <v>901.701233</v>
      </c>
      <c r="U32" s="813">
        <v>905.80725099999995</v>
      </c>
      <c r="V32" s="813">
        <v>918.53820800000005</v>
      </c>
      <c r="W32" s="813">
        <v>924.52062999999998</v>
      </c>
      <c r="X32" s="813">
        <v>931.19818099999998</v>
      </c>
      <c r="Y32" s="813">
        <v>931.96417199999996</v>
      </c>
      <c r="Z32" s="813">
        <v>938.61321999999996</v>
      </c>
      <c r="AA32" s="813">
        <v>948.81707800000004</v>
      </c>
      <c r="AB32" s="813">
        <v>960.478027</v>
      </c>
      <c r="AC32" s="813">
        <v>981.55676300000005</v>
      </c>
      <c r="AD32" s="813">
        <v>990.59375</v>
      </c>
      <c r="AE32" s="813">
        <v>996.86840800000004</v>
      </c>
      <c r="AF32" s="814">
        <v>2.9450000000000001E-3</v>
      </c>
      <c r="AG32" s="802"/>
    </row>
    <row r="33" spans="1:33" ht="15" customHeight="1">
      <c r="A33" s="800" t="s">
        <v>4273</v>
      </c>
      <c r="B33" s="812" t="s">
        <v>4274</v>
      </c>
      <c r="C33" s="813">
        <v>187.222992</v>
      </c>
      <c r="D33" s="813">
        <v>182.69000199999999</v>
      </c>
      <c r="E33" s="813">
        <v>186.03945899999999</v>
      </c>
      <c r="F33" s="813">
        <v>186.17257699999999</v>
      </c>
      <c r="G33" s="813">
        <v>186.98306299999999</v>
      </c>
      <c r="H33" s="813">
        <v>186.75769</v>
      </c>
      <c r="I33" s="813">
        <v>190.487122</v>
      </c>
      <c r="J33" s="813">
        <v>193.496567</v>
      </c>
      <c r="K33" s="813">
        <v>196.697586</v>
      </c>
      <c r="L33" s="813">
        <v>195.50337200000001</v>
      </c>
      <c r="M33" s="813">
        <v>195.907501</v>
      </c>
      <c r="N33" s="813">
        <v>194.88708500000001</v>
      </c>
      <c r="O33" s="813">
        <v>197.16154499999999</v>
      </c>
      <c r="P33" s="813">
        <v>196.623413</v>
      </c>
      <c r="Q33" s="813">
        <v>196.86821</v>
      </c>
      <c r="R33" s="813">
        <v>196.69577000000001</v>
      </c>
      <c r="S33" s="813">
        <v>197.56251499999999</v>
      </c>
      <c r="T33" s="813">
        <v>198.52815200000001</v>
      </c>
      <c r="U33" s="813">
        <v>198.72885099999999</v>
      </c>
      <c r="V33" s="813">
        <v>199.53295900000001</v>
      </c>
      <c r="W33" s="813">
        <v>199.800568</v>
      </c>
      <c r="X33" s="813">
        <v>199.406342</v>
      </c>
      <c r="Y33" s="813">
        <v>199.92147800000001</v>
      </c>
      <c r="Z33" s="813">
        <v>200.572937</v>
      </c>
      <c r="AA33" s="813">
        <v>202.92802399999999</v>
      </c>
      <c r="AB33" s="813">
        <v>203.57081600000001</v>
      </c>
      <c r="AC33" s="813">
        <v>205.254501</v>
      </c>
      <c r="AD33" s="813">
        <v>206.335815</v>
      </c>
      <c r="AE33" s="813">
        <v>206.82015999999999</v>
      </c>
      <c r="AF33" s="814">
        <v>3.5620000000000001E-3</v>
      </c>
      <c r="AG33" s="802"/>
    </row>
    <row r="34" spans="1:33" ht="12" customHeight="1">
      <c r="A34" s="800" t="s">
        <v>4275</v>
      </c>
      <c r="B34" s="808" t="s">
        <v>4276</v>
      </c>
      <c r="C34" s="811">
        <v>4457.0830079999996</v>
      </c>
      <c r="D34" s="811">
        <v>4614.3369140000004</v>
      </c>
      <c r="E34" s="811">
        <v>4361.9433589999999</v>
      </c>
      <c r="F34" s="811">
        <v>4354.1752930000002</v>
      </c>
      <c r="G34" s="811">
        <v>4375.3164059999999</v>
      </c>
      <c r="H34" s="811">
        <v>4378.8916019999997</v>
      </c>
      <c r="I34" s="811">
        <v>4433.0219729999999</v>
      </c>
      <c r="J34" s="811">
        <v>4470.2573240000002</v>
      </c>
      <c r="K34" s="811">
        <v>4504.310547</v>
      </c>
      <c r="L34" s="811">
        <v>4492.5024409999996</v>
      </c>
      <c r="M34" s="811">
        <v>4494.3183589999999</v>
      </c>
      <c r="N34" s="811">
        <v>4482.2036129999997</v>
      </c>
      <c r="O34" s="811">
        <v>4512.2250979999999</v>
      </c>
      <c r="P34" s="811">
        <v>4515.7338870000003</v>
      </c>
      <c r="Q34" s="811">
        <v>4514.3134769999997</v>
      </c>
      <c r="R34" s="811">
        <v>4516.2709960000002</v>
      </c>
      <c r="S34" s="811">
        <v>4530.5400390000004</v>
      </c>
      <c r="T34" s="811">
        <v>4543.1362300000001</v>
      </c>
      <c r="U34" s="811">
        <v>4551.7827150000003</v>
      </c>
      <c r="V34" s="811">
        <v>4577.892578</v>
      </c>
      <c r="W34" s="811">
        <v>4586.6850590000004</v>
      </c>
      <c r="X34" s="811">
        <v>4594.3999020000001</v>
      </c>
      <c r="Y34" s="811">
        <v>4601.5346680000002</v>
      </c>
      <c r="Z34" s="811">
        <v>4618.8291019999997</v>
      </c>
      <c r="AA34" s="811">
        <v>4582.0961909999996</v>
      </c>
      <c r="AB34" s="811">
        <v>4603.5400390000004</v>
      </c>
      <c r="AC34" s="811">
        <v>4666.8178710000002</v>
      </c>
      <c r="AD34" s="811">
        <v>4691.1845700000003</v>
      </c>
      <c r="AE34" s="811">
        <v>4694.9418949999999</v>
      </c>
      <c r="AF34" s="810">
        <v>1.859E-3</v>
      </c>
      <c r="AG34" s="802"/>
    </row>
    <row r="35" spans="1:33" ht="12" customHeight="1">
      <c r="B35" s="802"/>
      <c r="C35" s="802"/>
      <c r="D35" s="802"/>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row>
    <row r="36" spans="1:33" ht="12" customHeight="1">
      <c r="B36" s="808" t="s">
        <v>4277</v>
      </c>
      <c r="C36" s="802"/>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row>
    <row r="37" spans="1:33" ht="12" customHeight="1">
      <c r="A37" s="800" t="s">
        <v>4278</v>
      </c>
      <c r="B37" s="808" t="s">
        <v>4279</v>
      </c>
      <c r="C37" s="809">
        <v>238.203979</v>
      </c>
      <c r="D37" s="809">
        <v>243.10884100000001</v>
      </c>
      <c r="E37" s="809">
        <v>234.207764</v>
      </c>
      <c r="F37" s="809">
        <v>232.452698</v>
      </c>
      <c r="G37" s="809">
        <v>231.568375</v>
      </c>
      <c r="H37" s="809">
        <v>229.72383099999999</v>
      </c>
      <c r="I37" s="809">
        <v>231.07037399999999</v>
      </c>
      <c r="J37" s="809">
        <v>232.04489100000001</v>
      </c>
      <c r="K37" s="809">
        <v>233.06698600000001</v>
      </c>
      <c r="L37" s="809">
        <v>232.16023300000001</v>
      </c>
      <c r="M37" s="809">
        <v>232.31997699999999</v>
      </c>
      <c r="N37" s="809">
        <v>231.66319300000001</v>
      </c>
      <c r="O37" s="809">
        <v>233.25325000000001</v>
      </c>
      <c r="P37" s="809">
        <v>233.049026</v>
      </c>
      <c r="Q37" s="809">
        <v>232.97285500000001</v>
      </c>
      <c r="R37" s="809">
        <v>232.963852</v>
      </c>
      <c r="S37" s="809">
        <v>233.509827</v>
      </c>
      <c r="T37" s="809">
        <v>234.12796</v>
      </c>
      <c r="U37" s="809">
        <v>234.41609199999999</v>
      </c>
      <c r="V37" s="809">
        <v>235.10746800000001</v>
      </c>
      <c r="W37" s="809">
        <v>235.32934599999999</v>
      </c>
      <c r="X37" s="809">
        <v>235.156113</v>
      </c>
      <c r="Y37" s="809">
        <v>235.25003100000001</v>
      </c>
      <c r="Z37" s="809">
        <v>235.60557600000001</v>
      </c>
      <c r="AA37" s="809">
        <v>233.03233299999999</v>
      </c>
      <c r="AB37" s="809">
        <v>233.74041700000001</v>
      </c>
      <c r="AC37" s="809">
        <v>236.40860000000001</v>
      </c>
      <c r="AD37" s="809">
        <v>237.328598</v>
      </c>
      <c r="AE37" s="809">
        <v>236.76205400000001</v>
      </c>
      <c r="AF37" s="810">
        <v>-2.1699999999999999E-4</v>
      </c>
      <c r="AG37" s="802"/>
    </row>
    <row r="38" spans="1:33" ht="12" customHeight="1">
      <c r="B38" s="802"/>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row>
    <row r="39" spans="1:33" ht="12" customHeight="1">
      <c r="B39" s="808" t="s">
        <v>4280</v>
      </c>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row>
    <row r="40" spans="1:33" ht="12" customHeight="1">
      <c r="B40" s="808" t="s">
        <v>4281</v>
      </c>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row>
    <row r="41" spans="1:33" ht="12" customHeight="1">
      <c r="A41" s="800" t="s">
        <v>4282</v>
      </c>
      <c r="B41" s="812" t="s">
        <v>4283</v>
      </c>
      <c r="C41" s="813">
        <v>0.214</v>
      </c>
      <c r="D41" s="813">
        <v>0.20100000000000001</v>
      </c>
      <c r="E41" s="813">
        <v>0</v>
      </c>
      <c r="F41" s="813">
        <v>0</v>
      </c>
      <c r="G41" s="813">
        <v>0</v>
      </c>
      <c r="H41" s="813">
        <v>0</v>
      </c>
      <c r="I41" s="813">
        <v>0</v>
      </c>
      <c r="J41" s="813">
        <v>0</v>
      </c>
      <c r="K41" s="813">
        <v>0</v>
      </c>
      <c r="L41" s="813">
        <v>0</v>
      </c>
      <c r="M41" s="813">
        <v>0</v>
      </c>
      <c r="N41" s="813">
        <v>0</v>
      </c>
      <c r="O41" s="813">
        <v>0</v>
      </c>
      <c r="P41" s="813">
        <v>0</v>
      </c>
      <c r="Q41" s="813">
        <v>0</v>
      </c>
      <c r="R41" s="813">
        <v>0</v>
      </c>
      <c r="S41" s="813">
        <v>0</v>
      </c>
      <c r="T41" s="813">
        <v>0</v>
      </c>
      <c r="U41" s="813">
        <v>0</v>
      </c>
      <c r="V41" s="813">
        <v>0</v>
      </c>
      <c r="W41" s="813">
        <v>0</v>
      </c>
      <c r="X41" s="813">
        <v>0</v>
      </c>
      <c r="Y41" s="813">
        <v>0</v>
      </c>
      <c r="Z41" s="813">
        <v>0</v>
      </c>
      <c r="AA41" s="813">
        <v>0</v>
      </c>
      <c r="AB41" s="813">
        <v>0</v>
      </c>
      <c r="AC41" s="813">
        <v>0</v>
      </c>
      <c r="AD41" s="813">
        <v>0</v>
      </c>
      <c r="AE41" s="813">
        <v>0</v>
      </c>
      <c r="AF41" s="814" t="s">
        <v>2805</v>
      </c>
      <c r="AG41" s="802"/>
    </row>
    <row r="42" spans="1:33" ht="12" customHeight="1">
      <c r="A42" s="800" t="s">
        <v>4284</v>
      </c>
      <c r="B42" s="812" t="s">
        <v>4285</v>
      </c>
      <c r="C42" s="813">
        <v>1.625</v>
      </c>
      <c r="D42" s="813">
        <v>1.4039999999999999</v>
      </c>
      <c r="E42" s="813">
        <v>0</v>
      </c>
      <c r="F42" s="813">
        <v>0</v>
      </c>
      <c r="G42" s="813">
        <v>0</v>
      </c>
      <c r="H42" s="813">
        <v>0</v>
      </c>
      <c r="I42" s="813">
        <v>0</v>
      </c>
      <c r="J42" s="813">
        <v>0</v>
      </c>
      <c r="K42" s="813">
        <v>0</v>
      </c>
      <c r="L42" s="813">
        <v>0</v>
      </c>
      <c r="M42" s="813">
        <v>0</v>
      </c>
      <c r="N42" s="813">
        <v>0</v>
      </c>
      <c r="O42" s="813">
        <v>0</v>
      </c>
      <c r="P42" s="813">
        <v>0</v>
      </c>
      <c r="Q42" s="813">
        <v>0</v>
      </c>
      <c r="R42" s="813">
        <v>0</v>
      </c>
      <c r="S42" s="813">
        <v>0</v>
      </c>
      <c r="T42" s="813">
        <v>0</v>
      </c>
      <c r="U42" s="813">
        <v>0</v>
      </c>
      <c r="V42" s="813">
        <v>0</v>
      </c>
      <c r="W42" s="813">
        <v>0</v>
      </c>
      <c r="X42" s="813">
        <v>0</v>
      </c>
      <c r="Y42" s="813">
        <v>0</v>
      </c>
      <c r="Z42" s="813">
        <v>0</v>
      </c>
      <c r="AA42" s="813">
        <v>0</v>
      </c>
      <c r="AB42" s="813">
        <v>0</v>
      </c>
      <c r="AC42" s="813">
        <v>0</v>
      </c>
      <c r="AD42" s="813">
        <v>0</v>
      </c>
      <c r="AE42" s="813">
        <v>0</v>
      </c>
      <c r="AF42" s="814" t="s">
        <v>2805</v>
      </c>
      <c r="AG42" s="802"/>
    </row>
    <row r="43" spans="1:33" ht="12" customHeight="1">
      <c r="A43" s="800" t="s">
        <v>4286</v>
      </c>
      <c r="B43" s="812" t="s">
        <v>4287</v>
      </c>
      <c r="C43" s="813">
        <v>6.8129999999999997</v>
      </c>
      <c r="D43" s="813">
        <v>4.7629999999999999</v>
      </c>
      <c r="E43" s="813">
        <v>0</v>
      </c>
      <c r="F43" s="813">
        <v>0</v>
      </c>
      <c r="G43" s="813">
        <v>0</v>
      </c>
      <c r="H43" s="813">
        <v>0</v>
      </c>
      <c r="I43" s="813">
        <v>0</v>
      </c>
      <c r="J43" s="813">
        <v>0</v>
      </c>
      <c r="K43" s="813">
        <v>0</v>
      </c>
      <c r="L43" s="813">
        <v>0</v>
      </c>
      <c r="M43" s="813">
        <v>0</v>
      </c>
      <c r="N43" s="813">
        <v>0</v>
      </c>
      <c r="O43" s="813">
        <v>0</v>
      </c>
      <c r="P43" s="813">
        <v>0</v>
      </c>
      <c r="Q43" s="813">
        <v>0</v>
      </c>
      <c r="R43" s="813">
        <v>0</v>
      </c>
      <c r="S43" s="813">
        <v>0</v>
      </c>
      <c r="T43" s="813">
        <v>0</v>
      </c>
      <c r="U43" s="813">
        <v>0</v>
      </c>
      <c r="V43" s="813">
        <v>0</v>
      </c>
      <c r="W43" s="813">
        <v>0</v>
      </c>
      <c r="X43" s="813">
        <v>0</v>
      </c>
      <c r="Y43" s="813">
        <v>0</v>
      </c>
      <c r="Z43" s="813">
        <v>0</v>
      </c>
      <c r="AA43" s="813">
        <v>0</v>
      </c>
      <c r="AB43" s="813">
        <v>0</v>
      </c>
      <c r="AC43" s="813">
        <v>0</v>
      </c>
      <c r="AD43" s="813">
        <v>0</v>
      </c>
      <c r="AE43" s="813">
        <v>0</v>
      </c>
      <c r="AF43" s="814" t="s">
        <v>2805</v>
      </c>
      <c r="AG43" s="802"/>
    </row>
    <row r="44" spans="1:33" ht="12" customHeight="1">
      <c r="A44" s="800" t="s">
        <v>4288</v>
      </c>
      <c r="B44" s="812" t="s">
        <v>4289</v>
      </c>
      <c r="C44" s="813">
        <v>430.726044</v>
      </c>
      <c r="D44" s="813">
        <v>450.21099900000002</v>
      </c>
      <c r="E44" s="813">
        <v>505.33966099999998</v>
      </c>
      <c r="F44" s="813">
        <v>506.29278599999998</v>
      </c>
      <c r="G44" s="813">
        <v>502.45135499999998</v>
      </c>
      <c r="H44" s="813">
        <v>501.34359699999999</v>
      </c>
      <c r="I44" s="813">
        <v>502.26086400000003</v>
      </c>
      <c r="J44" s="813">
        <v>503.232574</v>
      </c>
      <c r="K44" s="813">
        <v>500.15142800000001</v>
      </c>
      <c r="L44" s="813">
        <v>497.76004</v>
      </c>
      <c r="M44" s="813">
        <v>497.44576999999998</v>
      </c>
      <c r="N44" s="813">
        <v>495.41232300000001</v>
      </c>
      <c r="O44" s="813">
        <v>494.57861300000002</v>
      </c>
      <c r="P44" s="813">
        <v>494.388214</v>
      </c>
      <c r="Q44" s="813">
        <v>495.086975</v>
      </c>
      <c r="R44" s="813">
        <v>492.07275399999997</v>
      </c>
      <c r="S44" s="813">
        <v>492.381439</v>
      </c>
      <c r="T44" s="813">
        <v>493.467896</v>
      </c>
      <c r="U44" s="813">
        <v>494.66592400000002</v>
      </c>
      <c r="V44" s="813">
        <v>492.77990699999998</v>
      </c>
      <c r="W44" s="813">
        <v>493.91744999999997</v>
      </c>
      <c r="X44" s="813">
        <v>490.07128899999998</v>
      </c>
      <c r="Y44" s="813">
        <v>489.88024899999999</v>
      </c>
      <c r="Z44" s="813">
        <v>489.72421300000002</v>
      </c>
      <c r="AA44" s="813">
        <v>491.003693</v>
      </c>
      <c r="AB44" s="813">
        <v>490.62988300000001</v>
      </c>
      <c r="AC44" s="813">
        <v>494.089539</v>
      </c>
      <c r="AD44" s="813">
        <v>496.65966800000001</v>
      </c>
      <c r="AE44" s="813">
        <v>494.59353599999997</v>
      </c>
      <c r="AF44" s="814">
        <v>4.9500000000000004E-3</v>
      </c>
      <c r="AG44" s="802"/>
    </row>
    <row r="45" spans="1:33" ht="12" customHeight="1">
      <c r="A45" s="800" t="s">
        <v>4290</v>
      </c>
      <c r="B45" s="812" t="s">
        <v>4291</v>
      </c>
      <c r="C45" s="813">
        <v>1277.525024</v>
      </c>
      <c r="D45" s="813">
        <v>1334.649048</v>
      </c>
      <c r="E45" s="813">
        <v>1262.2312010000001</v>
      </c>
      <c r="F45" s="813">
        <v>1257.648682</v>
      </c>
      <c r="G45" s="813">
        <v>1281.680908</v>
      </c>
      <c r="H45" s="813">
        <v>1286.998047</v>
      </c>
      <c r="I45" s="813">
        <v>1314.1892089999999</v>
      </c>
      <c r="J45" s="813">
        <v>1318.732178</v>
      </c>
      <c r="K45" s="813">
        <v>1327.1552730000001</v>
      </c>
      <c r="L45" s="813">
        <v>1328.418091</v>
      </c>
      <c r="M45" s="813">
        <v>1340.164307</v>
      </c>
      <c r="N45" s="813">
        <v>1335.6732179999999</v>
      </c>
      <c r="O45" s="813">
        <v>1356.5960689999999</v>
      </c>
      <c r="P45" s="813">
        <v>1359.818481</v>
      </c>
      <c r="Q45" s="813">
        <v>1357.247437</v>
      </c>
      <c r="R45" s="813">
        <v>1368.834351</v>
      </c>
      <c r="S45" s="813">
        <v>1370.904663</v>
      </c>
      <c r="T45" s="813">
        <v>1380.5207519999999</v>
      </c>
      <c r="U45" s="813">
        <v>1384.217163</v>
      </c>
      <c r="V45" s="813">
        <v>1388.7020259999999</v>
      </c>
      <c r="W45" s="813">
        <v>1390.845947</v>
      </c>
      <c r="X45" s="813">
        <v>1393.7960210000001</v>
      </c>
      <c r="Y45" s="813">
        <v>1393.3957519999999</v>
      </c>
      <c r="Z45" s="813">
        <v>1392.950073</v>
      </c>
      <c r="AA45" s="813">
        <v>1382.9052730000001</v>
      </c>
      <c r="AB45" s="813">
        <v>1381.2182620000001</v>
      </c>
      <c r="AC45" s="813">
        <v>1375.2182620000001</v>
      </c>
      <c r="AD45" s="813">
        <v>1372.4289550000001</v>
      </c>
      <c r="AE45" s="813">
        <v>1361.7227780000001</v>
      </c>
      <c r="AF45" s="814">
        <v>2.2820000000000002E-3</v>
      </c>
      <c r="AG45" s="802"/>
    </row>
    <row r="46" spans="1:33" ht="12" customHeight="1">
      <c r="A46" s="800" t="s">
        <v>4292</v>
      </c>
      <c r="B46" s="812" t="s">
        <v>4293</v>
      </c>
      <c r="C46" s="813">
        <v>2.9580000000000002</v>
      </c>
      <c r="D46" s="813">
        <v>4.9889999999999999</v>
      </c>
      <c r="E46" s="813">
        <v>17.796140999999999</v>
      </c>
      <c r="F46" s="813">
        <v>14.548406</v>
      </c>
      <c r="G46" s="813">
        <v>3.0253429999999999</v>
      </c>
      <c r="H46" s="813">
        <v>4.9991099999999999</v>
      </c>
      <c r="I46" s="813">
        <v>4.8970000000000003E-3</v>
      </c>
      <c r="J46" s="813">
        <v>3.2530999999999997E-2</v>
      </c>
      <c r="K46" s="813">
        <v>1.8245000000000001E-2</v>
      </c>
      <c r="L46" s="813">
        <v>0</v>
      </c>
      <c r="M46" s="813">
        <v>2.7577999999999998E-2</v>
      </c>
      <c r="N46" s="813">
        <v>0</v>
      </c>
      <c r="O46" s="813">
        <v>0</v>
      </c>
      <c r="P46" s="813">
        <v>1.4940000000000001E-3</v>
      </c>
      <c r="Q46" s="813">
        <v>1.0083999999999999E-2</v>
      </c>
      <c r="R46" s="813">
        <v>0</v>
      </c>
      <c r="S46" s="813">
        <v>0</v>
      </c>
      <c r="T46" s="813">
        <v>0</v>
      </c>
      <c r="U46" s="813">
        <v>0</v>
      </c>
      <c r="V46" s="813">
        <v>3.1607599999999998</v>
      </c>
      <c r="W46" s="813">
        <v>5.9757980000000002</v>
      </c>
      <c r="X46" s="813">
        <v>10.116630000000001</v>
      </c>
      <c r="Y46" s="813">
        <v>13.934748000000001</v>
      </c>
      <c r="Z46" s="813">
        <v>17.016748</v>
      </c>
      <c r="AA46" s="813">
        <v>21.303995</v>
      </c>
      <c r="AB46" s="813">
        <v>21.332820999999999</v>
      </c>
      <c r="AC46" s="813">
        <v>19.626259000000001</v>
      </c>
      <c r="AD46" s="813">
        <v>17.717950999999999</v>
      </c>
      <c r="AE46" s="813">
        <v>18.740538000000001</v>
      </c>
      <c r="AF46" s="814">
        <v>6.8156999999999995E-2</v>
      </c>
      <c r="AG46" s="802"/>
    </row>
    <row r="47" spans="1:33" ht="12" customHeight="1">
      <c r="A47" s="800" t="s">
        <v>4294</v>
      </c>
      <c r="B47" s="812" t="s">
        <v>4295</v>
      </c>
      <c r="C47" s="813">
        <v>1719.8610839999999</v>
      </c>
      <c r="D47" s="813">
        <v>1796.2170410000001</v>
      </c>
      <c r="E47" s="813">
        <v>1785.366943</v>
      </c>
      <c r="F47" s="813">
        <v>1778.4898679999999</v>
      </c>
      <c r="G47" s="813">
        <v>1787.1577150000001</v>
      </c>
      <c r="H47" s="813">
        <v>1793.3408199999999</v>
      </c>
      <c r="I47" s="813">
        <v>1816.454956</v>
      </c>
      <c r="J47" s="813">
        <v>1821.997192</v>
      </c>
      <c r="K47" s="813">
        <v>1827.3248289999999</v>
      </c>
      <c r="L47" s="813">
        <v>1826.178101</v>
      </c>
      <c r="M47" s="813">
        <v>1837.6376949999999</v>
      </c>
      <c r="N47" s="813">
        <v>1831.0855710000001</v>
      </c>
      <c r="O47" s="813">
        <v>1851.174683</v>
      </c>
      <c r="P47" s="813">
        <v>1854.20813</v>
      </c>
      <c r="Q47" s="813">
        <v>1852.3446039999999</v>
      </c>
      <c r="R47" s="813">
        <v>1860.9071039999999</v>
      </c>
      <c r="S47" s="813">
        <v>1863.2861330000001</v>
      </c>
      <c r="T47" s="813">
        <v>1873.9886469999999</v>
      </c>
      <c r="U47" s="813">
        <v>1878.883057</v>
      </c>
      <c r="V47" s="813">
        <v>1884.6427000000001</v>
      </c>
      <c r="W47" s="813">
        <v>1890.7392580000001</v>
      </c>
      <c r="X47" s="813">
        <v>1893.9838870000001</v>
      </c>
      <c r="Y47" s="813">
        <v>1897.210693</v>
      </c>
      <c r="Z47" s="813">
        <v>1899.6910399999999</v>
      </c>
      <c r="AA47" s="813">
        <v>1895.2128909999999</v>
      </c>
      <c r="AB47" s="813">
        <v>1893.180908</v>
      </c>
      <c r="AC47" s="813">
        <v>1888.934082</v>
      </c>
      <c r="AD47" s="813">
        <v>1886.806519</v>
      </c>
      <c r="AE47" s="813">
        <v>1875.056763</v>
      </c>
      <c r="AF47" s="814">
        <v>3.0899999999999999E-3</v>
      </c>
      <c r="AG47" s="802"/>
    </row>
    <row r="48" spans="1:33" ht="12" customHeight="1">
      <c r="A48" s="800" t="s">
        <v>4296</v>
      </c>
      <c r="B48" s="812" t="s">
        <v>4297</v>
      </c>
      <c r="C48" s="813">
        <v>863.21301300000005</v>
      </c>
      <c r="D48" s="813">
        <v>882.14196800000002</v>
      </c>
      <c r="E48" s="813">
        <v>567.99426300000005</v>
      </c>
      <c r="F48" s="813">
        <v>577.56213400000001</v>
      </c>
      <c r="G48" s="813">
        <v>589.64892599999996</v>
      </c>
      <c r="H48" s="813">
        <v>591.95666500000004</v>
      </c>
      <c r="I48" s="813">
        <v>605.81933600000002</v>
      </c>
      <c r="J48" s="813">
        <v>630.84515399999998</v>
      </c>
      <c r="K48" s="813">
        <v>652.10742200000004</v>
      </c>
      <c r="L48" s="813">
        <v>648.23126200000002</v>
      </c>
      <c r="M48" s="813">
        <v>643.46551499999998</v>
      </c>
      <c r="N48" s="813">
        <v>644.378784</v>
      </c>
      <c r="O48" s="813">
        <v>644.76178000000004</v>
      </c>
      <c r="P48" s="813">
        <v>640.267517</v>
      </c>
      <c r="Q48" s="813">
        <v>644.30950900000005</v>
      </c>
      <c r="R48" s="813">
        <v>638.00097700000003</v>
      </c>
      <c r="S48" s="813">
        <v>646.72289999999998</v>
      </c>
      <c r="T48" s="813">
        <v>644.48999000000003</v>
      </c>
      <c r="U48" s="813">
        <v>645.73303199999998</v>
      </c>
      <c r="V48" s="813">
        <v>644.86792000000003</v>
      </c>
      <c r="W48" s="813">
        <v>640.380493</v>
      </c>
      <c r="X48" s="813">
        <v>635.67334000000005</v>
      </c>
      <c r="Y48" s="813">
        <v>636.62115500000004</v>
      </c>
      <c r="Z48" s="813">
        <v>640.22082499999999</v>
      </c>
      <c r="AA48" s="813">
        <v>621.68872099999999</v>
      </c>
      <c r="AB48" s="813">
        <v>623.77770999999996</v>
      </c>
      <c r="AC48" s="813">
        <v>642.28430200000003</v>
      </c>
      <c r="AD48" s="813">
        <v>651.64355499999999</v>
      </c>
      <c r="AE48" s="813">
        <v>661.24328600000001</v>
      </c>
      <c r="AF48" s="814">
        <v>-9.4739999999999998E-3</v>
      </c>
      <c r="AG48" s="802"/>
    </row>
    <row r="49" spans="1:33" ht="12" customHeight="1">
      <c r="A49" s="800" t="s">
        <v>4298</v>
      </c>
      <c r="B49" s="812" t="s">
        <v>4299</v>
      </c>
      <c r="C49" s="813">
        <v>0</v>
      </c>
      <c r="D49" s="813">
        <v>0</v>
      </c>
      <c r="E49" s="813">
        <v>0</v>
      </c>
      <c r="F49" s="813">
        <v>0</v>
      </c>
      <c r="G49" s="813">
        <v>0</v>
      </c>
      <c r="H49" s="813">
        <v>0</v>
      </c>
      <c r="I49" s="813">
        <v>0</v>
      </c>
      <c r="J49" s="813">
        <v>0</v>
      </c>
      <c r="K49" s="813">
        <v>0</v>
      </c>
      <c r="L49" s="813">
        <v>0</v>
      </c>
      <c r="M49" s="813">
        <v>0</v>
      </c>
      <c r="N49" s="813">
        <v>0</v>
      </c>
      <c r="O49" s="813">
        <v>0</v>
      </c>
      <c r="P49" s="813">
        <v>0</v>
      </c>
      <c r="Q49" s="813">
        <v>0</v>
      </c>
      <c r="R49" s="813">
        <v>0</v>
      </c>
      <c r="S49" s="813">
        <v>0</v>
      </c>
      <c r="T49" s="813">
        <v>0</v>
      </c>
      <c r="U49" s="813">
        <v>0</v>
      </c>
      <c r="V49" s="813">
        <v>0</v>
      </c>
      <c r="W49" s="813">
        <v>0</v>
      </c>
      <c r="X49" s="813">
        <v>0</v>
      </c>
      <c r="Y49" s="813">
        <v>0</v>
      </c>
      <c r="Z49" s="813">
        <v>0</v>
      </c>
      <c r="AA49" s="813">
        <v>0</v>
      </c>
      <c r="AB49" s="813">
        <v>0</v>
      </c>
      <c r="AC49" s="813">
        <v>0</v>
      </c>
      <c r="AD49" s="813">
        <v>0</v>
      </c>
      <c r="AE49" s="813">
        <v>0</v>
      </c>
      <c r="AF49" s="814" t="s">
        <v>2805</v>
      </c>
      <c r="AG49" s="802"/>
    </row>
    <row r="50" spans="1:33" ht="15" customHeight="1">
      <c r="A50" s="800" t="s">
        <v>4300</v>
      </c>
      <c r="B50" s="812" t="s">
        <v>4301</v>
      </c>
      <c r="C50" s="813">
        <v>150.222992</v>
      </c>
      <c r="D50" s="813">
        <v>145.69000199999999</v>
      </c>
      <c r="E50" s="813">
        <v>144.39274599999999</v>
      </c>
      <c r="F50" s="813">
        <v>144.69915800000001</v>
      </c>
      <c r="G50" s="813">
        <v>145.60043300000001</v>
      </c>
      <c r="H50" s="813">
        <v>145.42828399999999</v>
      </c>
      <c r="I50" s="813">
        <v>149.00997899999999</v>
      </c>
      <c r="J50" s="813">
        <v>152.15481600000001</v>
      </c>
      <c r="K50" s="813">
        <v>155.585159</v>
      </c>
      <c r="L50" s="813">
        <v>154.56648300000001</v>
      </c>
      <c r="M50" s="813">
        <v>155.13694799999999</v>
      </c>
      <c r="N50" s="813">
        <v>154.166031</v>
      </c>
      <c r="O50" s="813">
        <v>156.444031</v>
      </c>
      <c r="P50" s="813">
        <v>155.601685</v>
      </c>
      <c r="Q50" s="813">
        <v>155.877579</v>
      </c>
      <c r="R50" s="813">
        <v>155.66918899999999</v>
      </c>
      <c r="S50" s="813">
        <v>156.45974699999999</v>
      </c>
      <c r="T50" s="813">
        <v>157.32038900000001</v>
      </c>
      <c r="U50" s="813">
        <v>157.34060700000001</v>
      </c>
      <c r="V50" s="813">
        <v>157.57534799999999</v>
      </c>
      <c r="W50" s="813">
        <v>157.59187299999999</v>
      </c>
      <c r="X50" s="813">
        <v>156.897964</v>
      </c>
      <c r="Y50" s="813">
        <v>157.36483799999999</v>
      </c>
      <c r="Z50" s="813">
        <v>157.70581100000001</v>
      </c>
      <c r="AA50" s="813">
        <v>159.54780600000001</v>
      </c>
      <c r="AB50" s="813">
        <v>159.643372</v>
      </c>
      <c r="AC50" s="813">
        <v>160.33225999999999</v>
      </c>
      <c r="AD50" s="813">
        <v>160.97045900000001</v>
      </c>
      <c r="AE50" s="813">
        <v>161.11134300000001</v>
      </c>
      <c r="AF50" s="814">
        <v>2.5019999999999999E-3</v>
      </c>
      <c r="AG50" s="802"/>
    </row>
    <row r="51" spans="1:33" ht="15" customHeight="1">
      <c r="A51" s="800" t="s">
        <v>4302</v>
      </c>
      <c r="B51" s="808" t="s">
        <v>4303</v>
      </c>
      <c r="C51" s="811">
        <v>2733.2971189999998</v>
      </c>
      <c r="D51" s="811">
        <v>2824.048828</v>
      </c>
      <c r="E51" s="811">
        <v>2497.7541500000002</v>
      </c>
      <c r="F51" s="811">
        <v>2500.751221</v>
      </c>
      <c r="G51" s="811">
        <v>2522.406982</v>
      </c>
      <c r="H51" s="811">
        <v>2530.725586</v>
      </c>
      <c r="I51" s="811">
        <v>2571.2844239999999</v>
      </c>
      <c r="J51" s="811">
        <v>2604.9970699999999</v>
      </c>
      <c r="K51" s="811">
        <v>2635.0173340000001</v>
      </c>
      <c r="L51" s="811">
        <v>2628.9758299999999</v>
      </c>
      <c r="M51" s="811">
        <v>2636.2402339999999</v>
      </c>
      <c r="N51" s="811">
        <v>2629.6303710000002</v>
      </c>
      <c r="O51" s="811">
        <v>2652.380615</v>
      </c>
      <c r="P51" s="811">
        <v>2650.0771479999999</v>
      </c>
      <c r="Q51" s="811">
        <v>2652.5317380000001</v>
      </c>
      <c r="R51" s="811">
        <v>2654.577393</v>
      </c>
      <c r="S51" s="811">
        <v>2666.46875</v>
      </c>
      <c r="T51" s="811">
        <v>2675.798828</v>
      </c>
      <c r="U51" s="811">
        <v>2681.9567870000001</v>
      </c>
      <c r="V51" s="811">
        <v>2687.086182</v>
      </c>
      <c r="W51" s="811">
        <v>2688.7114259999998</v>
      </c>
      <c r="X51" s="811">
        <v>2686.5551759999998</v>
      </c>
      <c r="Y51" s="811">
        <v>2691.1965329999998</v>
      </c>
      <c r="Z51" s="811">
        <v>2697.6176759999998</v>
      </c>
      <c r="AA51" s="811">
        <v>2676.4494629999999</v>
      </c>
      <c r="AB51" s="811">
        <v>2676.601807</v>
      </c>
      <c r="AC51" s="811">
        <v>2691.5505370000001</v>
      </c>
      <c r="AD51" s="811">
        <v>2699.420654</v>
      </c>
      <c r="AE51" s="811">
        <v>2697.4113769999999</v>
      </c>
      <c r="AF51" s="810">
        <v>-4.7199999999999998E-4</v>
      </c>
      <c r="AG51" s="802"/>
    </row>
    <row r="52" spans="1:33" ht="15" customHeight="1">
      <c r="B52" s="802"/>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row>
    <row r="53" spans="1:33" ht="15" customHeight="1">
      <c r="B53" s="808" t="s">
        <v>4304</v>
      </c>
      <c r="C53" s="802"/>
      <c r="D53" s="802"/>
      <c r="E53" s="802"/>
      <c r="F53" s="80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2"/>
    </row>
    <row r="54" spans="1:33" ht="15" customHeight="1">
      <c r="A54" s="800" t="s">
        <v>4305</v>
      </c>
      <c r="B54" s="808" t="s">
        <v>4306</v>
      </c>
      <c r="C54" s="809">
        <v>190.94447299999999</v>
      </c>
      <c r="D54" s="809">
        <v>196.15536499999999</v>
      </c>
      <c r="E54" s="809">
        <v>180.38502500000001</v>
      </c>
      <c r="F54" s="809">
        <v>179.357147</v>
      </c>
      <c r="G54" s="809">
        <v>178.974197</v>
      </c>
      <c r="H54" s="809">
        <v>177.77162200000001</v>
      </c>
      <c r="I54" s="809">
        <v>178.99766500000001</v>
      </c>
      <c r="J54" s="809">
        <v>179.93147300000001</v>
      </c>
      <c r="K54" s="809">
        <v>180.766052</v>
      </c>
      <c r="L54" s="809">
        <v>180.037262</v>
      </c>
      <c r="M54" s="809">
        <v>180.33992000000001</v>
      </c>
      <c r="N54" s="809">
        <v>179.87760900000001</v>
      </c>
      <c r="O54" s="809">
        <v>181.14324999999999</v>
      </c>
      <c r="P54" s="809">
        <v>181.018372</v>
      </c>
      <c r="Q54" s="809">
        <v>181.11215200000001</v>
      </c>
      <c r="R54" s="809">
        <v>181.16729699999999</v>
      </c>
      <c r="S54" s="809">
        <v>181.716095</v>
      </c>
      <c r="T54" s="809">
        <v>182.31068400000001</v>
      </c>
      <c r="U54" s="809">
        <v>182.69042999999999</v>
      </c>
      <c r="V54" s="809">
        <v>182.93481399999999</v>
      </c>
      <c r="W54" s="809">
        <v>183.08959999999999</v>
      </c>
      <c r="X54" s="809">
        <v>182.77444499999999</v>
      </c>
      <c r="Y54" s="809">
        <v>182.81523100000001</v>
      </c>
      <c r="Z54" s="809">
        <v>182.99636799999999</v>
      </c>
      <c r="AA54" s="809">
        <v>181.58215300000001</v>
      </c>
      <c r="AB54" s="809">
        <v>181.47122200000001</v>
      </c>
      <c r="AC54" s="809">
        <v>182.22730999999999</v>
      </c>
      <c r="AD54" s="809">
        <v>182.62582399999999</v>
      </c>
      <c r="AE54" s="809">
        <v>182.14231899999999</v>
      </c>
      <c r="AF54" s="810">
        <v>-1.684E-3</v>
      </c>
      <c r="AG54" s="802"/>
    </row>
    <row r="55" spans="1:33" ht="15" customHeight="1">
      <c r="B55" s="802"/>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802"/>
      <c r="AE55" s="802"/>
      <c r="AF55" s="802"/>
      <c r="AG55" s="802"/>
    </row>
    <row r="56" spans="1:33" ht="15" customHeight="1">
      <c r="B56" s="802"/>
      <c r="C56" s="802"/>
      <c r="D56" s="802"/>
      <c r="E56" s="802"/>
      <c r="F56" s="802"/>
      <c r="G56" s="802"/>
      <c r="H56" s="802"/>
      <c r="I56" s="802"/>
      <c r="J56" s="802"/>
      <c r="K56" s="802"/>
      <c r="L56" s="802"/>
      <c r="M56" s="802"/>
      <c r="N56" s="802"/>
      <c r="O56" s="802"/>
      <c r="P56" s="802"/>
      <c r="Q56" s="802"/>
      <c r="R56" s="802"/>
      <c r="S56" s="802"/>
      <c r="T56" s="802"/>
      <c r="U56" s="802"/>
      <c r="V56" s="802"/>
      <c r="W56" s="802"/>
      <c r="X56" s="802"/>
      <c r="Y56" s="802"/>
      <c r="Z56" s="802"/>
      <c r="AA56" s="802"/>
      <c r="AB56" s="802"/>
      <c r="AC56" s="802"/>
      <c r="AD56" s="802"/>
      <c r="AE56" s="802"/>
      <c r="AF56" s="802"/>
      <c r="AG56" s="802"/>
    </row>
    <row r="57" spans="1:33" ht="15" customHeight="1">
      <c r="B57" s="808" t="s">
        <v>4307</v>
      </c>
      <c r="C57" s="802"/>
      <c r="D57" s="802"/>
      <c r="E57" s="802"/>
      <c r="F57" s="802"/>
      <c r="G57" s="802"/>
      <c r="H57" s="802"/>
      <c r="I57" s="802"/>
      <c r="J57" s="802"/>
      <c r="K57" s="802"/>
      <c r="L57" s="802"/>
      <c r="M57" s="802"/>
      <c r="N57" s="802"/>
      <c r="O57" s="802"/>
      <c r="P57" s="802"/>
      <c r="Q57" s="802"/>
      <c r="R57" s="802"/>
      <c r="S57" s="802"/>
      <c r="T57" s="802"/>
      <c r="U57" s="802"/>
      <c r="V57" s="802"/>
      <c r="W57" s="802"/>
      <c r="X57" s="802"/>
      <c r="Y57" s="802"/>
      <c r="Z57" s="802"/>
      <c r="AA57" s="802"/>
      <c r="AB57" s="802"/>
      <c r="AC57" s="802"/>
      <c r="AD57" s="802"/>
      <c r="AE57" s="802"/>
      <c r="AF57" s="802"/>
      <c r="AG57" s="802"/>
    </row>
    <row r="58" spans="1:33" ht="15" customHeight="1">
      <c r="B58" s="808" t="s">
        <v>4308</v>
      </c>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s="802"/>
      <c r="AG58" s="802"/>
    </row>
    <row r="59" spans="1:33" ht="15" customHeight="1">
      <c r="A59" s="800" t="s">
        <v>4309</v>
      </c>
      <c r="B59" s="812" t="s">
        <v>4283</v>
      </c>
      <c r="C59" s="813">
        <v>3.6811999999999998E-2</v>
      </c>
      <c r="D59" s="813">
        <v>3.2808999999999998E-2</v>
      </c>
      <c r="E59" s="813">
        <v>0</v>
      </c>
      <c r="F59" s="813">
        <v>0</v>
      </c>
      <c r="G59" s="813">
        <v>0</v>
      </c>
      <c r="H59" s="813">
        <v>0</v>
      </c>
      <c r="I59" s="813">
        <v>0</v>
      </c>
      <c r="J59" s="813">
        <v>0</v>
      </c>
      <c r="K59" s="813">
        <v>0</v>
      </c>
      <c r="L59" s="813">
        <v>0</v>
      </c>
      <c r="M59" s="813">
        <v>0</v>
      </c>
      <c r="N59" s="813">
        <v>0</v>
      </c>
      <c r="O59" s="813">
        <v>0</v>
      </c>
      <c r="P59" s="813">
        <v>0</v>
      </c>
      <c r="Q59" s="813">
        <v>0</v>
      </c>
      <c r="R59" s="813">
        <v>0</v>
      </c>
      <c r="S59" s="813">
        <v>0</v>
      </c>
      <c r="T59" s="813">
        <v>0</v>
      </c>
      <c r="U59" s="813">
        <v>0</v>
      </c>
      <c r="V59" s="813">
        <v>0</v>
      </c>
      <c r="W59" s="813">
        <v>0</v>
      </c>
      <c r="X59" s="813">
        <v>0</v>
      </c>
      <c r="Y59" s="813">
        <v>0</v>
      </c>
      <c r="Z59" s="813">
        <v>0</v>
      </c>
      <c r="AA59" s="813">
        <v>0</v>
      </c>
      <c r="AB59" s="813">
        <v>0</v>
      </c>
      <c r="AC59" s="813">
        <v>0</v>
      </c>
      <c r="AD59" s="813">
        <v>0</v>
      </c>
      <c r="AE59" s="813">
        <v>0</v>
      </c>
      <c r="AF59" s="814" t="s">
        <v>2805</v>
      </c>
      <c r="AG59" s="802"/>
    </row>
    <row r="60" spans="1:33" ht="15" customHeight="1">
      <c r="A60" s="800" t="s">
        <v>4310</v>
      </c>
      <c r="B60" s="812" t="s">
        <v>4285</v>
      </c>
      <c r="C60" s="813">
        <v>0.279532</v>
      </c>
      <c r="D60" s="813">
        <v>0.22917100000000001</v>
      </c>
      <c r="E60" s="813">
        <v>0</v>
      </c>
      <c r="F60" s="813">
        <v>0</v>
      </c>
      <c r="G60" s="813">
        <v>0</v>
      </c>
      <c r="H60" s="813">
        <v>0</v>
      </c>
      <c r="I60" s="813">
        <v>0</v>
      </c>
      <c r="J60" s="813">
        <v>0</v>
      </c>
      <c r="K60" s="813">
        <v>0</v>
      </c>
      <c r="L60" s="813">
        <v>0</v>
      </c>
      <c r="M60" s="813">
        <v>0</v>
      </c>
      <c r="N60" s="813">
        <v>0</v>
      </c>
      <c r="O60" s="813">
        <v>0</v>
      </c>
      <c r="P60" s="813">
        <v>0</v>
      </c>
      <c r="Q60" s="813">
        <v>0</v>
      </c>
      <c r="R60" s="813">
        <v>0</v>
      </c>
      <c r="S60" s="813">
        <v>0</v>
      </c>
      <c r="T60" s="813">
        <v>0</v>
      </c>
      <c r="U60" s="813">
        <v>0</v>
      </c>
      <c r="V60" s="813">
        <v>0</v>
      </c>
      <c r="W60" s="813">
        <v>0</v>
      </c>
      <c r="X60" s="813">
        <v>0</v>
      </c>
      <c r="Y60" s="813">
        <v>0</v>
      </c>
      <c r="Z60" s="813">
        <v>0</v>
      </c>
      <c r="AA60" s="813">
        <v>0</v>
      </c>
      <c r="AB60" s="813">
        <v>0</v>
      </c>
      <c r="AC60" s="813">
        <v>0</v>
      </c>
      <c r="AD60" s="813">
        <v>0</v>
      </c>
      <c r="AE60" s="813">
        <v>0</v>
      </c>
      <c r="AF60" s="814" t="s">
        <v>2805</v>
      </c>
      <c r="AG60" s="802"/>
    </row>
    <row r="61" spans="1:33" ht="15" customHeight="1">
      <c r="A61" s="800" t="s">
        <v>4311</v>
      </c>
      <c r="B61" s="812" t="s">
        <v>4287</v>
      </c>
      <c r="C61" s="813">
        <v>1.171972</v>
      </c>
      <c r="D61" s="813">
        <v>0.77744999999999997</v>
      </c>
      <c r="E61" s="813">
        <v>0</v>
      </c>
      <c r="F61" s="813">
        <v>0</v>
      </c>
      <c r="G61" s="813">
        <v>0</v>
      </c>
      <c r="H61" s="813">
        <v>0</v>
      </c>
      <c r="I61" s="813">
        <v>0</v>
      </c>
      <c r="J61" s="813">
        <v>0</v>
      </c>
      <c r="K61" s="813">
        <v>0</v>
      </c>
      <c r="L61" s="813">
        <v>0</v>
      </c>
      <c r="M61" s="813">
        <v>0</v>
      </c>
      <c r="N61" s="813">
        <v>0</v>
      </c>
      <c r="O61" s="813">
        <v>0</v>
      </c>
      <c r="P61" s="813">
        <v>0</v>
      </c>
      <c r="Q61" s="813">
        <v>0</v>
      </c>
      <c r="R61" s="813">
        <v>0</v>
      </c>
      <c r="S61" s="813">
        <v>0</v>
      </c>
      <c r="T61" s="813">
        <v>0</v>
      </c>
      <c r="U61" s="813">
        <v>0</v>
      </c>
      <c r="V61" s="813">
        <v>0</v>
      </c>
      <c r="W61" s="813">
        <v>0</v>
      </c>
      <c r="X61" s="813">
        <v>0</v>
      </c>
      <c r="Y61" s="813">
        <v>0</v>
      </c>
      <c r="Z61" s="813">
        <v>0</v>
      </c>
      <c r="AA61" s="813">
        <v>0</v>
      </c>
      <c r="AB61" s="813">
        <v>0</v>
      </c>
      <c r="AC61" s="813">
        <v>0</v>
      </c>
      <c r="AD61" s="813">
        <v>0</v>
      </c>
      <c r="AE61" s="813">
        <v>0</v>
      </c>
      <c r="AF61" s="814" t="s">
        <v>2805</v>
      </c>
      <c r="AG61" s="802"/>
    </row>
    <row r="62" spans="1:33" ht="15" customHeight="1">
      <c r="A62" s="800" t="s">
        <v>4312</v>
      </c>
      <c r="B62" s="812" t="s">
        <v>4289</v>
      </c>
      <c r="C62" s="813">
        <v>74.093491</v>
      </c>
      <c r="D62" s="813">
        <v>73.486548999999997</v>
      </c>
      <c r="E62" s="813">
        <v>80.443314000000001</v>
      </c>
      <c r="F62" s="813">
        <v>80.296104</v>
      </c>
      <c r="G62" s="813">
        <v>79.500609999999995</v>
      </c>
      <c r="H62" s="813">
        <v>78.633719999999997</v>
      </c>
      <c r="I62" s="813">
        <v>78.481521999999998</v>
      </c>
      <c r="J62" s="813">
        <v>78.380859000000001</v>
      </c>
      <c r="K62" s="813">
        <v>77.873824999999997</v>
      </c>
      <c r="L62" s="813">
        <v>77.587135000000004</v>
      </c>
      <c r="M62" s="813">
        <v>77.593491</v>
      </c>
      <c r="N62" s="813">
        <v>77.373192000000003</v>
      </c>
      <c r="O62" s="813">
        <v>77.168907000000004</v>
      </c>
      <c r="P62" s="813">
        <v>77.075599999999994</v>
      </c>
      <c r="Q62" s="813">
        <v>77.273239000000004</v>
      </c>
      <c r="R62" s="813">
        <v>76.922652999999997</v>
      </c>
      <c r="S62" s="813">
        <v>76.857826000000003</v>
      </c>
      <c r="T62" s="813">
        <v>77.018699999999995</v>
      </c>
      <c r="U62" s="813">
        <v>77.180710000000005</v>
      </c>
      <c r="V62" s="813">
        <v>76.829796000000002</v>
      </c>
      <c r="W62" s="813">
        <v>76.955757000000006</v>
      </c>
      <c r="X62" s="813">
        <v>76.481949</v>
      </c>
      <c r="Y62" s="813">
        <v>76.279410999999996</v>
      </c>
      <c r="Z62" s="813">
        <v>76.369986999999995</v>
      </c>
      <c r="AA62" s="813">
        <v>76.414458999999994</v>
      </c>
      <c r="AB62" s="813">
        <v>76.584862000000001</v>
      </c>
      <c r="AC62" s="813">
        <v>77.203270000000003</v>
      </c>
      <c r="AD62" s="813">
        <v>77.521209999999996</v>
      </c>
      <c r="AE62" s="813">
        <v>77.463036000000002</v>
      </c>
      <c r="AF62" s="814">
        <v>1.5900000000000001E-3</v>
      </c>
      <c r="AG62" s="802"/>
    </row>
    <row r="63" spans="1:33" ht="15" customHeight="1">
      <c r="A63" s="800" t="s">
        <v>4313</v>
      </c>
      <c r="B63" s="812" t="s">
        <v>4291</v>
      </c>
      <c r="C63" s="813">
        <v>219.75984199999999</v>
      </c>
      <c r="D63" s="813">
        <v>217.85063199999999</v>
      </c>
      <c r="E63" s="813">
        <v>200.930328</v>
      </c>
      <c r="F63" s="813">
        <v>199.458282</v>
      </c>
      <c r="G63" s="813">
        <v>202.79457099999999</v>
      </c>
      <c r="H63" s="813">
        <v>201.86045799999999</v>
      </c>
      <c r="I63" s="813">
        <v>205.35060100000001</v>
      </c>
      <c r="J63" s="813">
        <v>205.398788</v>
      </c>
      <c r="K63" s="813">
        <v>206.63874799999999</v>
      </c>
      <c r="L63" s="813">
        <v>207.06393399999999</v>
      </c>
      <c r="M63" s="813">
        <v>209.043961</v>
      </c>
      <c r="N63" s="813">
        <v>208.604614</v>
      </c>
      <c r="O63" s="813">
        <v>211.66915900000001</v>
      </c>
      <c r="P63" s="813">
        <v>211.99700899999999</v>
      </c>
      <c r="Q63" s="813">
        <v>211.83935500000001</v>
      </c>
      <c r="R63" s="813">
        <v>213.98129299999999</v>
      </c>
      <c r="S63" s="813">
        <v>213.99009699999999</v>
      </c>
      <c r="T63" s="813">
        <v>215.466736</v>
      </c>
      <c r="U63" s="813">
        <v>215.97377</v>
      </c>
      <c r="V63" s="813">
        <v>216.51388499999999</v>
      </c>
      <c r="W63" s="813">
        <v>216.70343</v>
      </c>
      <c r="X63" s="813">
        <v>217.519867</v>
      </c>
      <c r="Y63" s="813">
        <v>216.96610999999999</v>
      </c>
      <c r="Z63" s="813">
        <v>217.22345000000001</v>
      </c>
      <c r="AA63" s="813">
        <v>215.220291</v>
      </c>
      <c r="AB63" s="813">
        <v>215.60124200000001</v>
      </c>
      <c r="AC63" s="813">
        <v>214.88279700000001</v>
      </c>
      <c r="AD63" s="813">
        <v>214.21582000000001</v>
      </c>
      <c r="AE63" s="813">
        <v>213.27246099999999</v>
      </c>
      <c r="AF63" s="814">
        <v>-1.07E-3</v>
      </c>
      <c r="AG63" s="802"/>
    </row>
    <row r="64" spans="1:33" ht="15" customHeight="1">
      <c r="A64" s="800" t="s">
        <v>4314</v>
      </c>
      <c r="B64" s="812" t="s">
        <v>4293</v>
      </c>
      <c r="C64" s="813">
        <v>0.50883500000000004</v>
      </c>
      <c r="D64" s="813">
        <v>0.81433900000000004</v>
      </c>
      <c r="E64" s="813">
        <v>2.8329080000000002</v>
      </c>
      <c r="F64" s="813">
        <v>2.3073220000000001</v>
      </c>
      <c r="G64" s="813">
        <v>0.478686</v>
      </c>
      <c r="H64" s="813">
        <v>0.78408999999999995</v>
      </c>
      <c r="I64" s="813">
        <v>7.6499999999999995E-4</v>
      </c>
      <c r="J64" s="813">
        <v>5.0670000000000003E-3</v>
      </c>
      <c r="K64" s="813">
        <v>2.8410000000000002E-3</v>
      </c>
      <c r="L64" s="813">
        <v>0</v>
      </c>
      <c r="M64" s="813">
        <v>4.3020000000000003E-3</v>
      </c>
      <c r="N64" s="813">
        <v>0</v>
      </c>
      <c r="O64" s="813">
        <v>0</v>
      </c>
      <c r="P64" s="813">
        <v>2.33E-4</v>
      </c>
      <c r="Q64" s="813">
        <v>1.5740000000000001E-3</v>
      </c>
      <c r="R64" s="813">
        <v>0</v>
      </c>
      <c r="S64" s="813">
        <v>0</v>
      </c>
      <c r="T64" s="813">
        <v>0</v>
      </c>
      <c r="U64" s="813">
        <v>0</v>
      </c>
      <c r="V64" s="813">
        <v>0.49279699999999999</v>
      </c>
      <c r="W64" s="813">
        <v>0.93107099999999998</v>
      </c>
      <c r="X64" s="813">
        <v>1.5788310000000001</v>
      </c>
      <c r="Y64" s="813">
        <v>2.1697839999999999</v>
      </c>
      <c r="Z64" s="813">
        <v>2.6536749999999998</v>
      </c>
      <c r="AA64" s="813">
        <v>3.3155209999999999</v>
      </c>
      <c r="AB64" s="813">
        <v>3.3299460000000001</v>
      </c>
      <c r="AC64" s="813">
        <v>3.0666739999999999</v>
      </c>
      <c r="AD64" s="813">
        <v>2.7655090000000002</v>
      </c>
      <c r="AE64" s="813">
        <v>2.9351349999999998</v>
      </c>
      <c r="AF64" s="814">
        <v>6.4585000000000004E-2</v>
      </c>
      <c r="AG64" s="802"/>
    </row>
    <row r="65" spans="1:33" ht="15" customHeight="1">
      <c r="A65" s="800" t="s">
        <v>4315</v>
      </c>
      <c r="B65" s="812" t="s">
        <v>4295</v>
      </c>
      <c r="C65" s="813">
        <v>295.85049400000003</v>
      </c>
      <c r="D65" s="813">
        <v>293.19094799999999</v>
      </c>
      <c r="E65" s="813">
        <v>284.20657299999999</v>
      </c>
      <c r="F65" s="813">
        <v>282.06170700000001</v>
      </c>
      <c r="G65" s="813">
        <v>282.773865</v>
      </c>
      <c r="H65" s="813">
        <v>281.27825899999999</v>
      </c>
      <c r="I65" s="813">
        <v>283.83288599999997</v>
      </c>
      <c r="J65" s="813">
        <v>283.78472900000003</v>
      </c>
      <c r="K65" s="813">
        <v>284.51541099999997</v>
      </c>
      <c r="L65" s="813">
        <v>284.65106200000002</v>
      </c>
      <c r="M65" s="813">
        <v>286.64175399999999</v>
      </c>
      <c r="N65" s="813">
        <v>285.97781400000002</v>
      </c>
      <c r="O65" s="813">
        <v>288.83807400000001</v>
      </c>
      <c r="P65" s="813">
        <v>289.07284499999997</v>
      </c>
      <c r="Q65" s="813">
        <v>289.11419699999999</v>
      </c>
      <c r="R65" s="813">
        <v>290.903931</v>
      </c>
      <c r="S65" s="813">
        <v>290.84793100000002</v>
      </c>
      <c r="T65" s="813">
        <v>292.48544299999998</v>
      </c>
      <c r="U65" s="813">
        <v>293.15447999999998</v>
      </c>
      <c r="V65" s="813">
        <v>293.83648699999998</v>
      </c>
      <c r="W65" s="813">
        <v>294.59023999999999</v>
      </c>
      <c r="X65" s="813">
        <v>295.58065800000003</v>
      </c>
      <c r="Y65" s="813">
        <v>295.41528299999999</v>
      </c>
      <c r="Z65" s="813">
        <v>296.24713100000002</v>
      </c>
      <c r="AA65" s="813">
        <v>294.950287</v>
      </c>
      <c r="AB65" s="813">
        <v>295.516052</v>
      </c>
      <c r="AC65" s="813">
        <v>295.15273999999999</v>
      </c>
      <c r="AD65" s="813">
        <v>294.50253300000003</v>
      </c>
      <c r="AE65" s="813">
        <v>293.67065400000001</v>
      </c>
      <c r="AF65" s="814">
        <v>-2.6400000000000002E-4</v>
      </c>
      <c r="AG65" s="802"/>
    </row>
    <row r="66" spans="1:33" ht="15" customHeight="1">
      <c r="A66" s="800" t="s">
        <v>4316</v>
      </c>
      <c r="B66" s="812" t="s">
        <v>4297</v>
      </c>
      <c r="C66" s="813">
        <v>148.48989900000001</v>
      </c>
      <c r="D66" s="813">
        <v>143.989304</v>
      </c>
      <c r="E66" s="813">
        <v>90.417090999999999</v>
      </c>
      <c r="F66" s="813">
        <v>91.599152000000004</v>
      </c>
      <c r="G66" s="813">
        <v>93.297484999999995</v>
      </c>
      <c r="H66" s="813">
        <v>92.846016000000006</v>
      </c>
      <c r="I66" s="813">
        <v>94.663207999999997</v>
      </c>
      <c r="J66" s="813">
        <v>98.257118000000006</v>
      </c>
      <c r="K66" s="813">
        <v>101.533455</v>
      </c>
      <c r="L66" s="813">
        <v>101.041466</v>
      </c>
      <c r="M66" s="813">
        <v>100.370216</v>
      </c>
      <c r="N66" s="813">
        <v>100.63867999999999</v>
      </c>
      <c r="O66" s="813">
        <v>100.601929</v>
      </c>
      <c r="P66" s="813">
        <v>99.818320999999997</v>
      </c>
      <c r="Q66" s="813">
        <v>100.563911</v>
      </c>
      <c r="R66" s="813">
        <v>99.734695000000002</v>
      </c>
      <c r="S66" s="813">
        <v>100.94961499999999</v>
      </c>
      <c r="T66" s="813">
        <v>100.589691</v>
      </c>
      <c r="U66" s="813">
        <v>100.751099</v>
      </c>
      <c r="V66" s="813">
        <v>100.541985</v>
      </c>
      <c r="W66" s="813">
        <v>99.775711000000001</v>
      </c>
      <c r="X66" s="813">
        <v>99.205032000000003</v>
      </c>
      <c r="Y66" s="813">
        <v>99.128487000000007</v>
      </c>
      <c r="Z66" s="813">
        <v>99.839164999999994</v>
      </c>
      <c r="AA66" s="813">
        <v>96.752853000000002</v>
      </c>
      <c r="AB66" s="813">
        <v>97.368567999999996</v>
      </c>
      <c r="AC66" s="813">
        <v>100.35923</v>
      </c>
      <c r="AD66" s="813">
        <v>101.711899</v>
      </c>
      <c r="AE66" s="813">
        <v>103.563652</v>
      </c>
      <c r="AF66" s="814">
        <v>-1.2787E-2</v>
      </c>
      <c r="AG66" s="802"/>
    </row>
    <row r="67" spans="1:33" ht="12" customHeight="1">
      <c r="A67" s="800" t="s">
        <v>4317</v>
      </c>
      <c r="B67" s="812" t="s">
        <v>4299</v>
      </c>
      <c r="C67" s="813">
        <v>0</v>
      </c>
      <c r="D67" s="813">
        <v>0</v>
      </c>
      <c r="E67" s="813">
        <v>0</v>
      </c>
      <c r="F67" s="813">
        <v>0</v>
      </c>
      <c r="G67" s="813">
        <v>0</v>
      </c>
      <c r="H67" s="813">
        <v>0</v>
      </c>
      <c r="I67" s="813">
        <v>0</v>
      </c>
      <c r="J67" s="813">
        <v>0</v>
      </c>
      <c r="K67" s="813">
        <v>0</v>
      </c>
      <c r="L67" s="813">
        <v>0</v>
      </c>
      <c r="M67" s="813">
        <v>0</v>
      </c>
      <c r="N67" s="813">
        <v>0</v>
      </c>
      <c r="O67" s="813">
        <v>0</v>
      </c>
      <c r="P67" s="813">
        <v>0</v>
      </c>
      <c r="Q67" s="813">
        <v>0</v>
      </c>
      <c r="R67" s="813">
        <v>0</v>
      </c>
      <c r="S67" s="813">
        <v>0</v>
      </c>
      <c r="T67" s="813">
        <v>0</v>
      </c>
      <c r="U67" s="813">
        <v>0</v>
      </c>
      <c r="V67" s="813">
        <v>0</v>
      </c>
      <c r="W67" s="813">
        <v>0</v>
      </c>
      <c r="X67" s="813">
        <v>0</v>
      </c>
      <c r="Y67" s="813">
        <v>0</v>
      </c>
      <c r="Z67" s="813">
        <v>0</v>
      </c>
      <c r="AA67" s="813">
        <v>0</v>
      </c>
      <c r="AB67" s="813">
        <v>0</v>
      </c>
      <c r="AC67" s="813">
        <v>0</v>
      </c>
      <c r="AD67" s="813">
        <v>0</v>
      </c>
      <c r="AE67" s="813">
        <v>0</v>
      </c>
      <c r="AF67" s="814" t="s">
        <v>2805</v>
      </c>
      <c r="AG67" s="802"/>
    </row>
    <row r="68" spans="1:33" ht="15" customHeight="1">
      <c r="A68" s="800" t="s">
        <v>4318</v>
      </c>
      <c r="B68" s="812" t="s">
        <v>4301</v>
      </c>
      <c r="C68" s="813">
        <v>25.841358</v>
      </c>
      <c r="D68" s="813">
        <v>23.780529000000001</v>
      </c>
      <c r="E68" s="813">
        <v>22.985393999999999</v>
      </c>
      <c r="F68" s="813">
        <v>22.948734000000002</v>
      </c>
      <c r="G68" s="813">
        <v>23.037699</v>
      </c>
      <c r="H68" s="813">
        <v>22.809839</v>
      </c>
      <c r="I68" s="813">
        <v>23.283777000000001</v>
      </c>
      <c r="J68" s="813">
        <v>23.698833</v>
      </c>
      <c r="K68" s="813">
        <v>24.224688</v>
      </c>
      <c r="L68" s="813">
        <v>24.092673999999999</v>
      </c>
      <c r="M68" s="813">
        <v>24.198854000000001</v>
      </c>
      <c r="N68" s="813">
        <v>24.077555</v>
      </c>
      <c r="O68" s="813">
        <v>24.409901000000001</v>
      </c>
      <c r="P68" s="813">
        <v>24.258452999999999</v>
      </c>
      <c r="Q68" s="813">
        <v>24.329393</v>
      </c>
      <c r="R68" s="813">
        <v>24.334789000000001</v>
      </c>
      <c r="S68" s="813">
        <v>24.422440000000002</v>
      </c>
      <c r="T68" s="813">
        <v>24.554003000000002</v>
      </c>
      <c r="U68" s="813">
        <v>24.549213000000002</v>
      </c>
      <c r="V68" s="813">
        <v>24.567726</v>
      </c>
      <c r="W68" s="813">
        <v>24.553905</v>
      </c>
      <c r="X68" s="813">
        <v>24.485952000000001</v>
      </c>
      <c r="Y68" s="813">
        <v>24.503329999999998</v>
      </c>
      <c r="Z68" s="813">
        <v>24.593413999999999</v>
      </c>
      <c r="AA68" s="813">
        <v>24.830279999999998</v>
      </c>
      <c r="AB68" s="813">
        <v>24.919529000000001</v>
      </c>
      <c r="AC68" s="813">
        <v>25.052492000000001</v>
      </c>
      <c r="AD68" s="813">
        <v>25.125102999999999</v>
      </c>
      <c r="AE68" s="813">
        <v>25.233191999999999</v>
      </c>
      <c r="AF68" s="814">
        <v>-8.4999999999999995E-4</v>
      </c>
      <c r="AG68" s="802"/>
    </row>
    <row r="69" spans="1:33" ht="15" customHeight="1">
      <c r="A69" s="800" t="s">
        <v>4319</v>
      </c>
      <c r="B69" s="808" t="s">
        <v>4276</v>
      </c>
      <c r="C69" s="811">
        <v>470.18176299999999</v>
      </c>
      <c r="D69" s="811">
        <v>460.96075400000001</v>
      </c>
      <c r="E69" s="811">
        <v>397.609039</v>
      </c>
      <c r="F69" s="811">
        <v>396.60958900000003</v>
      </c>
      <c r="G69" s="811">
        <v>399.109039</v>
      </c>
      <c r="H69" s="811">
        <v>396.93411300000002</v>
      </c>
      <c r="I69" s="811">
        <v>401.779877</v>
      </c>
      <c r="J69" s="811">
        <v>405.74066199999999</v>
      </c>
      <c r="K69" s="811">
        <v>410.27355999999997</v>
      </c>
      <c r="L69" s="811">
        <v>409.78521699999999</v>
      </c>
      <c r="M69" s="811">
        <v>411.21081500000003</v>
      </c>
      <c r="N69" s="811">
        <v>410.694031</v>
      </c>
      <c r="O69" s="811">
        <v>413.84991500000001</v>
      </c>
      <c r="P69" s="811">
        <v>413.14962800000001</v>
      </c>
      <c r="Q69" s="811">
        <v>414.00750699999998</v>
      </c>
      <c r="R69" s="811">
        <v>414.973389</v>
      </c>
      <c r="S69" s="811">
        <v>416.21997099999999</v>
      </c>
      <c r="T69" s="811">
        <v>417.62914999999998</v>
      </c>
      <c r="U69" s="811">
        <v>418.45480300000003</v>
      </c>
      <c r="V69" s="811">
        <v>418.94619799999998</v>
      </c>
      <c r="W69" s="811">
        <v>418.91986100000003</v>
      </c>
      <c r="X69" s="811">
        <v>419.27166699999998</v>
      </c>
      <c r="Y69" s="811">
        <v>419.04708900000003</v>
      </c>
      <c r="Z69" s="811">
        <v>420.67971799999998</v>
      </c>
      <c r="AA69" s="811">
        <v>416.53341699999999</v>
      </c>
      <c r="AB69" s="811">
        <v>417.80413800000002</v>
      </c>
      <c r="AC69" s="811">
        <v>420.56445300000001</v>
      </c>
      <c r="AD69" s="811">
        <v>421.33950800000002</v>
      </c>
      <c r="AE69" s="811">
        <v>422.46749899999998</v>
      </c>
      <c r="AF69" s="810">
        <v>-3.8140000000000001E-3</v>
      </c>
      <c r="AG69" s="802"/>
    </row>
    <row r="70" spans="1:33" ht="15" customHeight="1">
      <c r="B70" s="802"/>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1:33" ht="15" customHeight="1">
      <c r="B71" s="808" t="s">
        <v>4320</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1:33" ht="15" customHeight="1">
      <c r="B72" s="808" t="s">
        <v>4321</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1:33" ht="15" customHeight="1">
      <c r="A73" s="800" t="s">
        <v>4322</v>
      </c>
      <c r="B73" s="812" t="s">
        <v>4323</v>
      </c>
      <c r="C73" s="815">
        <v>0.1237</v>
      </c>
      <c r="D73" s="815">
        <v>0.1237</v>
      </c>
      <c r="E73" s="815">
        <v>0.1237</v>
      </c>
      <c r="F73" s="815">
        <v>0.1237</v>
      </c>
      <c r="G73" s="815">
        <v>0.1237</v>
      </c>
      <c r="H73" s="815">
        <v>0.1237</v>
      </c>
      <c r="I73" s="815">
        <v>0.1237</v>
      </c>
      <c r="J73" s="815">
        <v>0.1237</v>
      </c>
      <c r="K73" s="815">
        <v>0.1237</v>
      </c>
      <c r="L73" s="815">
        <v>0.1237</v>
      </c>
      <c r="M73" s="815">
        <v>0.1237</v>
      </c>
      <c r="N73" s="815">
        <v>0.1237</v>
      </c>
      <c r="O73" s="815">
        <v>0.1237</v>
      </c>
      <c r="P73" s="815">
        <v>0.1237</v>
      </c>
      <c r="Q73" s="815">
        <v>0.1237</v>
      </c>
      <c r="R73" s="815">
        <v>0.1237</v>
      </c>
      <c r="S73" s="815">
        <v>0.1237</v>
      </c>
      <c r="T73" s="815">
        <v>0.1237</v>
      </c>
      <c r="U73" s="815">
        <v>0.1237</v>
      </c>
      <c r="V73" s="815">
        <v>0.1237</v>
      </c>
      <c r="W73" s="815">
        <v>0.1237</v>
      </c>
      <c r="X73" s="815">
        <v>0.1237</v>
      </c>
      <c r="Y73" s="815">
        <v>0.1237</v>
      </c>
      <c r="Z73" s="815">
        <v>0.1237</v>
      </c>
      <c r="AA73" s="815">
        <v>0.1237</v>
      </c>
      <c r="AB73" s="815">
        <v>0.1237</v>
      </c>
      <c r="AC73" s="815">
        <v>0.1237</v>
      </c>
      <c r="AD73" s="815">
        <v>0.1237</v>
      </c>
      <c r="AE73" s="815">
        <v>0.1237</v>
      </c>
      <c r="AF73" s="814">
        <v>0</v>
      </c>
      <c r="AG73" s="802"/>
    </row>
    <row r="74" spans="1:33" ht="15" customHeight="1">
      <c r="A74" s="800" t="s">
        <v>4324</v>
      </c>
      <c r="B74" s="812" t="s">
        <v>4297</v>
      </c>
      <c r="C74" s="815">
        <v>3.5505</v>
      </c>
      <c r="D74" s="815">
        <v>3.5505</v>
      </c>
      <c r="E74" s="815">
        <v>3.5505</v>
      </c>
      <c r="F74" s="815">
        <v>3.5505</v>
      </c>
      <c r="G74" s="815">
        <v>3.5505</v>
      </c>
      <c r="H74" s="815">
        <v>3.5505</v>
      </c>
      <c r="I74" s="815">
        <v>3.5505</v>
      </c>
      <c r="J74" s="815">
        <v>3.5505</v>
      </c>
      <c r="K74" s="815">
        <v>3.5505</v>
      </c>
      <c r="L74" s="815">
        <v>3.5505</v>
      </c>
      <c r="M74" s="815">
        <v>3.5505</v>
      </c>
      <c r="N74" s="815">
        <v>3.5505</v>
      </c>
      <c r="O74" s="815">
        <v>3.5505</v>
      </c>
      <c r="P74" s="815">
        <v>3.5505</v>
      </c>
      <c r="Q74" s="815">
        <v>3.5505</v>
      </c>
      <c r="R74" s="815">
        <v>3.5505</v>
      </c>
      <c r="S74" s="815">
        <v>3.5505</v>
      </c>
      <c r="T74" s="815">
        <v>3.5505</v>
      </c>
      <c r="U74" s="815">
        <v>3.5505</v>
      </c>
      <c r="V74" s="815">
        <v>3.5505</v>
      </c>
      <c r="W74" s="815">
        <v>3.5505</v>
      </c>
      <c r="X74" s="815">
        <v>3.5505</v>
      </c>
      <c r="Y74" s="815">
        <v>3.5505</v>
      </c>
      <c r="Z74" s="815">
        <v>3.5505</v>
      </c>
      <c r="AA74" s="815">
        <v>3.5505</v>
      </c>
      <c r="AB74" s="815">
        <v>3.5505</v>
      </c>
      <c r="AC74" s="815">
        <v>3.5505</v>
      </c>
      <c r="AD74" s="815">
        <v>3.5505</v>
      </c>
      <c r="AE74" s="815">
        <v>3.5505</v>
      </c>
      <c r="AF74" s="814">
        <v>0</v>
      </c>
      <c r="AG74" s="802"/>
    </row>
    <row r="75" spans="1:33" ht="12" customHeight="1">
      <c r="A75" s="800" t="s">
        <v>4325</v>
      </c>
      <c r="B75" s="812" t="s">
        <v>4326</v>
      </c>
      <c r="C75" s="815">
        <v>0</v>
      </c>
      <c r="D75" s="815">
        <v>0</v>
      </c>
      <c r="E75" s="815">
        <v>0</v>
      </c>
      <c r="F75" s="815">
        <v>0</v>
      </c>
      <c r="G75" s="815">
        <v>0</v>
      </c>
      <c r="H75" s="815">
        <v>0</v>
      </c>
      <c r="I75" s="815">
        <v>0</v>
      </c>
      <c r="J75" s="815">
        <v>0</v>
      </c>
      <c r="K75" s="815">
        <v>0</v>
      </c>
      <c r="L75" s="815">
        <v>0</v>
      </c>
      <c r="M75" s="815">
        <v>0</v>
      </c>
      <c r="N75" s="815">
        <v>0</v>
      </c>
      <c r="O75" s="815">
        <v>0</v>
      </c>
      <c r="P75" s="815">
        <v>0</v>
      </c>
      <c r="Q75" s="815">
        <v>0</v>
      </c>
      <c r="R75" s="815">
        <v>0</v>
      </c>
      <c r="S75" s="815">
        <v>0</v>
      </c>
      <c r="T75" s="815">
        <v>0</v>
      </c>
      <c r="U75" s="815">
        <v>0</v>
      </c>
      <c r="V75" s="815">
        <v>0</v>
      </c>
      <c r="W75" s="815">
        <v>0</v>
      </c>
      <c r="X75" s="815">
        <v>0</v>
      </c>
      <c r="Y75" s="815">
        <v>0</v>
      </c>
      <c r="Z75" s="815">
        <v>0</v>
      </c>
      <c r="AA75" s="815">
        <v>0</v>
      </c>
      <c r="AB75" s="815">
        <v>0</v>
      </c>
      <c r="AC75" s="815">
        <v>0</v>
      </c>
      <c r="AD75" s="815">
        <v>0</v>
      </c>
      <c r="AE75" s="815">
        <v>0</v>
      </c>
      <c r="AF75" s="814" t="s">
        <v>2805</v>
      </c>
      <c r="AG75" s="802"/>
    </row>
    <row r="76" spans="1:33" ht="15" customHeight="1">
      <c r="A76" s="800" t="s">
        <v>4327</v>
      </c>
      <c r="B76" s="812" t="s">
        <v>4328</v>
      </c>
      <c r="C76" s="815">
        <v>0.85780000000000001</v>
      </c>
      <c r="D76" s="815">
        <v>0.85780000000000001</v>
      </c>
      <c r="E76" s="815">
        <v>0.85780000000000001</v>
      </c>
      <c r="F76" s="815">
        <v>0.85780000000000001</v>
      </c>
      <c r="G76" s="815">
        <v>0.85780000000000001</v>
      </c>
      <c r="H76" s="815">
        <v>0.85780000000000001</v>
      </c>
      <c r="I76" s="815">
        <v>0.85780000000000001</v>
      </c>
      <c r="J76" s="815">
        <v>0.85780000000000001</v>
      </c>
      <c r="K76" s="815">
        <v>0.85780000000000001</v>
      </c>
      <c r="L76" s="815">
        <v>0.85780000000000001</v>
      </c>
      <c r="M76" s="815">
        <v>0.85780000000000001</v>
      </c>
      <c r="N76" s="815">
        <v>0.85780000000000001</v>
      </c>
      <c r="O76" s="815">
        <v>0.85780000000000001</v>
      </c>
      <c r="P76" s="815">
        <v>0.85780000000000001</v>
      </c>
      <c r="Q76" s="815">
        <v>0.85780000000000001</v>
      </c>
      <c r="R76" s="815">
        <v>0.85780000000000001</v>
      </c>
      <c r="S76" s="815">
        <v>0.85780000000000001</v>
      </c>
      <c r="T76" s="815">
        <v>0.85780000000000001</v>
      </c>
      <c r="U76" s="815">
        <v>0.85780000000000001</v>
      </c>
      <c r="V76" s="815">
        <v>0.85780000000000001</v>
      </c>
      <c r="W76" s="815">
        <v>0.85780000000000001</v>
      </c>
      <c r="X76" s="815">
        <v>0.85780000000000001</v>
      </c>
      <c r="Y76" s="815">
        <v>0.85780000000000001</v>
      </c>
      <c r="Z76" s="815">
        <v>0.85780000000000001</v>
      </c>
      <c r="AA76" s="815">
        <v>0.85780000000000001</v>
      </c>
      <c r="AB76" s="815">
        <v>0.85780000000000001</v>
      </c>
      <c r="AC76" s="815">
        <v>0.85780000000000001</v>
      </c>
      <c r="AD76" s="815">
        <v>0.85780000000000001</v>
      </c>
      <c r="AE76" s="815">
        <v>0.85780000000000001</v>
      </c>
      <c r="AF76" s="814">
        <v>0</v>
      </c>
      <c r="AG76" s="802"/>
    </row>
    <row r="77" spans="1:33" ht="15" customHeight="1">
      <c r="A77" s="800" t="s">
        <v>4329</v>
      </c>
      <c r="B77" s="808" t="s">
        <v>4303</v>
      </c>
      <c r="C77" s="816">
        <v>4.532</v>
      </c>
      <c r="D77" s="816">
        <v>4.532</v>
      </c>
      <c r="E77" s="816">
        <v>4.532</v>
      </c>
      <c r="F77" s="816">
        <v>4.532</v>
      </c>
      <c r="G77" s="816">
        <v>4.532</v>
      </c>
      <c r="H77" s="816">
        <v>4.532</v>
      </c>
      <c r="I77" s="816">
        <v>4.532</v>
      </c>
      <c r="J77" s="816">
        <v>4.532</v>
      </c>
      <c r="K77" s="816">
        <v>4.532</v>
      </c>
      <c r="L77" s="816">
        <v>4.532</v>
      </c>
      <c r="M77" s="816">
        <v>4.532</v>
      </c>
      <c r="N77" s="816">
        <v>4.532</v>
      </c>
      <c r="O77" s="816">
        <v>4.532</v>
      </c>
      <c r="P77" s="816">
        <v>4.532</v>
      </c>
      <c r="Q77" s="816">
        <v>4.532</v>
      </c>
      <c r="R77" s="816">
        <v>4.532</v>
      </c>
      <c r="S77" s="816">
        <v>4.532</v>
      </c>
      <c r="T77" s="816">
        <v>4.532</v>
      </c>
      <c r="U77" s="816">
        <v>4.532</v>
      </c>
      <c r="V77" s="816">
        <v>4.532</v>
      </c>
      <c r="W77" s="816">
        <v>4.532</v>
      </c>
      <c r="X77" s="816">
        <v>4.532</v>
      </c>
      <c r="Y77" s="816">
        <v>4.532</v>
      </c>
      <c r="Z77" s="816">
        <v>4.532</v>
      </c>
      <c r="AA77" s="816">
        <v>4.532</v>
      </c>
      <c r="AB77" s="816">
        <v>4.532</v>
      </c>
      <c r="AC77" s="816">
        <v>4.532</v>
      </c>
      <c r="AD77" s="816">
        <v>4.532</v>
      </c>
      <c r="AE77" s="816">
        <v>4.532</v>
      </c>
      <c r="AF77" s="810">
        <v>0</v>
      </c>
      <c r="AG77" s="802"/>
    </row>
    <row r="78" spans="1:33" ht="15" customHeight="1">
      <c r="B78" s="808" t="s">
        <v>4330</v>
      </c>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3" ht="15" customHeight="1">
      <c r="A79" s="800" t="s">
        <v>4331</v>
      </c>
      <c r="B79" s="812" t="s">
        <v>4323</v>
      </c>
      <c r="C79" s="815">
        <v>0.28312999999999999</v>
      </c>
      <c r="D79" s="815">
        <v>0.28312999999999999</v>
      </c>
      <c r="E79" s="815">
        <v>0</v>
      </c>
      <c r="F79" s="815">
        <v>0</v>
      </c>
      <c r="G79" s="815">
        <v>0</v>
      </c>
      <c r="H79" s="815">
        <v>0</v>
      </c>
      <c r="I79" s="815">
        <v>0</v>
      </c>
      <c r="J79" s="815">
        <v>0</v>
      </c>
      <c r="K79" s="815">
        <v>0</v>
      </c>
      <c r="L79" s="815">
        <v>0</v>
      </c>
      <c r="M79" s="815">
        <v>0</v>
      </c>
      <c r="N79" s="815">
        <v>0</v>
      </c>
      <c r="O79" s="815">
        <v>0</v>
      </c>
      <c r="P79" s="815">
        <v>0</v>
      </c>
      <c r="Q79" s="815">
        <v>0</v>
      </c>
      <c r="R79" s="815">
        <v>0</v>
      </c>
      <c r="S79" s="815">
        <v>0</v>
      </c>
      <c r="T79" s="815">
        <v>0</v>
      </c>
      <c r="U79" s="815">
        <v>0</v>
      </c>
      <c r="V79" s="815">
        <v>0</v>
      </c>
      <c r="W79" s="815">
        <v>0</v>
      </c>
      <c r="X79" s="815">
        <v>0</v>
      </c>
      <c r="Y79" s="815">
        <v>0</v>
      </c>
      <c r="Z79" s="815">
        <v>0</v>
      </c>
      <c r="AA79" s="815">
        <v>0</v>
      </c>
      <c r="AB79" s="815">
        <v>0</v>
      </c>
      <c r="AC79" s="815">
        <v>0</v>
      </c>
      <c r="AD79" s="815">
        <v>0</v>
      </c>
      <c r="AE79" s="815">
        <v>0</v>
      </c>
      <c r="AF79" s="814" t="s">
        <v>2805</v>
      </c>
      <c r="AG79" s="802"/>
    </row>
    <row r="80" spans="1:33" ht="15" customHeight="1">
      <c r="A80" s="800" t="s">
        <v>4332</v>
      </c>
      <c r="B80" s="812" t="s">
        <v>4297</v>
      </c>
      <c r="C80" s="815">
        <v>22.292501000000001</v>
      </c>
      <c r="D80" s="815">
        <v>22.292501000000001</v>
      </c>
      <c r="E80" s="815">
        <v>24.438649999999999</v>
      </c>
      <c r="F80" s="815">
        <v>24.438649999999999</v>
      </c>
      <c r="G80" s="815">
        <v>24.438649999999999</v>
      </c>
      <c r="H80" s="815">
        <v>24.438649999999999</v>
      </c>
      <c r="I80" s="815">
        <v>24.438649999999999</v>
      </c>
      <c r="J80" s="815">
        <v>24.438649999999999</v>
      </c>
      <c r="K80" s="815">
        <v>24.438649999999999</v>
      </c>
      <c r="L80" s="815">
        <v>24.438649999999999</v>
      </c>
      <c r="M80" s="815">
        <v>24.438649999999999</v>
      </c>
      <c r="N80" s="815">
        <v>24.438649999999999</v>
      </c>
      <c r="O80" s="815">
        <v>24.438649999999999</v>
      </c>
      <c r="P80" s="815">
        <v>24.438649999999999</v>
      </c>
      <c r="Q80" s="815">
        <v>24.438649999999999</v>
      </c>
      <c r="R80" s="815">
        <v>24.438649999999999</v>
      </c>
      <c r="S80" s="815">
        <v>24.438649999999999</v>
      </c>
      <c r="T80" s="815">
        <v>24.438649999999999</v>
      </c>
      <c r="U80" s="815">
        <v>24.438649999999999</v>
      </c>
      <c r="V80" s="815">
        <v>24.438649999999999</v>
      </c>
      <c r="W80" s="815">
        <v>24.438649999999999</v>
      </c>
      <c r="X80" s="815">
        <v>24.438649999999999</v>
      </c>
      <c r="Y80" s="815">
        <v>24.438649999999999</v>
      </c>
      <c r="Z80" s="815">
        <v>24.438649999999999</v>
      </c>
      <c r="AA80" s="815">
        <v>23.428539000000001</v>
      </c>
      <c r="AB80" s="815">
        <v>23.329193</v>
      </c>
      <c r="AC80" s="815">
        <v>23.575586000000001</v>
      </c>
      <c r="AD80" s="815">
        <v>23.526589999999999</v>
      </c>
      <c r="AE80" s="815">
        <v>23.309422999999999</v>
      </c>
      <c r="AF80" s="814">
        <v>1.5939999999999999E-3</v>
      </c>
      <c r="AG80" s="802"/>
    </row>
    <row r="81" spans="1:34" ht="15" customHeight="1">
      <c r="A81" s="800" t="s">
        <v>4333</v>
      </c>
      <c r="B81" s="812" t="s">
        <v>4326</v>
      </c>
      <c r="C81" s="815">
        <v>0</v>
      </c>
      <c r="D81" s="815">
        <v>0</v>
      </c>
      <c r="E81" s="815">
        <v>0</v>
      </c>
      <c r="F81" s="815">
        <v>0</v>
      </c>
      <c r="G81" s="815">
        <v>0</v>
      </c>
      <c r="H81" s="815">
        <v>0</v>
      </c>
      <c r="I81" s="815">
        <v>0</v>
      </c>
      <c r="J81" s="815">
        <v>0</v>
      </c>
      <c r="K81" s="815">
        <v>0</v>
      </c>
      <c r="L81" s="815">
        <v>0</v>
      </c>
      <c r="M81" s="815">
        <v>0</v>
      </c>
      <c r="N81" s="815">
        <v>0</v>
      </c>
      <c r="O81" s="815">
        <v>0</v>
      </c>
      <c r="P81" s="815">
        <v>0</v>
      </c>
      <c r="Q81" s="815">
        <v>0</v>
      </c>
      <c r="R81" s="815">
        <v>0</v>
      </c>
      <c r="S81" s="815">
        <v>0</v>
      </c>
      <c r="T81" s="815">
        <v>0</v>
      </c>
      <c r="U81" s="815">
        <v>0</v>
      </c>
      <c r="V81" s="815">
        <v>0</v>
      </c>
      <c r="W81" s="815">
        <v>0</v>
      </c>
      <c r="X81" s="815">
        <v>0</v>
      </c>
      <c r="Y81" s="815">
        <v>0</v>
      </c>
      <c r="Z81" s="815">
        <v>0</v>
      </c>
      <c r="AA81" s="815">
        <v>0</v>
      </c>
      <c r="AB81" s="815">
        <v>0</v>
      </c>
      <c r="AC81" s="815">
        <v>0</v>
      </c>
      <c r="AD81" s="815">
        <v>0</v>
      </c>
      <c r="AE81" s="815">
        <v>0</v>
      </c>
      <c r="AF81" s="814" t="s">
        <v>2805</v>
      </c>
      <c r="AG81" s="802"/>
    </row>
    <row r="82" spans="1:34" ht="15" customHeight="1">
      <c r="A82" s="800" t="s">
        <v>4334</v>
      </c>
      <c r="B82" s="812" t="s">
        <v>4328</v>
      </c>
      <c r="C82" s="815">
        <v>4.5923910000000001</v>
      </c>
      <c r="D82" s="815">
        <v>4.5923910000000001</v>
      </c>
      <c r="E82" s="815">
        <v>6.1096630000000003</v>
      </c>
      <c r="F82" s="815">
        <v>6.1096630000000003</v>
      </c>
      <c r="G82" s="815">
        <v>6.1096630000000003</v>
      </c>
      <c r="H82" s="815">
        <v>6.1096630000000003</v>
      </c>
      <c r="I82" s="815">
        <v>6.1096630000000003</v>
      </c>
      <c r="J82" s="815">
        <v>6.1096630000000003</v>
      </c>
      <c r="K82" s="815">
        <v>6.1096630000000003</v>
      </c>
      <c r="L82" s="815">
        <v>6.1096630000000003</v>
      </c>
      <c r="M82" s="815">
        <v>6.1096630000000003</v>
      </c>
      <c r="N82" s="815">
        <v>6.1096630000000003</v>
      </c>
      <c r="O82" s="815">
        <v>6.1096630000000003</v>
      </c>
      <c r="P82" s="815">
        <v>6.1096630000000003</v>
      </c>
      <c r="Q82" s="815">
        <v>6.1096630000000003</v>
      </c>
      <c r="R82" s="815">
        <v>6.1096630000000003</v>
      </c>
      <c r="S82" s="815">
        <v>6.1096630000000003</v>
      </c>
      <c r="T82" s="815">
        <v>6.1096630000000003</v>
      </c>
      <c r="U82" s="815">
        <v>6.1096630000000003</v>
      </c>
      <c r="V82" s="815">
        <v>6.1096630000000003</v>
      </c>
      <c r="W82" s="815">
        <v>6.1096630000000003</v>
      </c>
      <c r="X82" s="815">
        <v>6.1096630000000003</v>
      </c>
      <c r="Y82" s="815">
        <v>6.1096630000000003</v>
      </c>
      <c r="Z82" s="815">
        <v>6.1096630000000003</v>
      </c>
      <c r="AA82" s="815">
        <v>5.8571350000000004</v>
      </c>
      <c r="AB82" s="815">
        <v>5.8322979999999998</v>
      </c>
      <c r="AC82" s="815">
        <v>5.8938969999999999</v>
      </c>
      <c r="AD82" s="815">
        <v>5.8816480000000002</v>
      </c>
      <c r="AE82" s="815">
        <v>5.827356</v>
      </c>
      <c r="AF82" s="814">
        <v>8.5419999999999992E-3</v>
      </c>
      <c r="AG82" s="802"/>
    </row>
    <row r="83" spans="1:34" ht="12" customHeight="1">
      <c r="A83" s="800" t="s">
        <v>4335</v>
      </c>
      <c r="B83" s="808" t="s">
        <v>4303</v>
      </c>
      <c r="C83" s="816">
        <v>27.168022000000001</v>
      </c>
      <c r="D83" s="816">
        <v>27.168022000000001</v>
      </c>
      <c r="E83" s="816">
        <v>30.548313</v>
      </c>
      <c r="F83" s="816">
        <v>30.548313</v>
      </c>
      <c r="G83" s="816">
        <v>30.548313</v>
      </c>
      <c r="H83" s="816">
        <v>30.548313</v>
      </c>
      <c r="I83" s="816">
        <v>30.548313</v>
      </c>
      <c r="J83" s="816">
        <v>30.548313</v>
      </c>
      <c r="K83" s="816">
        <v>30.548313</v>
      </c>
      <c r="L83" s="816">
        <v>30.548313</v>
      </c>
      <c r="M83" s="816">
        <v>30.548313</v>
      </c>
      <c r="N83" s="816">
        <v>30.548313</v>
      </c>
      <c r="O83" s="816">
        <v>30.548313</v>
      </c>
      <c r="P83" s="816">
        <v>30.548313</v>
      </c>
      <c r="Q83" s="816">
        <v>30.548313</v>
      </c>
      <c r="R83" s="816">
        <v>30.548313</v>
      </c>
      <c r="S83" s="816">
        <v>30.548313</v>
      </c>
      <c r="T83" s="816">
        <v>30.548313</v>
      </c>
      <c r="U83" s="816">
        <v>30.548313</v>
      </c>
      <c r="V83" s="816">
        <v>30.548313</v>
      </c>
      <c r="W83" s="816">
        <v>30.548313</v>
      </c>
      <c r="X83" s="816">
        <v>30.548313</v>
      </c>
      <c r="Y83" s="816">
        <v>30.548313</v>
      </c>
      <c r="Z83" s="816">
        <v>30.548313</v>
      </c>
      <c r="AA83" s="816">
        <v>29.285675000000001</v>
      </c>
      <c r="AB83" s="816">
        <v>29.161491000000002</v>
      </c>
      <c r="AC83" s="816">
        <v>29.469481999999999</v>
      </c>
      <c r="AD83" s="816">
        <v>29.408237</v>
      </c>
      <c r="AE83" s="816">
        <v>29.136780000000002</v>
      </c>
      <c r="AF83" s="810">
        <v>2.5019999999999999E-3</v>
      </c>
      <c r="AG83" s="802"/>
    </row>
    <row r="84" spans="1:34" ht="15" customHeight="1">
      <c r="B84" s="808" t="s">
        <v>4336</v>
      </c>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row>
    <row r="85" spans="1:34" ht="15" customHeight="1">
      <c r="A85" s="800" t="s">
        <v>4337</v>
      </c>
      <c r="B85" s="812" t="s">
        <v>4338</v>
      </c>
      <c r="C85" s="815">
        <v>7.8814200000000003</v>
      </c>
      <c r="D85" s="815">
        <v>7.8814200000000003</v>
      </c>
      <c r="E85" s="815">
        <v>0</v>
      </c>
      <c r="F85" s="815">
        <v>0</v>
      </c>
      <c r="G85" s="815">
        <v>0</v>
      </c>
      <c r="H85" s="815">
        <v>0</v>
      </c>
      <c r="I85" s="815">
        <v>0</v>
      </c>
      <c r="J85" s="815">
        <v>0</v>
      </c>
      <c r="K85" s="815">
        <v>0</v>
      </c>
      <c r="L85" s="815">
        <v>0</v>
      </c>
      <c r="M85" s="815">
        <v>0</v>
      </c>
      <c r="N85" s="815">
        <v>0</v>
      </c>
      <c r="O85" s="815">
        <v>0</v>
      </c>
      <c r="P85" s="815">
        <v>0</v>
      </c>
      <c r="Q85" s="815">
        <v>0</v>
      </c>
      <c r="R85" s="815">
        <v>0</v>
      </c>
      <c r="S85" s="815">
        <v>0</v>
      </c>
      <c r="T85" s="815">
        <v>0</v>
      </c>
      <c r="U85" s="815">
        <v>0</v>
      </c>
      <c r="V85" s="815">
        <v>0</v>
      </c>
      <c r="W85" s="815">
        <v>0</v>
      </c>
      <c r="X85" s="815">
        <v>0</v>
      </c>
      <c r="Y85" s="815">
        <v>2.1021999999999999E-2</v>
      </c>
      <c r="Z85" s="815">
        <v>0</v>
      </c>
      <c r="AA85" s="815">
        <v>0.45107000000000003</v>
      </c>
      <c r="AB85" s="815">
        <v>0.36777799999999999</v>
      </c>
      <c r="AC85" s="815">
        <v>0.26255400000000001</v>
      </c>
      <c r="AD85" s="815">
        <v>0.163331</v>
      </c>
      <c r="AE85" s="815">
        <v>4.2835999999999999E-2</v>
      </c>
      <c r="AF85" s="814">
        <v>-0.16993</v>
      </c>
      <c r="AG85" s="802"/>
    </row>
    <row r="86" spans="1:34" ht="15" customHeight="1">
      <c r="A86" s="800" t="s">
        <v>4339</v>
      </c>
      <c r="B86" s="812" t="s">
        <v>4340</v>
      </c>
      <c r="C86" s="815">
        <v>19.286601999999998</v>
      </c>
      <c r="D86" s="815">
        <v>19.286601999999998</v>
      </c>
      <c r="E86" s="815">
        <v>30.548311000000002</v>
      </c>
      <c r="F86" s="815">
        <v>30.548311000000002</v>
      </c>
      <c r="G86" s="815">
        <v>30.548311000000002</v>
      </c>
      <c r="H86" s="815">
        <v>30.548311000000002</v>
      </c>
      <c r="I86" s="815">
        <v>30.548311000000002</v>
      </c>
      <c r="J86" s="815">
        <v>30.548311000000002</v>
      </c>
      <c r="K86" s="815">
        <v>30.548311000000002</v>
      </c>
      <c r="L86" s="815">
        <v>30.548311000000002</v>
      </c>
      <c r="M86" s="815">
        <v>30.548311000000002</v>
      </c>
      <c r="N86" s="815">
        <v>30.548311000000002</v>
      </c>
      <c r="O86" s="815">
        <v>30.548311000000002</v>
      </c>
      <c r="P86" s="815">
        <v>30.548311000000002</v>
      </c>
      <c r="Q86" s="815">
        <v>30.548311000000002</v>
      </c>
      <c r="R86" s="815">
        <v>30.548311000000002</v>
      </c>
      <c r="S86" s="815">
        <v>30.548311000000002</v>
      </c>
      <c r="T86" s="815">
        <v>30.548311000000002</v>
      </c>
      <c r="U86" s="815">
        <v>30.548311000000002</v>
      </c>
      <c r="V86" s="815">
        <v>30.548311000000002</v>
      </c>
      <c r="W86" s="815">
        <v>30.548311000000002</v>
      </c>
      <c r="X86" s="815">
        <v>30.548311000000002</v>
      </c>
      <c r="Y86" s="815">
        <v>30.527287999999999</v>
      </c>
      <c r="Z86" s="815">
        <v>30.548311000000002</v>
      </c>
      <c r="AA86" s="815">
        <v>28.834606000000001</v>
      </c>
      <c r="AB86" s="815">
        <v>28.793713</v>
      </c>
      <c r="AC86" s="815">
        <v>29.20693</v>
      </c>
      <c r="AD86" s="815">
        <v>29.244907000000001</v>
      </c>
      <c r="AE86" s="815">
        <v>29.093942999999999</v>
      </c>
      <c r="AF86" s="814">
        <v>1.4791E-2</v>
      </c>
      <c r="AG86" s="802"/>
    </row>
    <row r="87" spans="1:34" ht="15" customHeight="1">
      <c r="B87" s="802"/>
      <c r="C87" s="802"/>
      <c r="D87" s="802"/>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2"/>
      <c r="AE87" s="802"/>
      <c r="AF87" s="802"/>
      <c r="AG87" s="802"/>
    </row>
    <row r="88" spans="1:34" ht="15" customHeight="1">
      <c r="B88" s="808" t="s">
        <v>4341</v>
      </c>
      <c r="C88" s="802"/>
      <c r="D88" s="802"/>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2"/>
      <c r="AE88" s="802"/>
      <c r="AF88" s="802"/>
      <c r="AG88" s="802"/>
    </row>
    <row r="89" spans="1:34" ht="12" customHeight="1">
      <c r="B89" s="808" t="s">
        <v>4342</v>
      </c>
      <c r="C89" s="802"/>
      <c r="D89" s="802"/>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row>
    <row r="90" spans="1:34" ht="15" customHeight="1">
      <c r="A90" s="800" t="s">
        <v>4343</v>
      </c>
      <c r="B90" s="812" t="s">
        <v>4344</v>
      </c>
      <c r="C90" s="813">
        <v>368</v>
      </c>
      <c r="D90" s="813">
        <v>368</v>
      </c>
      <c r="E90" s="813">
        <v>433.52096599999999</v>
      </c>
      <c r="F90" s="813">
        <v>431.69049100000001</v>
      </c>
      <c r="G90" s="813">
        <v>430.73156699999998</v>
      </c>
      <c r="H90" s="813">
        <v>430.16940299999999</v>
      </c>
      <c r="I90" s="813">
        <v>431.72979700000002</v>
      </c>
      <c r="J90" s="813">
        <v>430.29980499999999</v>
      </c>
      <c r="K90" s="813">
        <v>427.877747</v>
      </c>
      <c r="L90" s="813">
        <v>426.02368200000001</v>
      </c>
      <c r="M90" s="813">
        <v>424.26681500000001</v>
      </c>
      <c r="N90" s="813">
        <v>423.74392699999999</v>
      </c>
      <c r="O90" s="813">
        <v>423.70657299999999</v>
      </c>
      <c r="P90" s="813">
        <v>426.91970800000001</v>
      </c>
      <c r="Q90" s="813">
        <v>426.59130900000002</v>
      </c>
      <c r="R90" s="813">
        <v>426.97091699999999</v>
      </c>
      <c r="S90" s="813">
        <v>427.77563500000002</v>
      </c>
      <c r="T90" s="813">
        <v>428.884613</v>
      </c>
      <c r="U90" s="813">
        <v>430.79101600000001</v>
      </c>
      <c r="V90" s="813">
        <v>436.80474900000002</v>
      </c>
      <c r="W90" s="813">
        <v>439.45669600000002</v>
      </c>
      <c r="X90" s="813">
        <v>442.62188700000002</v>
      </c>
      <c r="Y90" s="813">
        <v>443.131775</v>
      </c>
      <c r="Z90" s="813">
        <v>445.83071899999999</v>
      </c>
      <c r="AA90" s="813">
        <v>448.50259399999999</v>
      </c>
      <c r="AB90" s="813">
        <v>451.15933200000001</v>
      </c>
      <c r="AC90" s="813">
        <v>456.65142800000001</v>
      </c>
      <c r="AD90" s="813">
        <v>459.47546399999999</v>
      </c>
      <c r="AE90" s="813">
        <v>462.22970600000002</v>
      </c>
      <c r="AF90" s="814">
        <v>8.175E-3</v>
      </c>
      <c r="AG90" s="802"/>
    </row>
    <row r="91" spans="1:34" ht="15" customHeight="1">
      <c r="A91" s="800" t="s">
        <v>4345</v>
      </c>
      <c r="B91" s="812" t="s">
        <v>4346</v>
      </c>
      <c r="C91" s="813">
        <v>24</v>
      </c>
      <c r="D91" s="813">
        <v>24</v>
      </c>
      <c r="E91" s="813">
        <v>0.17325399999999999</v>
      </c>
      <c r="F91" s="813">
        <v>0.17325399999999999</v>
      </c>
      <c r="G91" s="813">
        <v>0.17325399999999999</v>
      </c>
      <c r="H91" s="813">
        <v>0.17325399999999999</v>
      </c>
      <c r="I91" s="813">
        <v>0.17325399999999999</v>
      </c>
      <c r="J91" s="813">
        <v>0.17325399999999999</v>
      </c>
      <c r="K91" s="813">
        <v>0.17325399999999999</v>
      </c>
      <c r="L91" s="813">
        <v>0.17325399999999999</v>
      </c>
      <c r="M91" s="813">
        <v>0.17325399999999999</v>
      </c>
      <c r="N91" s="813">
        <v>0.17325399999999999</v>
      </c>
      <c r="O91" s="813">
        <v>0.17325399999999999</v>
      </c>
      <c r="P91" s="813">
        <v>0.17325399999999999</v>
      </c>
      <c r="Q91" s="813">
        <v>0.17325399999999999</v>
      </c>
      <c r="R91" s="813">
        <v>0.17325399999999999</v>
      </c>
      <c r="S91" s="813">
        <v>0.17325399999999999</v>
      </c>
      <c r="T91" s="813">
        <v>0.17325399999999999</v>
      </c>
      <c r="U91" s="813">
        <v>0.17325399999999999</v>
      </c>
      <c r="V91" s="813">
        <v>0.17325399999999999</v>
      </c>
      <c r="W91" s="813">
        <v>0.17325399999999999</v>
      </c>
      <c r="X91" s="813">
        <v>0.17325399999999999</v>
      </c>
      <c r="Y91" s="813">
        <v>0.17325399999999999</v>
      </c>
      <c r="Z91" s="813">
        <v>0.295844</v>
      </c>
      <c r="AA91" s="813">
        <v>6.9675310000000001</v>
      </c>
      <c r="AB91" s="813">
        <v>14.780908</v>
      </c>
      <c r="AC91" s="813">
        <v>26.588282</v>
      </c>
      <c r="AD91" s="813">
        <v>30.481363000000002</v>
      </c>
      <c r="AE91" s="813">
        <v>30.481363000000002</v>
      </c>
      <c r="AF91" s="814">
        <v>8.574E-3</v>
      </c>
      <c r="AG91" s="802"/>
    </row>
    <row r="92" spans="1:34" ht="15" customHeight="1">
      <c r="A92" s="800" t="s">
        <v>4347</v>
      </c>
      <c r="B92" s="812" t="s">
        <v>4348</v>
      </c>
      <c r="C92" s="813">
        <v>37</v>
      </c>
      <c r="D92" s="813">
        <v>37</v>
      </c>
      <c r="E92" s="813">
        <v>41.646717000000002</v>
      </c>
      <c r="F92" s="813">
        <v>41.473412000000003</v>
      </c>
      <c r="G92" s="813">
        <v>41.382626000000002</v>
      </c>
      <c r="H92" s="813">
        <v>41.329399000000002</v>
      </c>
      <c r="I92" s="813">
        <v>41.477134999999997</v>
      </c>
      <c r="J92" s="813">
        <v>41.341746999999998</v>
      </c>
      <c r="K92" s="813">
        <v>41.112431000000001</v>
      </c>
      <c r="L92" s="813">
        <v>40.936892999999998</v>
      </c>
      <c r="M92" s="813">
        <v>40.770556999999997</v>
      </c>
      <c r="N92" s="813">
        <v>40.721049999999998</v>
      </c>
      <c r="O92" s="813">
        <v>40.717514000000001</v>
      </c>
      <c r="P92" s="813">
        <v>41.021725000000004</v>
      </c>
      <c r="Q92" s="813">
        <v>40.990634999999997</v>
      </c>
      <c r="R92" s="813">
        <v>41.026572999999999</v>
      </c>
      <c r="S92" s="813">
        <v>41.102764000000001</v>
      </c>
      <c r="T92" s="813">
        <v>41.20776</v>
      </c>
      <c r="U92" s="813">
        <v>41.388252000000001</v>
      </c>
      <c r="V92" s="813">
        <v>41.957619000000001</v>
      </c>
      <c r="W92" s="813">
        <v>42.208697999999998</v>
      </c>
      <c r="X92" s="813">
        <v>42.508372999999999</v>
      </c>
      <c r="Y92" s="813">
        <v>42.556643999999999</v>
      </c>
      <c r="Z92" s="813">
        <v>42.867134</v>
      </c>
      <c r="AA92" s="813">
        <v>43.380222000000003</v>
      </c>
      <c r="AB92" s="813">
        <v>43.927444000000001</v>
      </c>
      <c r="AC92" s="813">
        <v>44.922237000000003</v>
      </c>
      <c r="AD92" s="813">
        <v>45.365349000000002</v>
      </c>
      <c r="AE92" s="813">
        <v>45.708817000000003</v>
      </c>
      <c r="AF92" s="814">
        <v>7.5779999999999997E-3</v>
      </c>
      <c r="AG92" s="802"/>
    </row>
    <row r="93" spans="1:34" ht="15" customHeight="1">
      <c r="A93" s="800" t="s">
        <v>4349</v>
      </c>
      <c r="B93" s="808" t="s">
        <v>4350</v>
      </c>
      <c r="C93" s="811">
        <v>429</v>
      </c>
      <c r="D93" s="811">
        <v>429</v>
      </c>
      <c r="E93" s="811">
        <v>475.34094199999998</v>
      </c>
      <c r="F93" s="811">
        <v>473.33715799999999</v>
      </c>
      <c r="G93" s="811">
        <v>472.28744499999999</v>
      </c>
      <c r="H93" s="811">
        <v>471.67205799999999</v>
      </c>
      <c r="I93" s="811">
        <v>473.38018799999998</v>
      </c>
      <c r="J93" s="811">
        <v>471.81478900000002</v>
      </c>
      <c r="K93" s="811">
        <v>469.16342200000003</v>
      </c>
      <c r="L93" s="811">
        <v>467.13382000000001</v>
      </c>
      <c r="M93" s="811">
        <v>465.21063199999998</v>
      </c>
      <c r="N93" s="811">
        <v>464.638214</v>
      </c>
      <c r="O93" s="811">
        <v>464.597351</v>
      </c>
      <c r="P93" s="811">
        <v>468.11468500000001</v>
      </c>
      <c r="Q93" s="811">
        <v>467.75518799999998</v>
      </c>
      <c r="R93" s="811">
        <v>468.17074600000001</v>
      </c>
      <c r="S93" s="811">
        <v>469.05163599999997</v>
      </c>
      <c r="T93" s="811">
        <v>470.265625</v>
      </c>
      <c r="U93" s="811">
        <v>472.352509</v>
      </c>
      <c r="V93" s="811">
        <v>478.935608</v>
      </c>
      <c r="W93" s="811">
        <v>481.83865400000002</v>
      </c>
      <c r="X93" s="811">
        <v>485.30349699999999</v>
      </c>
      <c r="Y93" s="811">
        <v>485.86166400000002</v>
      </c>
      <c r="Z93" s="811">
        <v>488.99368299999998</v>
      </c>
      <c r="AA93" s="811">
        <v>498.85034200000001</v>
      </c>
      <c r="AB93" s="811">
        <v>509.86767600000002</v>
      </c>
      <c r="AC93" s="811">
        <v>528.16192599999999</v>
      </c>
      <c r="AD93" s="811">
        <v>535.32214399999998</v>
      </c>
      <c r="AE93" s="811">
        <v>538.41986099999997</v>
      </c>
      <c r="AF93" s="810">
        <v>8.1469999999999997E-3</v>
      </c>
      <c r="AG93" s="802"/>
    </row>
    <row r="94" spans="1:34" ht="12" customHeight="1" thickBot="1">
      <c r="B94" s="802"/>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1:34" ht="15" customHeight="1">
      <c r="B95" s="1258" t="s">
        <v>4351</v>
      </c>
      <c r="C95" s="1259"/>
      <c r="D95" s="1259"/>
      <c r="E95" s="1259"/>
      <c r="F95" s="1259"/>
      <c r="G95" s="1259"/>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817"/>
    </row>
    <row r="96" spans="1:34" ht="15" customHeight="1">
      <c r="B96" s="802" t="s">
        <v>4352</v>
      </c>
      <c r="C96" s="802"/>
      <c r="D96" s="802"/>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2"/>
      <c r="AE96" s="802"/>
      <c r="AF96" s="802"/>
      <c r="AG96" s="802"/>
    </row>
    <row r="97" spans="2:33" ht="15" customHeight="1">
      <c r="B97" s="802" t="s">
        <v>4353</v>
      </c>
      <c r="C97" s="802"/>
      <c r="D97" s="802"/>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2"/>
      <c r="AE97" s="802"/>
      <c r="AF97" s="802"/>
      <c r="AG97" s="802"/>
    </row>
    <row r="98" spans="2:33" ht="12" customHeight="1">
      <c r="B98" s="802" t="s">
        <v>4354</v>
      </c>
      <c r="C98" s="802"/>
      <c r="D98" s="802"/>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2"/>
      <c r="AE98" s="802"/>
      <c r="AF98" s="802"/>
      <c r="AG98" s="802"/>
    </row>
    <row r="99" spans="2:33" ht="15" customHeight="1">
      <c r="B99" s="802" t="s">
        <v>4355</v>
      </c>
      <c r="C99" s="802"/>
      <c r="D99" s="802"/>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2"/>
      <c r="AE99" s="802"/>
      <c r="AF99" s="802"/>
      <c r="AG99" s="802"/>
    </row>
    <row r="100" spans="2:33" ht="15" customHeight="1">
      <c r="B100" s="802" t="s">
        <v>4356</v>
      </c>
      <c r="C100" s="802"/>
      <c r="D100" s="802"/>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2"/>
      <c r="AE100" s="802"/>
      <c r="AF100" s="802"/>
      <c r="AG100" s="802"/>
    </row>
    <row r="101" spans="2:33" ht="15" customHeight="1">
      <c r="B101" s="802" t="s">
        <v>4357</v>
      </c>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2:33" ht="15" customHeight="1">
      <c r="B102" s="802" t="s">
        <v>4358</v>
      </c>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2:33" ht="15" customHeight="1">
      <c r="B103" s="802" t="s">
        <v>4359</v>
      </c>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2:33" ht="15" customHeight="1">
      <c r="B104" s="802" t="s">
        <v>4360</v>
      </c>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2:33" ht="15" customHeight="1">
      <c r="B105" s="802" t="s">
        <v>4361</v>
      </c>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2:33" ht="12" customHeight="1">
      <c r="B106" s="802" t="s">
        <v>4362</v>
      </c>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2:33" ht="15" customHeight="1">
      <c r="B107" s="802" t="s">
        <v>4363</v>
      </c>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2:33" ht="15" customHeight="1">
      <c r="B108" s="802" t="s">
        <v>4364</v>
      </c>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802"/>
      <c r="AG108" s="802"/>
    </row>
    <row r="109" spans="2:33" ht="15" customHeight="1">
      <c r="B109" s="802" t="s">
        <v>4365</v>
      </c>
      <c r="C109" s="802"/>
      <c r="D109" s="802"/>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2"/>
      <c r="AE109" s="802"/>
      <c r="AF109" s="802"/>
      <c r="AG109" s="802"/>
    </row>
    <row r="110" spans="2:33" ht="15" customHeight="1">
      <c r="B110" s="802" t="s">
        <v>4366</v>
      </c>
      <c r="C110" s="802"/>
      <c r="D110" s="802"/>
      <c r="E110" s="802"/>
      <c r="F110" s="802"/>
      <c r="G110" s="802"/>
      <c r="H110" s="802"/>
      <c r="I110" s="802"/>
      <c r="J110" s="802"/>
      <c r="K110" s="802"/>
      <c r="L110" s="802"/>
      <c r="M110" s="802"/>
      <c r="N110" s="802"/>
      <c r="O110" s="802"/>
      <c r="P110" s="802"/>
      <c r="Q110" s="802"/>
      <c r="R110" s="802"/>
      <c r="S110" s="802"/>
      <c r="T110" s="802"/>
      <c r="U110" s="802"/>
      <c r="V110" s="802"/>
      <c r="W110" s="802"/>
      <c r="X110" s="802"/>
      <c r="Y110" s="802"/>
      <c r="Z110" s="802"/>
      <c r="AA110" s="802"/>
      <c r="AB110" s="802"/>
      <c r="AC110" s="802"/>
      <c r="AD110" s="802"/>
      <c r="AE110" s="802"/>
      <c r="AF110" s="802"/>
      <c r="AG110" s="802"/>
    </row>
    <row r="111" spans="2:33" ht="15" customHeight="1">
      <c r="B111" s="802" t="s">
        <v>4367</v>
      </c>
      <c r="C111" s="802"/>
      <c r="D111" s="802"/>
      <c r="E111" s="802"/>
      <c r="F111" s="802"/>
      <c r="G111" s="802"/>
      <c r="H111" s="802"/>
      <c r="I111" s="802"/>
      <c r="J111" s="802"/>
      <c r="K111" s="802"/>
      <c r="L111" s="802"/>
      <c r="M111" s="802"/>
      <c r="N111" s="802"/>
      <c r="O111" s="802"/>
      <c r="P111" s="802"/>
      <c r="Q111" s="802"/>
      <c r="R111" s="802"/>
      <c r="S111" s="802"/>
      <c r="T111" s="802"/>
      <c r="U111" s="802"/>
      <c r="V111" s="802"/>
      <c r="W111" s="802"/>
      <c r="X111" s="802"/>
      <c r="Y111" s="802"/>
      <c r="Z111" s="802"/>
      <c r="AA111" s="802"/>
      <c r="AB111" s="802"/>
      <c r="AC111" s="802"/>
      <c r="AD111" s="802"/>
      <c r="AE111" s="802"/>
      <c r="AF111" s="802"/>
      <c r="AG111" s="802"/>
    </row>
    <row r="112" spans="2:33" ht="15" customHeight="1">
      <c r="B112" s="802" t="s">
        <v>4368</v>
      </c>
      <c r="C112" s="802"/>
      <c r="D112" s="802"/>
      <c r="E112" s="802"/>
      <c r="F112" s="802"/>
      <c r="G112" s="802"/>
      <c r="H112" s="802"/>
      <c r="I112" s="802"/>
      <c r="J112" s="802"/>
      <c r="K112" s="802"/>
      <c r="L112" s="802"/>
      <c r="M112" s="802"/>
      <c r="N112" s="802"/>
      <c r="O112" s="802"/>
      <c r="P112" s="802"/>
      <c r="Q112" s="802"/>
      <c r="R112" s="802"/>
      <c r="S112" s="802"/>
      <c r="T112" s="802"/>
      <c r="U112" s="802"/>
      <c r="V112" s="802"/>
      <c r="W112" s="802"/>
      <c r="X112" s="802"/>
      <c r="Y112" s="802"/>
      <c r="Z112" s="802"/>
      <c r="AA112" s="802"/>
      <c r="AB112" s="802"/>
      <c r="AC112" s="802"/>
      <c r="AD112" s="802"/>
      <c r="AE112" s="802"/>
      <c r="AF112" s="802"/>
      <c r="AG112" s="802"/>
    </row>
    <row r="113" spans="2:33" ht="12" customHeight="1">
      <c r="B113" s="802"/>
      <c r="C113" s="802"/>
      <c r="D113" s="802"/>
      <c r="E113" s="802"/>
      <c r="F113" s="802"/>
      <c r="G113" s="802"/>
      <c r="H113" s="802"/>
      <c r="I113" s="802"/>
      <c r="J113" s="802"/>
      <c r="K113" s="802"/>
      <c r="L113" s="802"/>
      <c r="M113" s="802"/>
      <c r="N113" s="802"/>
      <c r="O113" s="802"/>
      <c r="P113" s="802"/>
      <c r="Q113" s="802"/>
      <c r="R113" s="802"/>
      <c r="S113" s="802"/>
      <c r="T113" s="802"/>
      <c r="U113" s="802"/>
      <c r="V113" s="802"/>
      <c r="W113" s="802"/>
      <c r="X113" s="802"/>
      <c r="Y113" s="802"/>
      <c r="Z113" s="802"/>
      <c r="AA113" s="802"/>
      <c r="AB113" s="802"/>
      <c r="AC113" s="802"/>
      <c r="AD113" s="802"/>
      <c r="AE113" s="802"/>
      <c r="AF113" s="802"/>
      <c r="AG113" s="802"/>
    </row>
    <row r="114" spans="2:33" ht="15" customHeight="1">
      <c r="B114" s="802"/>
      <c r="C114" s="802"/>
      <c r="D114" s="802"/>
      <c r="E114" s="802"/>
      <c r="F114" s="802"/>
      <c r="G114" s="802"/>
      <c r="H114" s="802"/>
      <c r="I114" s="802"/>
      <c r="J114" s="802"/>
      <c r="K114" s="802"/>
      <c r="L114" s="802"/>
      <c r="M114" s="802"/>
      <c r="N114" s="802"/>
      <c r="O114" s="802"/>
      <c r="P114" s="802"/>
      <c r="Q114" s="802"/>
      <c r="R114" s="802"/>
      <c r="S114" s="802"/>
      <c r="T114" s="802"/>
      <c r="U114" s="802"/>
      <c r="V114" s="802"/>
      <c r="W114" s="802"/>
      <c r="X114" s="802"/>
      <c r="Y114" s="802"/>
      <c r="Z114" s="802"/>
      <c r="AA114" s="802"/>
      <c r="AB114" s="802"/>
      <c r="AC114" s="802"/>
      <c r="AD114" s="802"/>
      <c r="AE114" s="802"/>
      <c r="AF114" s="802"/>
      <c r="AG114" s="802"/>
    </row>
    <row r="115" spans="2:33" ht="15" customHeight="1">
      <c r="B115" s="802"/>
      <c r="C115" s="802"/>
      <c r="D115" s="802"/>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2"/>
      <c r="AE115" s="802"/>
      <c r="AF115" s="802"/>
      <c r="AG115" s="802"/>
    </row>
    <row r="116" spans="2:33" ht="15" customHeight="1">
      <c r="B116" s="802"/>
      <c r="C116" s="802"/>
      <c r="D116" s="802"/>
      <c r="E116" s="802"/>
      <c r="F116" s="802"/>
      <c r="G116" s="802"/>
      <c r="H116" s="802"/>
      <c r="I116" s="802"/>
      <c r="J116" s="802"/>
      <c r="K116" s="802"/>
      <c r="L116" s="802"/>
      <c r="M116" s="802"/>
      <c r="N116" s="802"/>
      <c r="O116" s="802"/>
      <c r="P116" s="802"/>
      <c r="Q116" s="802"/>
      <c r="R116" s="802"/>
      <c r="S116" s="802"/>
      <c r="T116" s="802"/>
      <c r="U116" s="802"/>
      <c r="V116" s="802"/>
      <c r="W116" s="802"/>
      <c r="X116" s="802"/>
      <c r="Y116" s="802"/>
      <c r="Z116" s="802"/>
      <c r="AA116" s="802"/>
      <c r="AB116" s="802"/>
      <c r="AC116" s="802"/>
      <c r="AD116" s="802"/>
      <c r="AE116" s="802"/>
      <c r="AF116" s="802"/>
      <c r="AG116" s="802"/>
    </row>
    <row r="117" spans="2:33" ht="15" customHeight="1">
      <c r="B117" s="802"/>
      <c r="C117" s="802"/>
      <c r="D117" s="802"/>
      <c r="E117" s="802"/>
      <c r="F117" s="802"/>
      <c r="G117" s="802"/>
      <c r="H117" s="802"/>
      <c r="I117" s="802"/>
      <c r="J117" s="802"/>
      <c r="K117" s="802"/>
      <c r="L117" s="802"/>
      <c r="M117" s="802"/>
      <c r="N117" s="802"/>
      <c r="O117" s="802"/>
      <c r="P117" s="802"/>
      <c r="Q117" s="802"/>
      <c r="R117" s="802"/>
      <c r="S117" s="802"/>
      <c r="T117" s="802"/>
      <c r="U117" s="802"/>
      <c r="V117" s="802"/>
      <c r="W117" s="802"/>
      <c r="X117" s="802"/>
      <c r="Y117" s="802"/>
      <c r="Z117" s="802"/>
      <c r="AA117" s="802"/>
      <c r="AB117" s="802"/>
      <c r="AC117" s="802"/>
      <c r="AD117" s="802"/>
      <c r="AE117" s="802"/>
      <c r="AF117" s="802"/>
      <c r="AG117" s="802"/>
    </row>
    <row r="118" spans="2:33" ht="15" customHeight="1">
      <c r="B118" s="802"/>
      <c r="C118" s="802"/>
      <c r="D118" s="802"/>
      <c r="E118" s="802"/>
      <c r="F118" s="802"/>
      <c r="G118" s="802"/>
      <c r="H118" s="802"/>
      <c r="I118" s="802"/>
      <c r="J118" s="802"/>
      <c r="K118" s="802"/>
      <c r="L118" s="802"/>
      <c r="M118" s="802"/>
      <c r="N118" s="802"/>
      <c r="O118" s="802"/>
      <c r="P118" s="802"/>
      <c r="Q118" s="802"/>
      <c r="R118" s="802"/>
      <c r="S118" s="802"/>
      <c r="T118" s="802"/>
      <c r="U118" s="802"/>
      <c r="V118" s="802"/>
      <c r="W118" s="802"/>
      <c r="X118" s="802"/>
      <c r="Y118" s="802"/>
      <c r="Z118" s="802"/>
      <c r="AA118" s="802"/>
      <c r="AB118" s="802"/>
      <c r="AC118" s="802"/>
      <c r="AD118" s="802"/>
      <c r="AE118" s="802"/>
      <c r="AF118" s="802"/>
      <c r="AG118" s="802"/>
    </row>
    <row r="119" spans="2:33" ht="12" customHeight="1">
      <c r="B119" s="802"/>
      <c r="C119" s="802"/>
      <c r="D119" s="802"/>
      <c r="E119" s="802"/>
      <c r="F119" s="802"/>
      <c r="G119" s="802"/>
      <c r="H119" s="802"/>
      <c r="I119" s="802"/>
      <c r="J119" s="802"/>
      <c r="K119" s="802"/>
      <c r="L119" s="802"/>
      <c r="M119" s="802"/>
      <c r="N119" s="802"/>
      <c r="O119" s="802"/>
      <c r="P119" s="802"/>
      <c r="Q119" s="802"/>
      <c r="R119" s="802"/>
      <c r="S119" s="802"/>
      <c r="T119" s="802"/>
      <c r="U119" s="802"/>
      <c r="V119" s="802"/>
      <c r="W119" s="802"/>
      <c r="X119" s="802"/>
      <c r="Y119" s="802"/>
      <c r="Z119" s="802"/>
      <c r="AA119" s="802"/>
      <c r="AB119" s="802"/>
      <c r="AC119" s="802"/>
      <c r="AD119" s="802"/>
      <c r="AE119" s="802"/>
      <c r="AF119" s="802"/>
      <c r="AG119" s="802"/>
    </row>
    <row r="120" spans="2:33" ht="15" customHeight="1">
      <c r="B120" s="802"/>
      <c r="C120" s="802"/>
      <c r="D120" s="802"/>
      <c r="E120" s="802"/>
      <c r="F120" s="802"/>
      <c r="G120" s="802"/>
      <c r="H120" s="802"/>
      <c r="I120" s="802"/>
      <c r="J120" s="802"/>
      <c r="K120" s="802"/>
      <c r="L120" s="802"/>
      <c r="M120" s="802"/>
      <c r="N120" s="802"/>
      <c r="O120" s="802"/>
      <c r="P120" s="802"/>
      <c r="Q120" s="802"/>
      <c r="R120" s="802"/>
      <c r="S120" s="802"/>
      <c r="T120" s="802"/>
      <c r="U120" s="802"/>
      <c r="V120" s="802"/>
      <c r="W120" s="802"/>
      <c r="X120" s="802"/>
      <c r="Y120" s="802"/>
      <c r="Z120" s="802"/>
      <c r="AA120" s="802"/>
      <c r="AB120" s="802"/>
      <c r="AC120" s="802"/>
      <c r="AD120" s="802"/>
      <c r="AE120" s="802"/>
      <c r="AF120" s="802"/>
      <c r="AG120" s="802"/>
    </row>
    <row r="121" spans="2:33" ht="15" customHeight="1">
      <c r="B121" s="802"/>
      <c r="C121" s="802"/>
      <c r="D121" s="802"/>
      <c r="E121" s="802"/>
      <c r="F121" s="802"/>
      <c r="G121" s="802"/>
      <c r="H121" s="802"/>
      <c r="I121" s="802"/>
      <c r="J121" s="802"/>
      <c r="K121" s="802"/>
      <c r="L121" s="802"/>
      <c r="M121" s="802"/>
      <c r="N121" s="802"/>
      <c r="O121" s="802"/>
      <c r="P121" s="802"/>
      <c r="Q121" s="802"/>
      <c r="R121" s="802"/>
      <c r="S121" s="802"/>
      <c r="T121" s="802"/>
      <c r="U121" s="802"/>
      <c r="V121" s="802"/>
      <c r="W121" s="802"/>
      <c r="X121" s="802"/>
      <c r="Y121" s="802"/>
      <c r="Z121" s="802"/>
      <c r="AA121" s="802"/>
      <c r="AB121" s="802"/>
      <c r="AC121" s="802"/>
      <c r="AD121" s="802"/>
      <c r="AE121" s="802"/>
      <c r="AF121" s="802"/>
      <c r="AG121" s="802"/>
    </row>
    <row r="122" spans="2:33" ht="15" customHeight="1">
      <c r="B122" s="802"/>
      <c r="C122" s="802"/>
      <c r="D122" s="802"/>
      <c r="E122" s="802"/>
      <c r="F122" s="802"/>
      <c r="G122" s="802"/>
      <c r="H122" s="802"/>
      <c r="I122" s="802"/>
      <c r="J122" s="802"/>
      <c r="K122" s="802"/>
      <c r="L122" s="802"/>
      <c r="M122" s="802"/>
      <c r="N122" s="802"/>
      <c r="O122" s="802"/>
      <c r="P122" s="802"/>
      <c r="Q122" s="802"/>
      <c r="R122" s="802"/>
      <c r="S122" s="802"/>
      <c r="T122" s="802"/>
      <c r="U122" s="802"/>
      <c r="V122" s="802"/>
      <c r="W122" s="802"/>
      <c r="X122" s="802"/>
      <c r="Y122" s="802"/>
      <c r="Z122" s="802"/>
      <c r="AA122" s="802"/>
      <c r="AB122" s="802"/>
      <c r="AC122" s="802"/>
      <c r="AD122" s="802"/>
      <c r="AE122" s="802"/>
      <c r="AF122" s="802"/>
      <c r="AG122" s="802"/>
    </row>
    <row r="123" spans="2:33" ht="12" customHeight="1">
      <c r="B123" s="802"/>
      <c r="C123" s="802"/>
      <c r="D123" s="802"/>
      <c r="E123" s="802"/>
      <c r="F123" s="802"/>
      <c r="G123" s="802"/>
      <c r="H123" s="802"/>
      <c r="I123" s="802"/>
      <c r="J123" s="802"/>
      <c r="K123" s="802"/>
      <c r="L123" s="802"/>
      <c r="M123" s="802"/>
      <c r="N123" s="802"/>
      <c r="O123" s="802"/>
      <c r="P123" s="802"/>
      <c r="Q123" s="802"/>
      <c r="R123" s="802"/>
      <c r="S123" s="802"/>
      <c r="T123" s="802"/>
      <c r="U123" s="802"/>
      <c r="V123" s="802"/>
      <c r="W123" s="802"/>
      <c r="X123" s="802"/>
      <c r="Y123" s="802"/>
      <c r="Z123" s="802"/>
      <c r="AA123" s="802"/>
      <c r="AB123" s="802"/>
      <c r="AC123" s="802"/>
      <c r="AD123" s="802"/>
      <c r="AE123" s="802"/>
      <c r="AF123" s="802"/>
      <c r="AG123" s="802"/>
    </row>
    <row r="124" spans="2:33" ht="15" customHeight="1">
      <c r="B124" s="802"/>
      <c r="C124" s="802"/>
      <c r="D124" s="802"/>
      <c r="E124" s="802"/>
      <c r="F124" s="802"/>
      <c r="G124" s="802"/>
      <c r="H124" s="802"/>
      <c r="I124" s="802"/>
      <c r="J124" s="802"/>
      <c r="K124" s="802"/>
      <c r="L124" s="802"/>
      <c r="M124" s="802"/>
      <c r="N124" s="802"/>
      <c r="O124" s="802"/>
      <c r="P124" s="802"/>
      <c r="Q124" s="802"/>
      <c r="R124" s="802"/>
      <c r="S124" s="802"/>
      <c r="T124" s="802"/>
      <c r="U124" s="802"/>
      <c r="V124" s="802"/>
      <c r="W124" s="802"/>
      <c r="X124" s="802"/>
      <c r="Y124" s="802"/>
      <c r="Z124" s="802"/>
      <c r="AA124" s="802"/>
      <c r="AB124" s="802"/>
      <c r="AC124" s="802"/>
      <c r="AD124" s="802"/>
      <c r="AE124" s="802"/>
      <c r="AF124" s="802"/>
      <c r="AG124" s="802"/>
    </row>
    <row r="125" spans="2:33" ht="15" customHeight="1">
      <c r="B125" s="802"/>
      <c r="C125" s="802"/>
      <c r="D125" s="802"/>
      <c r="E125" s="802"/>
      <c r="F125" s="802"/>
      <c r="G125" s="802"/>
      <c r="H125" s="802"/>
      <c r="I125" s="802"/>
      <c r="J125" s="802"/>
      <c r="K125" s="802"/>
      <c r="L125" s="802"/>
      <c r="M125" s="802"/>
      <c r="N125" s="802"/>
      <c r="O125" s="802"/>
      <c r="P125" s="802"/>
      <c r="Q125" s="802"/>
      <c r="R125" s="802"/>
      <c r="S125" s="802"/>
      <c r="T125" s="802"/>
      <c r="U125" s="802"/>
      <c r="V125" s="802"/>
      <c r="W125" s="802"/>
      <c r="X125" s="802"/>
      <c r="Y125" s="802"/>
      <c r="Z125" s="802"/>
      <c r="AA125" s="802"/>
      <c r="AB125" s="802"/>
      <c r="AC125" s="802"/>
      <c r="AD125" s="802"/>
      <c r="AE125" s="802"/>
      <c r="AF125" s="802"/>
      <c r="AG125" s="802"/>
    </row>
    <row r="126" spans="2:33" ht="15" customHeight="1">
      <c r="B126" s="802"/>
      <c r="C126" s="802"/>
      <c r="D126" s="802"/>
      <c r="E126" s="802"/>
      <c r="F126" s="802"/>
      <c r="G126" s="802"/>
      <c r="H126" s="802"/>
      <c r="I126" s="802"/>
      <c r="J126" s="802"/>
      <c r="K126" s="802"/>
      <c r="L126" s="802"/>
      <c r="M126" s="802"/>
      <c r="N126" s="802"/>
      <c r="O126" s="802"/>
      <c r="P126" s="802"/>
      <c r="Q126" s="802"/>
      <c r="R126" s="802"/>
      <c r="S126" s="802"/>
      <c r="T126" s="802"/>
      <c r="U126" s="802"/>
      <c r="V126" s="802"/>
      <c r="W126" s="802"/>
      <c r="X126" s="802"/>
      <c r="Y126" s="802"/>
      <c r="Z126" s="802"/>
      <c r="AA126" s="802"/>
      <c r="AB126" s="802"/>
      <c r="AC126" s="802"/>
      <c r="AD126" s="802"/>
      <c r="AE126" s="802"/>
      <c r="AF126" s="802"/>
      <c r="AG126" s="802"/>
    </row>
    <row r="127" spans="2:33" ht="15" customHeight="1">
      <c r="B127" s="802"/>
      <c r="C127" s="802"/>
      <c r="D127" s="802"/>
      <c r="E127" s="802"/>
      <c r="F127" s="802"/>
      <c r="G127" s="802"/>
      <c r="H127" s="802"/>
      <c r="I127" s="802"/>
      <c r="J127" s="802"/>
      <c r="K127" s="802"/>
      <c r="L127" s="802"/>
      <c r="M127" s="802"/>
      <c r="N127" s="802"/>
      <c r="O127" s="802"/>
      <c r="P127" s="802"/>
      <c r="Q127" s="802"/>
      <c r="R127" s="802"/>
      <c r="S127" s="802"/>
      <c r="T127" s="802"/>
      <c r="U127" s="802"/>
      <c r="V127" s="802"/>
      <c r="W127" s="802"/>
      <c r="X127" s="802"/>
      <c r="Y127" s="802"/>
      <c r="Z127" s="802"/>
      <c r="AA127" s="802"/>
      <c r="AB127" s="802"/>
      <c r="AC127" s="802"/>
      <c r="AD127" s="802"/>
      <c r="AE127" s="802"/>
      <c r="AF127" s="802"/>
      <c r="AG127" s="802"/>
    </row>
    <row r="128" spans="2:33" ht="15" customHeight="1">
      <c r="B128" s="802"/>
      <c r="C128" s="802"/>
      <c r="D128" s="802"/>
      <c r="E128" s="802"/>
      <c r="F128" s="802"/>
      <c r="G128" s="802"/>
      <c r="H128" s="802"/>
      <c r="I128" s="802"/>
      <c r="J128" s="802"/>
      <c r="K128" s="802"/>
      <c r="L128" s="802"/>
      <c r="M128" s="802"/>
      <c r="N128" s="802"/>
      <c r="O128" s="802"/>
      <c r="P128" s="802"/>
      <c r="Q128" s="802"/>
      <c r="R128" s="802"/>
      <c r="S128" s="802"/>
      <c r="T128" s="802"/>
      <c r="U128" s="802"/>
      <c r="V128" s="802"/>
      <c r="W128" s="802"/>
      <c r="X128" s="802"/>
      <c r="Y128" s="802"/>
      <c r="Z128" s="802"/>
      <c r="AA128" s="802"/>
      <c r="AB128" s="802"/>
      <c r="AC128" s="802"/>
      <c r="AD128" s="802"/>
      <c r="AE128" s="802"/>
      <c r="AF128" s="802"/>
      <c r="AG128" s="802"/>
    </row>
    <row r="129" spans="2:33" ht="12" customHeight="1">
      <c r="B129" s="802"/>
      <c r="C129" s="802"/>
      <c r="D129" s="802"/>
      <c r="E129" s="802"/>
      <c r="F129" s="802"/>
      <c r="G129" s="802"/>
      <c r="H129" s="802"/>
      <c r="I129" s="802"/>
      <c r="J129" s="802"/>
      <c r="K129" s="802"/>
      <c r="L129" s="802"/>
      <c r="M129" s="802"/>
      <c r="N129" s="802"/>
      <c r="O129" s="802"/>
      <c r="P129" s="802"/>
      <c r="Q129" s="802"/>
      <c r="R129" s="802"/>
      <c r="S129" s="802"/>
      <c r="T129" s="802"/>
      <c r="U129" s="802"/>
      <c r="V129" s="802"/>
      <c r="W129" s="802"/>
      <c r="X129" s="802"/>
      <c r="Y129" s="802"/>
      <c r="Z129" s="802"/>
      <c r="AA129" s="802"/>
      <c r="AB129" s="802"/>
      <c r="AC129" s="802"/>
      <c r="AD129" s="802"/>
      <c r="AE129" s="802"/>
      <c r="AF129" s="802"/>
      <c r="AG129" s="802"/>
    </row>
    <row r="130" spans="2:33" ht="15" customHeight="1">
      <c r="B130" s="802"/>
      <c r="C130" s="802"/>
      <c r="D130" s="802"/>
      <c r="E130" s="802"/>
      <c r="F130" s="802"/>
      <c r="G130" s="802"/>
      <c r="H130" s="802"/>
      <c r="I130" s="802"/>
      <c r="J130" s="802"/>
      <c r="K130" s="802"/>
      <c r="L130" s="802"/>
      <c r="M130" s="802"/>
      <c r="N130" s="802"/>
      <c r="O130" s="802"/>
      <c r="P130" s="802"/>
      <c r="Q130" s="802"/>
      <c r="R130" s="802"/>
      <c r="S130" s="802"/>
      <c r="T130" s="802"/>
      <c r="U130" s="802"/>
      <c r="V130" s="802"/>
      <c r="W130" s="802"/>
      <c r="X130" s="802"/>
      <c r="Y130" s="802"/>
      <c r="Z130" s="802"/>
      <c r="AA130" s="802"/>
      <c r="AB130" s="802"/>
      <c r="AC130" s="802"/>
      <c r="AD130" s="802"/>
      <c r="AE130" s="802"/>
      <c r="AF130" s="802"/>
      <c r="AG130" s="802"/>
    </row>
    <row r="131" spans="2:33" ht="15" customHeight="1">
      <c r="B131" s="802"/>
      <c r="C131" s="802"/>
      <c r="D131" s="802"/>
      <c r="E131" s="802"/>
      <c r="F131" s="802"/>
      <c r="G131" s="802"/>
      <c r="H131" s="802"/>
      <c r="I131" s="802"/>
      <c r="J131" s="802"/>
      <c r="K131" s="802"/>
      <c r="L131" s="802"/>
      <c r="M131" s="802"/>
      <c r="N131" s="802"/>
      <c r="O131" s="802"/>
      <c r="P131" s="802"/>
      <c r="Q131" s="802"/>
      <c r="R131" s="802"/>
      <c r="S131" s="802"/>
      <c r="T131" s="802"/>
      <c r="U131" s="802"/>
      <c r="V131" s="802"/>
      <c r="W131" s="802"/>
      <c r="X131" s="802"/>
      <c r="Y131" s="802"/>
      <c r="Z131" s="802"/>
      <c r="AA131" s="802"/>
      <c r="AB131" s="802"/>
      <c r="AC131" s="802"/>
      <c r="AD131" s="802"/>
      <c r="AE131" s="802"/>
      <c r="AF131" s="802"/>
      <c r="AG131" s="802"/>
    </row>
    <row r="132" spans="2:33" ht="15" customHeight="1">
      <c r="B132" s="802"/>
      <c r="C132" s="802"/>
      <c r="D132" s="802"/>
      <c r="E132" s="802"/>
      <c r="F132" s="802"/>
      <c r="G132" s="802"/>
      <c r="H132" s="802"/>
      <c r="I132" s="802"/>
      <c r="J132" s="802"/>
      <c r="K132" s="802"/>
      <c r="L132" s="802"/>
      <c r="M132" s="802"/>
      <c r="N132" s="802"/>
      <c r="O132" s="802"/>
      <c r="P132" s="802"/>
      <c r="Q132" s="802"/>
      <c r="R132" s="802"/>
      <c r="S132" s="802"/>
      <c r="T132" s="802"/>
      <c r="U132" s="802"/>
      <c r="V132" s="802"/>
      <c r="W132" s="802"/>
      <c r="X132" s="802"/>
      <c r="Y132" s="802"/>
      <c r="Z132" s="802"/>
      <c r="AA132" s="802"/>
      <c r="AB132" s="802"/>
      <c r="AC132" s="802"/>
      <c r="AD132" s="802"/>
      <c r="AE132" s="802"/>
      <c r="AF132" s="802"/>
      <c r="AG132" s="802"/>
    </row>
    <row r="133" spans="2:33" ht="15" customHeight="1">
      <c r="B133" s="802"/>
      <c r="C133" s="802"/>
      <c r="D133" s="802"/>
      <c r="E133" s="802"/>
      <c r="F133" s="802"/>
      <c r="G133" s="802"/>
      <c r="H133" s="802"/>
      <c r="I133" s="802"/>
      <c r="J133" s="802"/>
      <c r="K133" s="802"/>
      <c r="L133" s="802"/>
      <c r="M133" s="802"/>
      <c r="N133" s="802"/>
      <c r="O133" s="802"/>
      <c r="P133" s="802"/>
      <c r="Q133" s="802"/>
      <c r="R133" s="802"/>
      <c r="S133" s="802"/>
      <c r="T133" s="802"/>
      <c r="U133" s="802"/>
      <c r="V133" s="802"/>
      <c r="W133" s="802"/>
      <c r="X133" s="802"/>
      <c r="Y133" s="802"/>
      <c r="Z133" s="802"/>
      <c r="AA133" s="802"/>
      <c r="AB133" s="802"/>
      <c r="AC133" s="802"/>
      <c r="AD133" s="802"/>
      <c r="AE133" s="802"/>
      <c r="AF133" s="802"/>
      <c r="AG133" s="802"/>
    </row>
    <row r="134" spans="2:33" ht="12" customHeight="1">
      <c r="B134" s="802"/>
      <c r="C134" s="802"/>
      <c r="D134" s="802"/>
      <c r="E134" s="802"/>
      <c r="F134" s="802"/>
      <c r="G134" s="802"/>
      <c r="H134" s="802"/>
      <c r="I134" s="802"/>
      <c r="J134" s="802"/>
      <c r="K134" s="802"/>
      <c r="L134" s="802"/>
      <c r="M134" s="802"/>
      <c r="N134" s="802"/>
      <c r="O134" s="802"/>
      <c r="P134" s="802"/>
      <c r="Q134" s="802"/>
      <c r="R134" s="802"/>
      <c r="S134" s="802"/>
      <c r="T134" s="802"/>
      <c r="U134" s="802"/>
      <c r="V134" s="802"/>
      <c r="W134" s="802"/>
      <c r="X134" s="802"/>
      <c r="Y134" s="802"/>
      <c r="Z134" s="802"/>
      <c r="AA134" s="802"/>
      <c r="AB134" s="802"/>
      <c r="AC134" s="802"/>
      <c r="AD134" s="802"/>
      <c r="AE134" s="802"/>
      <c r="AF134" s="802" t="s">
        <v>1505</v>
      </c>
      <c r="AG134" s="802"/>
    </row>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95:AG95"/>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122CD-DEFF-4F24-AE35-838A07DE94C0}">
  <dimension ref="A1:AH2828"/>
  <sheetViews>
    <sheetView workbookViewId="0">
      <pane xSplit="2" ySplit="1" topLeftCell="C5" activePane="bottomRight" state="frozen"/>
      <selection pane="bottomRight" activeCell="C34" sqref="C34"/>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4369</v>
      </c>
      <c r="B10" s="801" t="s">
        <v>4370</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4371</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4372</v>
      </c>
      <c r="B15" s="808" t="s">
        <v>4242</v>
      </c>
      <c r="C15" s="809">
        <v>939.78387499999997</v>
      </c>
      <c r="D15" s="809">
        <v>954.44519000000003</v>
      </c>
      <c r="E15" s="809">
        <v>964.02374299999997</v>
      </c>
      <c r="F15" s="809">
        <v>972.91009499999996</v>
      </c>
      <c r="G15" s="809">
        <v>985.45941200000004</v>
      </c>
      <c r="H15" s="809">
        <v>999.40277100000003</v>
      </c>
      <c r="I15" s="809">
        <v>1013.4375</v>
      </c>
      <c r="J15" s="809">
        <v>1025.6085210000001</v>
      </c>
      <c r="K15" s="809">
        <v>1037.6695560000001</v>
      </c>
      <c r="L15" s="809">
        <v>1051.089966</v>
      </c>
      <c r="M15" s="809">
        <v>1062.798462</v>
      </c>
      <c r="N15" s="809">
        <v>1072.3557129999999</v>
      </c>
      <c r="O15" s="809">
        <v>1082.509033</v>
      </c>
      <c r="P15" s="809">
        <v>1093.737793</v>
      </c>
      <c r="Q15" s="809">
        <v>1105.5932620000001</v>
      </c>
      <c r="R15" s="809">
        <v>1117.116211</v>
      </c>
      <c r="S15" s="809">
        <v>1128.8039550000001</v>
      </c>
      <c r="T15" s="809">
        <v>1140.907471</v>
      </c>
      <c r="U15" s="809">
        <v>1153.0014650000001</v>
      </c>
      <c r="V15" s="809">
        <v>1164.758057</v>
      </c>
      <c r="W15" s="809">
        <v>1177.14978</v>
      </c>
      <c r="X15" s="809">
        <v>1189.2757570000001</v>
      </c>
      <c r="Y15" s="809">
        <v>1201.2060550000001</v>
      </c>
      <c r="Z15" s="809">
        <v>1213.053711</v>
      </c>
      <c r="AA15" s="809">
        <v>1224.394043</v>
      </c>
      <c r="AB15" s="809">
        <v>1235.898193</v>
      </c>
      <c r="AC15" s="809">
        <v>1247.526245</v>
      </c>
      <c r="AD15" s="809">
        <v>1259.219482</v>
      </c>
      <c r="AE15" s="809">
        <v>1270.886475</v>
      </c>
      <c r="AF15" s="810">
        <v>1.0838E-2</v>
      </c>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A18" s="800" t="s">
        <v>4374</v>
      </c>
      <c r="B18" s="812" t="s">
        <v>4248</v>
      </c>
      <c r="C18" s="813">
        <v>0</v>
      </c>
      <c r="D18" s="813">
        <v>0</v>
      </c>
      <c r="E18" s="813">
        <v>0</v>
      </c>
      <c r="F18" s="813">
        <v>0</v>
      </c>
      <c r="G18" s="813">
        <v>0</v>
      </c>
      <c r="H18" s="813">
        <v>0</v>
      </c>
      <c r="I18" s="813">
        <v>0</v>
      </c>
      <c r="J18" s="813">
        <v>0</v>
      </c>
      <c r="K18" s="813">
        <v>0</v>
      </c>
      <c r="L18" s="813">
        <v>0</v>
      </c>
      <c r="M18" s="813">
        <v>0</v>
      </c>
      <c r="N18" s="813">
        <v>0</v>
      </c>
      <c r="O18" s="813">
        <v>0</v>
      </c>
      <c r="P18" s="813">
        <v>0</v>
      </c>
      <c r="Q18" s="813">
        <v>0</v>
      </c>
      <c r="R18" s="813">
        <v>0</v>
      </c>
      <c r="S18" s="813">
        <v>0</v>
      </c>
      <c r="T18" s="813">
        <v>0</v>
      </c>
      <c r="U18" s="813">
        <v>0</v>
      </c>
      <c r="V18" s="813">
        <v>0</v>
      </c>
      <c r="W18" s="813">
        <v>0</v>
      </c>
      <c r="X18" s="813">
        <v>0</v>
      </c>
      <c r="Y18" s="813">
        <v>0</v>
      </c>
      <c r="Z18" s="813">
        <v>0</v>
      </c>
      <c r="AA18" s="813">
        <v>0</v>
      </c>
      <c r="AB18" s="813">
        <v>0</v>
      </c>
      <c r="AC18" s="813">
        <v>0</v>
      </c>
      <c r="AD18" s="813">
        <v>0</v>
      </c>
      <c r="AE18" s="813">
        <v>0</v>
      </c>
      <c r="AF18" s="814" t="s">
        <v>2805</v>
      </c>
      <c r="AG18" s="802"/>
    </row>
    <row r="19" spans="1:33" ht="15" customHeight="1">
      <c r="A19" s="800" t="s">
        <v>4375</v>
      </c>
      <c r="B19" s="812" t="s">
        <v>4250</v>
      </c>
      <c r="C19" s="813">
        <v>2.858336</v>
      </c>
      <c r="D19" s="813">
        <v>3.3307959999999999</v>
      </c>
      <c r="E19" s="813">
        <v>2.978618</v>
      </c>
      <c r="F19" s="813">
        <v>2.961678</v>
      </c>
      <c r="G19" s="813">
        <v>2.9378829999999998</v>
      </c>
      <c r="H19" s="813">
        <v>2.9623089999999999</v>
      </c>
      <c r="I19" s="813">
        <v>3.0087069999999998</v>
      </c>
      <c r="J19" s="813">
        <v>3.0043989999999998</v>
      </c>
      <c r="K19" s="813">
        <v>3.0124070000000001</v>
      </c>
      <c r="L19" s="813">
        <v>3.007466</v>
      </c>
      <c r="M19" s="813">
        <v>3.0034839999999998</v>
      </c>
      <c r="N19" s="813">
        <v>3.0098560000000001</v>
      </c>
      <c r="O19" s="813">
        <v>3.0331589999999999</v>
      </c>
      <c r="P19" s="813">
        <v>3.0567839999999999</v>
      </c>
      <c r="Q19" s="813">
        <v>3.0843509999999998</v>
      </c>
      <c r="R19" s="813">
        <v>3.106087</v>
      </c>
      <c r="S19" s="813">
        <v>3.1402070000000002</v>
      </c>
      <c r="T19" s="813">
        <v>3.1700170000000001</v>
      </c>
      <c r="U19" s="813">
        <v>3.200885</v>
      </c>
      <c r="V19" s="813">
        <v>3.2214969999999998</v>
      </c>
      <c r="W19" s="813">
        <v>3.255925</v>
      </c>
      <c r="X19" s="813">
        <v>3.2789450000000002</v>
      </c>
      <c r="Y19" s="813">
        <v>3.315871</v>
      </c>
      <c r="Z19" s="813">
        <v>3.3492109999999999</v>
      </c>
      <c r="AA19" s="813">
        <v>3.3689499999999999</v>
      </c>
      <c r="AB19" s="813">
        <v>3.3984220000000001</v>
      </c>
      <c r="AC19" s="813">
        <v>3.42767</v>
      </c>
      <c r="AD19" s="813">
        <v>3.4517120000000001</v>
      </c>
      <c r="AE19" s="813">
        <v>3.4731320000000001</v>
      </c>
      <c r="AF19" s="814">
        <v>6.9820000000000004E-3</v>
      </c>
      <c r="AG19" s="802"/>
    </row>
    <row r="20" spans="1:33" ht="15" customHeight="1">
      <c r="A20" s="800" t="s">
        <v>4376</v>
      </c>
      <c r="B20" s="812" t="s">
        <v>4377</v>
      </c>
      <c r="C20" s="813">
        <v>0.42099500000000001</v>
      </c>
      <c r="D20" s="813">
        <v>0.58683099999999999</v>
      </c>
      <c r="E20" s="813">
        <v>1.386903</v>
      </c>
      <c r="F20" s="813">
        <v>1.013682</v>
      </c>
      <c r="G20" s="813">
        <v>0.68931299999999995</v>
      </c>
      <c r="H20" s="813">
        <v>0.53263099999999997</v>
      </c>
      <c r="I20" s="813">
        <v>0.451797</v>
      </c>
      <c r="J20" s="813">
        <v>0.45071</v>
      </c>
      <c r="K20" s="813">
        <v>0.45927299999999999</v>
      </c>
      <c r="L20" s="813">
        <v>0.47414000000000001</v>
      </c>
      <c r="M20" s="813">
        <v>0.490865</v>
      </c>
      <c r="N20" s="813">
        <v>0.51405299999999998</v>
      </c>
      <c r="O20" s="813">
        <v>0.53057500000000002</v>
      </c>
      <c r="P20" s="813">
        <v>0.54387099999999999</v>
      </c>
      <c r="Q20" s="813">
        <v>0.54093800000000003</v>
      </c>
      <c r="R20" s="813">
        <v>0.54208500000000004</v>
      </c>
      <c r="S20" s="813">
        <v>0.557396</v>
      </c>
      <c r="T20" s="813">
        <v>0.54198599999999997</v>
      </c>
      <c r="U20" s="813">
        <v>0.559091</v>
      </c>
      <c r="V20" s="813">
        <v>0.565828</v>
      </c>
      <c r="W20" s="813">
        <v>0.56412700000000005</v>
      </c>
      <c r="X20" s="813">
        <v>0.550342</v>
      </c>
      <c r="Y20" s="813">
        <v>0.54405300000000001</v>
      </c>
      <c r="Z20" s="813">
        <v>0.54005199999999998</v>
      </c>
      <c r="AA20" s="813">
        <v>0.53115800000000002</v>
      </c>
      <c r="AB20" s="813">
        <v>0.52435200000000004</v>
      </c>
      <c r="AC20" s="813">
        <v>0.51600699999999999</v>
      </c>
      <c r="AD20" s="813">
        <v>0.50455399999999995</v>
      </c>
      <c r="AE20" s="813">
        <v>0.49973299999999998</v>
      </c>
      <c r="AF20" s="814">
        <v>6.1419999999999999E-3</v>
      </c>
      <c r="AG20" s="802"/>
    </row>
    <row r="21" spans="1:33" ht="15" customHeight="1">
      <c r="A21" s="800" t="s">
        <v>4378</v>
      </c>
      <c r="B21" s="812" t="s">
        <v>4379</v>
      </c>
      <c r="C21" s="813">
        <v>0</v>
      </c>
      <c r="D21" s="813">
        <v>0</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5" customHeight="1">
      <c r="A22" s="800" t="s">
        <v>4380</v>
      </c>
      <c r="B22" s="812" t="s">
        <v>4260</v>
      </c>
      <c r="C22" s="813">
        <v>3.279331</v>
      </c>
      <c r="D22" s="813">
        <v>3.917627</v>
      </c>
      <c r="E22" s="813">
        <v>4.3655200000000001</v>
      </c>
      <c r="F22" s="813">
        <v>3.9753599999999998</v>
      </c>
      <c r="G22" s="813">
        <v>3.6271960000000001</v>
      </c>
      <c r="H22" s="813">
        <v>3.4949400000000002</v>
      </c>
      <c r="I22" s="813">
        <v>3.4605039999999998</v>
      </c>
      <c r="J22" s="813">
        <v>3.4551080000000001</v>
      </c>
      <c r="K22" s="813">
        <v>3.4716800000000001</v>
      </c>
      <c r="L22" s="813">
        <v>3.4816060000000002</v>
      </c>
      <c r="M22" s="813">
        <v>3.4943490000000001</v>
      </c>
      <c r="N22" s="813">
        <v>3.5239090000000002</v>
      </c>
      <c r="O22" s="813">
        <v>3.5637340000000002</v>
      </c>
      <c r="P22" s="813">
        <v>3.600654</v>
      </c>
      <c r="Q22" s="813">
        <v>3.625289</v>
      </c>
      <c r="R22" s="813">
        <v>3.6481729999999999</v>
      </c>
      <c r="S22" s="813">
        <v>3.697603</v>
      </c>
      <c r="T22" s="813">
        <v>3.7120030000000002</v>
      </c>
      <c r="U22" s="813">
        <v>3.759976</v>
      </c>
      <c r="V22" s="813">
        <v>3.7873250000000001</v>
      </c>
      <c r="W22" s="813">
        <v>3.8200530000000001</v>
      </c>
      <c r="X22" s="813">
        <v>3.8292869999999999</v>
      </c>
      <c r="Y22" s="813">
        <v>3.8599239999999999</v>
      </c>
      <c r="Z22" s="813">
        <v>3.8892630000000001</v>
      </c>
      <c r="AA22" s="813">
        <v>3.9001079999999999</v>
      </c>
      <c r="AB22" s="813">
        <v>3.922774</v>
      </c>
      <c r="AC22" s="813">
        <v>3.9436770000000001</v>
      </c>
      <c r="AD22" s="813">
        <v>3.9562659999999998</v>
      </c>
      <c r="AE22" s="813">
        <v>3.9728650000000001</v>
      </c>
      <c r="AF22" s="814">
        <v>6.875E-3</v>
      </c>
      <c r="AG22" s="802"/>
    </row>
    <row r="23" spans="1:33" ht="15" customHeight="1">
      <c r="A23" s="800" t="s">
        <v>4381</v>
      </c>
      <c r="B23" s="812" t="s">
        <v>4262</v>
      </c>
      <c r="C23" s="813">
        <v>649.66754200000003</v>
      </c>
      <c r="D23" s="813">
        <v>647.839111</v>
      </c>
      <c r="E23" s="813">
        <v>656.96215800000004</v>
      </c>
      <c r="F23" s="813">
        <v>660.04003899999998</v>
      </c>
      <c r="G23" s="813">
        <v>665.04174799999998</v>
      </c>
      <c r="H23" s="813">
        <v>667.27002000000005</v>
      </c>
      <c r="I23" s="813">
        <v>662.63159199999996</v>
      </c>
      <c r="J23" s="813">
        <v>656.61084000000005</v>
      </c>
      <c r="K23" s="813">
        <v>650.32995600000004</v>
      </c>
      <c r="L23" s="813">
        <v>644.57342500000004</v>
      </c>
      <c r="M23" s="813">
        <v>638.20324700000003</v>
      </c>
      <c r="N23" s="813">
        <v>631.74163799999997</v>
      </c>
      <c r="O23" s="813">
        <v>626.875854</v>
      </c>
      <c r="P23" s="813">
        <v>623.27368200000001</v>
      </c>
      <c r="Q23" s="813">
        <v>622.05505400000004</v>
      </c>
      <c r="R23" s="813">
        <v>620.49707000000001</v>
      </c>
      <c r="S23" s="813">
        <v>618.54553199999998</v>
      </c>
      <c r="T23" s="813">
        <v>619.504639</v>
      </c>
      <c r="U23" s="813">
        <v>617.93542500000001</v>
      </c>
      <c r="V23" s="813">
        <v>616.91149900000005</v>
      </c>
      <c r="W23" s="813">
        <v>617.88500999999997</v>
      </c>
      <c r="X23" s="813">
        <v>619.61096199999997</v>
      </c>
      <c r="Y23" s="813">
        <v>621.62170400000002</v>
      </c>
      <c r="Z23" s="813">
        <v>623.10931400000004</v>
      </c>
      <c r="AA23" s="813">
        <v>619.879639</v>
      </c>
      <c r="AB23" s="813">
        <v>621.39038100000005</v>
      </c>
      <c r="AC23" s="813">
        <v>623.31347700000003</v>
      </c>
      <c r="AD23" s="813">
        <v>625.67785600000002</v>
      </c>
      <c r="AE23" s="813">
        <v>627.27978499999995</v>
      </c>
      <c r="AF23" s="814">
        <v>-1.2520000000000001E-3</v>
      </c>
      <c r="AG23" s="802"/>
    </row>
    <row r="24" spans="1:33" ht="15" customHeight="1">
      <c r="A24" s="800" t="s">
        <v>4382</v>
      </c>
      <c r="B24" s="812" t="s">
        <v>4383</v>
      </c>
      <c r="C24" s="813">
        <v>128.75161700000001</v>
      </c>
      <c r="D24" s="813">
        <v>120.71828499999999</v>
      </c>
      <c r="E24" s="813">
        <v>122.32036600000001</v>
      </c>
      <c r="F24" s="813">
        <v>123.886696</v>
      </c>
      <c r="G24" s="813">
        <v>125.433914</v>
      </c>
      <c r="H24" s="813">
        <v>126.920937</v>
      </c>
      <c r="I24" s="813">
        <v>128.297256</v>
      </c>
      <c r="J24" s="813">
        <v>129.518158</v>
      </c>
      <c r="K24" s="813">
        <v>130.587311</v>
      </c>
      <c r="L24" s="813">
        <v>131.49572800000001</v>
      </c>
      <c r="M24" s="813">
        <v>132.18806499999999</v>
      </c>
      <c r="N24" s="813">
        <v>132.65519699999999</v>
      </c>
      <c r="O24" s="813">
        <v>132.90858499999999</v>
      </c>
      <c r="P24" s="813">
        <v>132.95799299999999</v>
      </c>
      <c r="Q24" s="813">
        <v>132.911484</v>
      </c>
      <c r="R24" s="813">
        <v>132.864105</v>
      </c>
      <c r="S24" s="813">
        <v>132.816574</v>
      </c>
      <c r="T24" s="813">
        <v>132.77065999999999</v>
      </c>
      <c r="U24" s="813">
        <v>132.72923299999999</v>
      </c>
      <c r="V24" s="813">
        <v>132.68691999999999</v>
      </c>
      <c r="W24" s="813">
        <v>132.653336</v>
      </c>
      <c r="X24" s="813">
        <v>132.62120100000001</v>
      </c>
      <c r="Y24" s="813">
        <v>132.59028599999999</v>
      </c>
      <c r="Z24" s="813">
        <v>132.55748</v>
      </c>
      <c r="AA24" s="813">
        <v>132.52143899999999</v>
      </c>
      <c r="AB24" s="813">
        <v>132.491806</v>
      </c>
      <c r="AC24" s="813">
        <v>132.46487400000001</v>
      </c>
      <c r="AD24" s="813">
        <v>132.43684400000001</v>
      </c>
      <c r="AE24" s="813">
        <v>132.408661</v>
      </c>
      <c r="AF24" s="814">
        <v>1.0009999999999999E-3</v>
      </c>
      <c r="AG24" s="802"/>
    </row>
    <row r="25" spans="1:33" ht="15" customHeight="1">
      <c r="A25" s="800" t="s">
        <v>4384</v>
      </c>
      <c r="B25" s="812" t="s">
        <v>4385</v>
      </c>
      <c r="C25" s="813">
        <v>43.634070999999999</v>
      </c>
      <c r="D25" s="813">
        <v>48.794701000000003</v>
      </c>
      <c r="E25" s="813">
        <v>49.513969000000003</v>
      </c>
      <c r="F25" s="813">
        <v>50.204571000000001</v>
      </c>
      <c r="G25" s="813">
        <v>51.170909999999999</v>
      </c>
      <c r="H25" s="813">
        <v>52.282660999999997</v>
      </c>
      <c r="I25" s="813">
        <v>53.353831999999997</v>
      </c>
      <c r="J25" s="813">
        <v>54.275565999999998</v>
      </c>
      <c r="K25" s="813">
        <v>55.206665000000001</v>
      </c>
      <c r="L25" s="813">
        <v>56.306725</v>
      </c>
      <c r="M25" s="813">
        <v>57.275993</v>
      </c>
      <c r="N25" s="813">
        <v>57.992294000000001</v>
      </c>
      <c r="O25" s="813">
        <v>58.699534999999997</v>
      </c>
      <c r="P25" s="813">
        <v>59.491688000000003</v>
      </c>
      <c r="Q25" s="813">
        <v>60.318905000000001</v>
      </c>
      <c r="R25" s="813">
        <v>61.096545999999996</v>
      </c>
      <c r="S25" s="813">
        <v>61.912235000000003</v>
      </c>
      <c r="T25" s="813">
        <v>62.768298999999999</v>
      </c>
      <c r="U25" s="813">
        <v>63.613627999999999</v>
      </c>
      <c r="V25" s="813">
        <v>64.443436000000005</v>
      </c>
      <c r="W25" s="813">
        <v>65.341453999999999</v>
      </c>
      <c r="X25" s="813">
        <v>66.232108999999994</v>
      </c>
      <c r="Y25" s="813">
        <v>67.122130999999996</v>
      </c>
      <c r="Z25" s="813">
        <v>68.000877000000003</v>
      </c>
      <c r="AA25" s="813">
        <v>68.842888000000002</v>
      </c>
      <c r="AB25" s="813">
        <v>69.720657000000003</v>
      </c>
      <c r="AC25" s="813">
        <v>70.616767999999993</v>
      </c>
      <c r="AD25" s="813">
        <v>71.501579000000007</v>
      </c>
      <c r="AE25" s="813">
        <v>72.382621999999998</v>
      </c>
      <c r="AF25" s="814">
        <v>1.8239999999999999E-2</v>
      </c>
      <c r="AG25" s="802"/>
    </row>
    <row r="26" spans="1:33" ht="15" customHeight="1">
      <c r="A26" s="800" t="s">
        <v>4386</v>
      </c>
      <c r="B26" s="812" t="s">
        <v>4274</v>
      </c>
      <c r="C26" s="813">
        <v>300.32415800000001</v>
      </c>
      <c r="D26" s="813">
        <v>305.58453400000002</v>
      </c>
      <c r="E26" s="813">
        <v>303.31555200000003</v>
      </c>
      <c r="F26" s="813">
        <v>303.50396699999999</v>
      </c>
      <c r="G26" s="813">
        <v>304.72256499999997</v>
      </c>
      <c r="H26" s="813">
        <v>306.86248799999998</v>
      </c>
      <c r="I26" s="813">
        <v>309.20617700000003</v>
      </c>
      <c r="J26" s="813">
        <v>311.447968</v>
      </c>
      <c r="K26" s="813">
        <v>313.470642</v>
      </c>
      <c r="L26" s="813">
        <v>315.85674999999998</v>
      </c>
      <c r="M26" s="813">
        <v>317.73846400000002</v>
      </c>
      <c r="N26" s="813">
        <v>318.69278000000003</v>
      </c>
      <c r="O26" s="813">
        <v>320.66375699999998</v>
      </c>
      <c r="P26" s="813">
        <v>323.33273300000002</v>
      </c>
      <c r="Q26" s="813">
        <v>325.03567500000003</v>
      </c>
      <c r="R26" s="813">
        <v>326.60510299999999</v>
      </c>
      <c r="S26" s="813">
        <v>328.55264299999999</v>
      </c>
      <c r="T26" s="813">
        <v>329.77374300000002</v>
      </c>
      <c r="U26" s="813">
        <v>331.99850500000002</v>
      </c>
      <c r="V26" s="813">
        <v>333.91580199999999</v>
      </c>
      <c r="W26" s="813">
        <v>336.062164</v>
      </c>
      <c r="X26" s="813">
        <v>338.02123999999998</v>
      </c>
      <c r="Y26" s="813">
        <v>339.84072900000001</v>
      </c>
      <c r="Z26" s="813">
        <v>342.33715799999999</v>
      </c>
      <c r="AA26" s="813">
        <v>347.72241200000002</v>
      </c>
      <c r="AB26" s="813">
        <v>349.89544699999999</v>
      </c>
      <c r="AC26" s="813">
        <v>352.04589800000002</v>
      </c>
      <c r="AD26" s="813">
        <v>354.31597900000003</v>
      </c>
      <c r="AE26" s="813">
        <v>356.77142300000003</v>
      </c>
      <c r="AF26" s="814">
        <v>6.1700000000000001E-3</v>
      </c>
      <c r="AG26" s="802"/>
    </row>
    <row r="27" spans="1:33" ht="15" customHeight="1">
      <c r="A27" s="800" t="s">
        <v>4387</v>
      </c>
      <c r="B27" s="808" t="s">
        <v>4276</v>
      </c>
      <c r="C27" s="811">
        <v>1125.6567379999999</v>
      </c>
      <c r="D27" s="811">
        <v>1126.8542480000001</v>
      </c>
      <c r="E27" s="811">
        <v>1136.477539</v>
      </c>
      <c r="F27" s="811">
        <v>1141.610596</v>
      </c>
      <c r="G27" s="811">
        <v>1149.9963379999999</v>
      </c>
      <c r="H27" s="811">
        <v>1156.8310550000001</v>
      </c>
      <c r="I27" s="811">
        <v>1156.949341</v>
      </c>
      <c r="J27" s="811">
        <v>1155.3076169999999</v>
      </c>
      <c r="K27" s="811">
        <v>1153.0661620000001</v>
      </c>
      <c r="L27" s="811">
        <v>1151.7142329999999</v>
      </c>
      <c r="M27" s="811">
        <v>1148.9001459999999</v>
      </c>
      <c r="N27" s="811">
        <v>1144.6058350000001</v>
      </c>
      <c r="O27" s="811">
        <v>1142.7114260000001</v>
      </c>
      <c r="P27" s="811">
        <v>1142.6567379999999</v>
      </c>
      <c r="Q27" s="811">
        <v>1143.9464109999999</v>
      </c>
      <c r="R27" s="811">
        <v>1144.7110600000001</v>
      </c>
      <c r="S27" s="811">
        <v>1145.524658</v>
      </c>
      <c r="T27" s="811">
        <v>1148.529297</v>
      </c>
      <c r="U27" s="811">
        <v>1150.0367429999999</v>
      </c>
      <c r="V27" s="811">
        <v>1151.744995</v>
      </c>
      <c r="W27" s="811">
        <v>1155.7619629999999</v>
      </c>
      <c r="X27" s="811">
        <v>1160.3148189999999</v>
      </c>
      <c r="Y27" s="811">
        <v>1165.0347899999999</v>
      </c>
      <c r="Z27" s="811">
        <v>1169.894043</v>
      </c>
      <c r="AA27" s="811">
        <v>1172.8664550000001</v>
      </c>
      <c r="AB27" s="811">
        <v>1177.421143</v>
      </c>
      <c r="AC27" s="811">
        <v>1182.3847659999999</v>
      </c>
      <c r="AD27" s="811">
        <v>1187.888428</v>
      </c>
      <c r="AE27" s="811">
        <v>1192.815308</v>
      </c>
      <c r="AF27" s="810">
        <v>2.0720000000000001E-3</v>
      </c>
      <c r="AG27" s="802"/>
    </row>
    <row r="28" spans="1:33" ht="15" customHeight="1">
      <c r="B28" s="802"/>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row>
    <row r="29" spans="1:33" ht="15" customHeight="1">
      <c r="B29" s="808" t="s">
        <v>4388</v>
      </c>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row>
    <row r="30" spans="1:33" ht="15" customHeight="1">
      <c r="B30" s="808" t="s">
        <v>4389</v>
      </c>
      <c r="C30" s="802"/>
      <c r="D30" s="802"/>
      <c r="E30" s="802"/>
      <c r="F30" s="802"/>
      <c r="G30" s="802"/>
      <c r="H30" s="802"/>
      <c r="I30" s="802"/>
      <c r="J30" s="802"/>
      <c r="K30" s="802"/>
      <c r="L30" s="802"/>
      <c r="M30" s="802"/>
      <c r="N30" s="802"/>
      <c r="O30" s="802"/>
      <c r="P30" s="802"/>
      <c r="Q30" s="802"/>
      <c r="R30" s="802"/>
      <c r="S30" s="802"/>
      <c r="T30" s="802"/>
      <c r="U30" s="802"/>
      <c r="V30" s="802"/>
      <c r="W30" s="802"/>
      <c r="X30" s="802"/>
      <c r="Y30" s="802"/>
      <c r="Z30" s="802"/>
      <c r="AA30" s="802"/>
      <c r="AB30" s="802"/>
      <c r="AC30" s="802"/>
      <c r="AD30" s="802"/>
      <c r="AE30" s="802"/>
      <c r="AF30" s="802"/>
      <c r="AG30" s="802"/>
    </row>
    <row r="31" spans="1:33" ht="15" customHeight="1">
      <c r="A31" s="800" t="s">
        <v>4390</v>
      </c>
      <c r="B31" s="812" t="s">
        <v>4248</v>
      </c>
      <c r="C31" s="815">
        <v>0</v>
      </c>
      <c r="D31" s="815">
        <v>0</v>
      </c>
      <c r="E31" s="815">
        <v>0</v>
      </c>
      <c r="F31" s="815">
        <v>0</v>
      </c>
      <c r="G31" s="815">
        <v>0</v>
      </c>
      <c r="H31" s="815">
        <v>0</v>
      </c>
      <c r="I31" s="815">
        <v>0</v>
      </c>
      <c r="J31" s="815">
        <v>0</v>
      </c>
      <c r="K31" s="815">
        <v>0</v>
      </c>
      <c r="L31" s="815">
        <v>0</v>
      </c>
      <c r="M31" s="815">
        <v>0</v>
      </c>
      <c r="N31" s="815">
        <v>0</v>
      </c>
      <c r="O31" s="815">
        <v>0</v>
      </c>
      <c r="P31" s="815">
        <v>0</v>
      </c>
      <c r="Q31" s="815">
        <v>0</v>
      </c>
      <c r="R31" s="815">
        <v>0</v>
      </c>
      <c r="S31" s="815">
        <v>0</v>
      </c>
      <c r="T31" s="815">
        <v>0</v>
      </c>
      <c r="U31" s="815">
        <v>0</v>
      </c>
      <c r="V31" s="815">
        <v>0</v>
      </c>
      <c r="W31" s="815">
        <v>0</v>
      </c>
      <c r="X31" s="815">
        <v>0</v>
      </c>
      <c r="Y31" s="815">
        <v>0</v>
      </c>
      <c r="Z31" s="815">
        <v>0</v>
      </c>
      <c r="AA31" s="815">
        <v>0</v>
      </c>
      <c r="AB31" s="815">
        <v>0</v>
      </c>
      <c r="AC31" s="815">
        <v>0</v>
      </c>
      <c r="AD31" s="815">
        <v>0</v>
      </c>
      <c r="AE31" s="815">
        <v>0</v>
      </c>
      <c r="AF31" s="814" t="s">
        <v>2805</v>
      </c>
      <c r="AG31" s="802"/>
    </row>
    <row r="32" spans="1:33" ht="15" customHeight="1">
      <c r="A32" s="800" t="s">
        <v>4391</v>
      </c>
      <c r="B32" s="812" t="s">
        <v>4250</v>
      </c>
      <c r="C32" s="815">
        <v>3.0409999999999999E-3</v>
      </c>
      <c r="D32" s="815">
        <v>3.49E-3</v>
      </c>
      <c r="E32" s="815">
        <v>3.0899999999999999E-3</v>
      </c>
      <c r="F32" s="815">
        <v>3.0439999999999998E-3</v>
      </c>
      <c r="G32" s="815">
        <v>2.9810000000000001E-3</v>
      </c>
      <c r="H32" s="815">
        <v>2.9640000000000001E-3</v>
      </c>
      <c r="I32" s="815">
        <v>2.9689999999999999E-3</v>
      </c>
      <c r="J32" s="815">
        <v>2.9290000000000002E-3</v>
      </c>
      <c r="K32" s="815">
        <v>2.9030000000000002E-3</v>
      </c>
      <c r="L32" s="815">
        <v>2.8609999999999998E-3</v>
      </c>
      <c r="M32" s="815">
        <v>2.826E-3</v>
      </c>
      <c r="N32" s="815">
        <v>2.807E-3</v>
      </c>
      <c r="O32" s="815">
        <v>2.8019999999999998E-3</v>
      </c>
      <c r="P32" s="815">
        <v>2.7950000000000002E-3</v>
      </c>
      <c r="Q32" s="815">
        <v>2.7899999999999999E-3</v>
      </c>
      <c r="R32" s="815">
        <v>2.7799999999999999E-3</v>
      </c>
      <c r="S32" s="815">
        <v>2.7820000000000002E-3</v>
      </c>
      <c r="T32" s="815">
        <v>2.7789999999999998E-3</v>
      </c>
      <c r="U32" s="815">
        <v>2.7759999999999998E-3</v>
      </c>
      <c r="V32" s="815">
        <v>2.7659999999999998E-3</v>
      </c>
      <c r="W32" s="815">
        <v>2.7659999999999998E-3</v>
      </c>
      <c r="X32" s="815">
        <v>2.7569999999999999E-3</v>
      </c>
      <c r="Y32" s="815">
        <v>2.7599999999999999E-3</v>
      </c>
      <c r="Z32" s="815">
        <v>2.761E-3</v>
      </c>
      <c r="AA32" s="815">
        <v>2.7520000000000001E-3</v>
      </c>
      <c r="AB32" s="815">
        <v>2.7499999999999998E-3</v>
      </c>
      <c r="AC32" s="815">
        <v>2.748E-3</v>
      </c>
      <c r="AD32" s="815">
        <v>2.7409999999999999E-3</v>
      </c>
      <c r="AE32" s="815">
        <v>2.7330000000000002E-3</v>
      </c>
      <c r="AF32" s="814">
        <v>-3.8140000000000001E-3</v>
      </c>
      <c r="AG32" s="802"/>
    </row>
    <row r="33" spans="1:33" ht="15" customHeight="1">
      <c r="A33" s="800" t="s">
        <v>4392</v>
      </c>
      <c r="B33" s="812" t="s">
        <v>4377</v>
      </c>
      <c r="C33" s="815">
        <v>4.4799999999999999E-4</v>
      </c>
      <c r="D33" s="815">
        <v>6.1499999999999999E-4</v>
      </c>
      <c r="E33" s="815">
        <v>1.439E-3</v>
      </c>
      <c r="F33" s="815">
        <v>1.042E-3</v>
      </c>
      <c r="G33" s="815">
        <v>6.9899999999999997E-4</v>
      </c>
      <c r="H33" s="815">
        <v>5.3300000000000005E-4</v>
      </c>
      <c r="I33" s="815">
        <v>4.46E-4</v>
      </c>
      <c r="J33" s="815">
        <v>4.3899999999999999E-4</v>
      </c>
      <c r="K33" s="815">
        <v>4.4299999999999998E-4</v>
      </c>
      <c r="L33" s="815">
        <v>4.5100000000000001E-4</v>
      </c>
      <c r="M33" s="815">
        <v>4.6200000000000001E-4</v>
      </c>
      <c r="N33" s="815">
        <v>4.7899999999999999E-4</v>
      </c>
      <c r="O33" s="815">
        <v>4.8999999999999998E-4</v>
      </c>
      <c r="P33" s="815">
        <v>4.9700000000000005E-4</v>
      </c>
      <c r="Q33" s="815">
        <v>4.8899999999999996E-4</v>
      </c>
      <c r="R33" s="815">
        <v>4.8500000000000003E-4</v>
      </c>
      <c r="S33" s="815">
        <v>4.9399999999999997E-4</v>
      </c>
      <c r="T33" s="815">
        <v>4.75E-4</v>
      </c>
      <c r="U33" s="815">
        <v>4.8500000000000003E-4</v>
      </c>
      <c r="V33" s="815">
        <v>4.86E-4</v>
      </c>
      <c r="W33" s="815">
        <v>4.7899999999999999E-4</v>
      </c>
      <c r="X33" s="815">
        <v>4.6299999999999998E-4</v>
      </c>
      <c r="Y33" s="815">
        <v>4.5300000000000001E-4</v>
      </c>
      <c r="Z33" s="815">
        <v>4.4499999999999997E-4</v>
      </c>
      <c r="AA33" s="815">
        <v>4.3399999999999998E-4</v>
      </c>
      <c r="AB33" s="815">
        <v>4.2400000000000001E-4</v>
      </c>
      <c r="AC33" s="815">
        <v>4.1399999999999998E-4</v>
      </c>
      <c r="AD33" s="815">
        <v>4.0099999999999999E-4</v>
      </c>
      <c r="AE33" s="815">
        <v>3.9300000000000001E-4</v>
      </c>
      <c r="AF33" s="814">
        <v>-4.6449999999999998E-3</v>
      </c>
      <c r="AG33" s="802"/>
    </row>
    <row r="34" spans="1:33" ht="12" customHeight="1">
      <c r="A34" s="800" t="s">
        <v>4393</v>
      </c>
      <c r="B34" s="812" t="s">
        <v>4379</v>
      </c>
      <c r="C34" s="815">
        <v>0</v>
      </c>
      <c r="D34" s="815">
        <v>0</v>
      </c>
      <c r="E34" s="815">
        <v>0</v>
      </c>
      <c r="F34" s="815">
        <v>0</v>
      </c>
      <c r="G34" s="815">
        <v>0</v>
      </c>
      <c r="H34" s="815">
        <v>0</v>
      </c>
      <c r="I34" s="815">
        <v>0</v>
      </c>
      <c r="J34" s="815">
        <v>0</v>
      </c>
      <c r="K34" s="815">
        <v>0</v>
      </c>
      <c r="L34" s="815">
        <v>0</v>
      </c>
      <c r="M34" s="815">
        <v>0</v>
      </c>
      <c r="N34" s="815">
        <v>0</v>
      </c>
      <c r="O34" s="815">
        <v>0</v>
      </c>
      <c r="P34" s="815">
        <v>0</v>
      </c>
      <c r="Q34" s="815">
        <v>0</v>
      </c>
      <c r="R34" s="815">
        <v>0</v>
      </c>
      <c r="S34" s="815">
        <v>0</v>
      </c>
      <c r="T34" s="815">
        <v>0</v>
      </c>
      <c r="U34" s="815">
        <v>0</v>
      </c>
      <c r="V34" s="815">
        <v>0</v>
      </c>
      <c r="W34" s="815">
        <v>0</v>
      </c>
      <c r="X34" s="815">
        <v>0</v>
      </c>
      <c r="Y34" s="815">
        <v>0</v>
      </c>
      <c r="Z34" s="815">
        <v>0</v>
      </c>
      <c r="AA34" s="815">
        <v>0</v>
      </c>
      <c r="AB34" s="815">
        <v>0</v>
      </c>
      <c r="AC34" s="815">
        <v>0</v>
      </c>
      <c r="AD34" s="815">
        <v>0</v>
      </c>
      <c r="AE34" s="815">
        <v>0</v>
      </c>
      <c r="AF34" s="814" t="s">
        <v>2805</v>
      </c>
      <c r="AG34" s="802"/>
    </row>
    <row r="35" spans="1:33" ht="12" customHeight="1">
      <c r="A35" s="800" t="s">
        <v>4394</v>
      </c>
      <c r="B35" s="812" t="s">
        <v>4260</v>
      </c>
      <c r="C35" s="815">
        <v>3.4889999999999999E-3</v>
      </c>
      <c r="D35" s="815">
        <v>4.1050000000000001E-3</v>
      </c>
      <c r="E35" s="815">
        <v>4.5279999999999999E-3</v>
      </c>
      <c r="F35" s="815">
        <v>4.0860000000000002E-3</v>
      </c>
      <c r="G35" s="815">
        <v>3.6809999999999998E-3</v>
      </c>
      <c r="H35" s="815">
        <v>3.4970000000000001E-3</v>
      </c>
      <c r="I35" s="815">
        <v>3.4150000000000001E-3</v>
      </c>
      <c r="J35" s="815">
        <v>3.369E-3</v>
      </c>
      <c r="K35" s="815">
        <v>3.346E-3</v>
      </c>
      <c r="L35" s="815">
        <v>3.3119999999999998E-3</v>
      </c>
      <c r="M35" s="815">
        <v>3.2880000000000001E-3</v>
      </c>
      <c r="N35" s="815">
        <v>3.2859999999999999E-3</v>
      </c>
      <c r="O35" s="815">
        <v>3.2919999999999998E-3</v>
      </c>
      <c r="P35" s="815">
        <v>3.2919999999999998E-3</v>
      </c>
      <c r="Q35" s="815">
        <v>3.2789999999999998E-3</v>
      </c>
      <c r="R35" s="815">
        <v>3.2659999999999998E-3</v>
      </c>
      <c r="S35" s="815">
        <v>3.2759999999999998E-3</v>
      </c>
      <c r="T35" s="815">
        <v>3.2539999999999999E-3</v>
      </c>
      <c r="U35" s="815">
        <v>3.261E-3</v>
      </c>
      <c r="V35" s="815">
        <v>3.2520000000000001E-3</v>
      </c>
      <c r="W35" s="815">
        <v>3.2450000000000001E-3</v>
      </c>
      <c r="X35" s="815">
        <v>3.2200000000000002E-3</v>
      </c>
      <c r="Y35" s="815">
        <v>3.2130000000000001E-3</v>
      </c>
      <c r="Z35" s="815">
        <v>3.2060000000000001E-3</v>
      </c>
      <c r="AA35" s="815">
        <v>3.1849999999999999E-3</v>
      </c>
      <c r="AB35" s="815">
        <v>3.1740000000000002E-3</v>
      </c>
      <c r="AC35" s="815">
        <v>3.1610000000000002E-3</v>
      </c>
      <c r="AD35" s="815">
        <v>3.1419999999999998E-3</v>
      </c>
      <c r="AE35" s="815">
        <v>3.1259999999999999E-3</v>
      </c>
      <c r="AF35" s="814">
        <v>-3.9199999999999999E-3</v>
      </c>
      <c r="AG35" s="802"/>
    </row>
    <row r="36" spans="1:33" ht="12" customHeight="1">
      <c r="A36" s="800" t="s">
        <v>4395</v>
      </c>
      <c r="B36" s="812" t="s">
        <v>4262</v>
      </c>
      <c r="C36" s="815">
        <v>0.69129499999999999</v>
      </c>
      <c r="D36" s="815">
        <v>0.67876000000000003</v>
      </c>
      <c r="E36" s="815">
        <v>0.68147899999999995</v>
      </c>
      <c r="F36" s="815">
        <v>0.67841799999999997</v>
      </c>
      <c r="G36" s="815">
        <v>0.67485499999999998</v>
      </c>
      <c r="H36" s="815">
        <v>0.66766899999999996</v>
      </c>
      <c r="I36" s="815">
        <v>0.65384600000000004</v>
      </c>
      <c r="J36" s="815">
        <v>0.64021600000000001</v>
      </c>
      <c r="K36" s="815">
        <v>0.626722</v>
      </c>
      <c r="L36" s="815">
        <v>0.61324299999999998</v>
      </c>
      <c r="M36" s="815">
        <v>0.60049300000000005</v>
      </c>
      <c r="N36" s="815">
        <v>0.58911599999999997</v>
      </c>
      <c r="O36" s="815">
        <v>0.57909500000000003</v>
      </c>
      <c r="P36" s="815">
        <v>0.56985699999999995</v>
      </c>
      <c r="Q36" s="815">
        <v>0.56264400000000003</v>
      </c>
      <c r="R36" s="815">
        <v>0.55544499999999997</v>
      </c>
      <c r="S36" s="815">
        <v>0.54796500000000004</v>
      </c>
      <c r="T36" s="815">
        <v>0.54299299999999995</v>
      </c>
      <c r="U36" s="815">
        <v>0.53593599999999997</v>
      </c>
      <c r="V36" s="815">
        <v>0.52964800000000001</v>
      </c>
      <c r="W36" s="815">
        <v>0.524899</v>
      </c>
      <c r="X36" s="815">
        <v>0.52099899999999999</v>
      </c>
      <c r="Y36" s="815">
        <v>0.51749800000000001</v>
      </c>
      <c r="Z36" s="815">
        <v>0.51366999999999996</v>
      </c>
      <c r="AA36" s="815">
        <v>0.50627500000000003</v>
      </c>
      <c r="AB36" s="815">
        <v>0.50278400000000001</v>
      </c>
      <c r="AC36" s="815">
        <v>0.49963999999999997</v>
      </c>
      <c r="AD36" s="815">
        <v>0.49687799999999999</v>
      </c>
      <c r="AE36" s="815">
        <v>0.49357699999999999</v>
      </c>
      <c r="AF36" s="814">
        <v>-1.196E-2</v>
      </c>
      <c r="AG36" s="802"/>
    </row>
    <row r="37" spans="1:33" ht="12" customHeight="1">
      <c r="A37" s="800" t="s">
        <v>4396</v>
      </c>
      <c r="B37" s="812" t="s">
        <v>4383</v>
      </c>
      <c r="C37" s="815">
        <v>0.13700100000000001</v>
      </c>
      <c r="D37" s="815">
        <v>0.12648000000000001</v>
      </c>
      <c r="E37" s="815">
        <v>0.126885</v>
      </c>
      <c r="F37" s="815">
        <v>0.127336</v>
      </c>
      <c r="G37" s="815">
        <v>0.12728500000000001</v>
      </c>
      <c r="H37" s="815">
        <v>0.126997</v>
      </c>
      <c r="I37" s="815">
        <v>0.12659599999999999</v>
      </c>
      <c r="J37" s="815">
        <v>0.12628400000000001</v>
      </c>
      <c r="K37" s="815">
        <v>0.12584699999999999</v>
      </c>
      <c r="L37" s="815">
        <v>0.12510399999999999</v>
      </c>
      <c r="M37" s="815">
        <v>0.124377</v>
      </c>
      <c r="N37" s="815">
        <v>0.12370399999999999</v>
      </c>
      <c r="O37" s="815">
        <v>0.122778</v>
      </c>
      <c r="P37" s="815">
        <v>0.121563</v>
      </c>
      <c r="Q37" s="815">
        <v>0.120217</v>
      </c>
      <c r="R37" s="815">
        <v>0.118935</v>
      </c>
      <c r="S37" s="815">
        <v>0.117661</v>
      </c>
      <c r="T37" s="815">
        <v>0.116373</v>
      </c>
      <c r="U37" s="815">
        <v>0.115116</v>
      </c>
      <c r="V37" s="815">
        <v>0.11391800000000001</v>
      </c>
      <c r="W37" s="815">
        <v>0.11269</v>
      </c>
      <c r="X37" s="815">
        <v>0.111514</v>
      </c>
      <c r="Y37" s="815">
        <v>0.11038100000000001</v>
      </c>
      <c r="Z37" s="815">
        <v>0.109276</v>
      </c>
      <c r="AA37" s="815">
        <v>0.108234</v>
      </c>
      <c r="AB37" s="815">
        <v>0.10720300000000001</v>
      </c>
      <c r="AC37" s="815">
        <v>0.106182</v>
      </c>
      <c r="AD37" s="815">
        <v>0.105174</v>
      </c>
      <c r="AE37" s="815">
        <v>0.104186</v>
      </c>
      <c r="AF37" s="814">
        <v>-9.7310000000000001E-3</v>
      </c>
      <c r="AG37" s="802"/>
    </row>
    <row r="38" spans="1:33" ht="12" customHeight="1">
      <c r="A38" s="800" t="s">
        <v>4397</v>
      </c>
      <c r="B38" s="812" t="s">
        <v>4385</v>
      </c>
      <c r="C38" s="815">
        <v>4.6429999999999999E-2</v>
      </c>
      <c r="D38" s="815">
        <v>5.1124000000000003E-2</v>
      </c>
      <c r="E38" s="815">
        <v>5.1361999999999998E-2</v>
      </c>
      <c r="F38" s="815">
        <v>5.1602000000000002E-2</v>
      </c>
      <c r="G38" s="815">
        <v>5.1926E-2</v>
      </c>
      <c r="H38" s="815">
        <v>5.2313999999999999E-2</v>
      </c>
      <c r="I38" s="815">
        <v>5.2645999999999998E-2</v>
      </c>
      <c r="J38" s="815">
        <v>5.2920000000000002E-2</v>
      </c>
      <c r="K38" s="815">
        <v>5.3203E-2</v>
      </c>
      <c r="L38" s="815">
        <v>5.357E-2</v>
      </c>
      <c r="M38" s="815">
        <v>5.3892000000000002E-2</v>
      </c>
      <c r="N38" s="815">
        <v>5.4079000000000002E-2</v>
      </c>
      <c r="O38" s="815">
        <v>5.4225000000000002E-2</v>
      </c>
      <c r="P38" s="815">
        <v>5.4392999999999997E-2</v>
      </c>
      <c r="Q38" s="815">
        <v>5.4558000000000002E-2</v>
      </c>
      <c r="R38" s="815">
        <v>5.4690999999999997E-2</v>
      </c>
      <c r="S38" s="815">
        <v>5.4848000000000001E-2</v>
      </c>
      <c r="T38" s="815">
        <v>5.5016000000000002E-2</v>
      </c>
      <c r="U38" s="815">
        <v>5.5171999999999999E-2</v>
      </c>
      <c r="V38" s="815">
        <v>5.5328000000000002E-2</v>
      </c>
      <c r="W38" s="815">
        <v>5.5508000000000002E-2</v>
      </c>
      <c r="X38" s="815">
        <v>5.5690999999999997E-2</v>
      </c>
      <c r="Y38" s="815">
        <v>5.5878999999999998E-2</v>
      </c>
      <c r="Z38" s="815">
        <v>5.6057999999999997E-2</v>
      </c>
      <c r="AA38" s="815">
        <v>5.6225999999999998E-2</v>
      </c>
      <c r="AB38" s="815">
        <v>5.6412999999999998E-2</v>
      </c>
      <c r="AC38" s="815">
        <v>5.6605000000000003E-2</v>
      </c>
      <c r="AD38" s="815">
        <v>5.6781999999999999E-2</v>
      </c>
      <c r="AE38" s="815">
        <v>5.6953999999999998E-2</v>
      </c>
      <c r="AF38" s="814">
        <v>7.3229999999999996E-3</v>
      </c>
      <c r="AG38" s="802"/>
    </row>
    <row r="39" spans="1:33" ht="12" customHeight="1">
      <c r="A39" s="800" t="s">
        <v>4398</v>
      </c>
      <c r="B39" s="812" t="s">
        <v>4274</v>
      </c>
      <c r="C39" s="815">
        <v>0.31956699999999999</v>
      </c>
      <c r="D39" s="815">
        <v>0.32017000000000001</v>
      </c>
      <c r="E39" s="815">
        <v>0.314635</v>
      </c>
      <c r="F39" s="815">
        <v>0.31195499999999998</v>
      </c>
      <c r="G39" s="815">
        <v>0.30921900000000002</v>
      </c>
      <c r="H39" s="815">
        <v>0.30704599999999999</v>
      </c>
      <c r="I39" s="815">
        <v>0.30510599999999999</v>
      </c>
      <c r="J39" s="815">
        <v>0.30367100000000002</v>
      </c>
      <c r="K39" s="815">
        <v>0.302091</v>
      </c>
      <c r="L39" s="815">
        <v>0.30050399999999999</v>
      </c>
      <c r="M39" s="815">
        <v>0.29896400000000001</v>
      </c>
      <c r="N39" s="815">
        <v>0.29718899999999998</v>
      </c>
      <c r="O39" s="815">
        <v>0.29622300000000001</v>
      </c>
      <c r="P39" s="815">
        <v>0.295622</v>
      </c>
      <c r="Q39" s="815">
        <v>0.29399199999999998</v>
      </c>
      <c r="R39" s="815">
        <v>0.29236400000000001</v>
      </c>
      <c r="S39" s="815">
        <v>0.29106300000000002</v>
      </c>
      <c r="T39" s="815">
        <v>0.289045</v>
      </c>
      <c r="U39" s="815">
        <v>0.287943</v>
      </c>
      <c r="V39" s="815">
        <v>0.28668300000000002</v>
      </c>
      <c r="W39" s="815">
        <v>0.28548800000000002</v>
      </c>
      <c r="X39" s="815">
        <v>0.28422399999999998</v>
      </c>
      <c r="Y39" s="815">
        <v>0.282916</v>
      </c>
      <c r="Z39" s="815">
        <v>0.28221099999999999</v>
      </c>
      <c r="AA39" s="815">
        <v>0.28399600000000003</v>
      </c>
      <c r="AB39" s="815">
        <v>0.28310999999999997</v>
      </c>
      <c r="AC39" s="815">
        <v>0.28219499999999997</v>
      </c>
      <c r="AD39" s="815">
        <v>0.28137699999999999</v>
      </c>
      <c r="AE39" s="815">
        <v>0.28072599999999998</v>
      </c>
      <c r="AF39" s="814">
        <v>-4.6169999999999996E-3</v>
      </c>
      <c r="AG39" s="802"/>
    </row>
    <row r="40" spans="1:33" ht="12" customHeight="1">
      <c r="A40" s="800" t="s">
        <v>4399</v>
      </c>
      <c r="B40" s="808" t="s">
        <v>4276</v>
      </c>
      <c r="C40" s="816">
        <v>1.197783</v>
      </c>
      <c r="D40" s="816">
        <v>1.1806380000000001</v>
      </c>
      <c r="E40" s="816">
        <v>1.17889</v>
      </c>
      <c r="F40" s="816">
        <v>1.1733979999999999</v>
      </c>
      <c r="G40" s="816">
        <v>1.166965</v>
      </c>
      <c r="H40" s="816">
        <v>1.1575219999999999</v>
      </c>
      <c r="I40" s="816">
        <v>1.1416090000000001</v>
      </c>
      <c r="J40" s="816">
        <v>1.1264609999999999</v>
      </c>
      <c r="K40" s="816">
        <v>1.1112070000000001</v>
      </c>
      <c r="L40" s="816">
        <v>1.0957330000000001</v>
      </c>
      <c r="M40" s="816">
        <v>1.0810139999999999</v>
      </c>
      <c r="N40" s="816">
        <v>1.067375</v>
      </c>
      <c r="O40" s="816">
        <v>1.0556140000000001</v>
      </c>
      <c r="P40" s="816">
        <v>1.044726</v>
      </c>
      <c r="Q40" s="816">
        <v>1.0346900000000001</v>
      </c>
      <c r="R40" s="816">
        <v>1.024702</v>
      </c>
      <c r="S40" s="816">
        <v>1.014813</v>
      </c>
      <c r="T40" s="816">
        <v>1.0066809999999999</v>
      </c>
      <c r="U40" s="816">
        <v>0.99742900000000001</v>
      </c>
      <c r="V40" s="816">
        <v>0.98882800000000004</v>
      </c>
      <c r="W40" s="816">
        <v>0.98183100000000001</v>
      </c>
      <c r="X40" s="816">
        <v>0.97564799999999996</v>
      </c>
      <c r="Y40" s="816">
        <v>0.96988700000000005</v>
      </c>
      <c r="Z40" s="816">
        <v>0.96442099999999997</v>
      </c>
      <c r="AA40" s="816">
        <v>0.95791599999999999</v>
      </c>
      <c r="AB40" s="816">
        <v>0.95268399999999998</v>
      </c>
      <c r="AC40" s="816">
        <v>0.94778300000000004</v>
      </c>
      <c r="AD40" s="816">
        <v>0.943353</v>
      </c>
      <c r="AE40" s="816">
        <v>0.93857000000000002</v>
      </c>
      <c r="AF40" s="810">
        <v>-8.6719999999999992E-3</v>
      </c>
      <c r="AG40" s="802"/>
    </row>
    <row r="41" spans="1:33" ht="12" customHeight="1">
      <c r="B41" s="802"/>
      <c r="C41" s="802"/>
      <c r="D41" s="802"/>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row>
    <row r="42" spans="1:33" ht="12" customHeight="1">
      <c r="B42" s="808" t="s">
        <v>4400</v>
      </c>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row>
    <row r="43" spans="1:33" ht="12" customHeight="1">
      <c r="A43" s="800" t="s">
        <v>4401</v>
      </c>
      <c r="B43" s="808" t="s">
        <v>4279</v>
      </c>
      <c r="C43" s="809">
        <v>82.079857000000004</v>
      </c>
      <c r="D43" s="809">
        <v>79.694130000000001</v>
      </c>
      <c r="E43" s="809">
        <v>79.627921999999998</v>
      </c>
      <c r="F43" s="809">
        <v>77.475448999999998</v>
      </c>
      <c r="G43" s="809">
        <v>74.478424000000004</v>
      </c>
      <c r="H43" s="809">
        <v>71.671111999999994</v>
      </c>
      <c r="I43" s="809">
        <v>68.795708000000005</v>
      </c>
      <c r="J43" s="809">
        <v>66.599258000000006</v>
      </c>
      <c r="K43" s="809">
        <v>64.883385000000004</v>
      </c>
      <c r="L43" s="809">
        <v>64.122603999999995</v>
      </c>
      <c r="M43" s="809">
        <v>63.495071000000003</v>
      </c>
      <c r="N43" s="809">
        <v>63.231822999999999</v>
      </c>
      <c r="O43" s="809">
        <v>62.714419999999997</v>
      </c>
      <c r="P43" s="809">
        <v>62.521931000000002</v>
      </c>
      <c r="Q43" s="809">
        <v>62.439281000000001</v>
      </c>
      <c r="R43" s="809">
        <v>62.220745000000001</v>
      </c>
      <c r="S43" s="809">
        <v>61.896693999999997</v>
      </c>
      <c r="T43" s="809">
        <v>61.820819999999998</v>
      </c>
      <c r="U43" s="809">
        <v>61.759295999999999</v>
      </c>
      <c r="V43" s="809">
        <v>61.841835000000003</v>
      </c>
      <c r="W43" s="809">
        <v>62.000670999999997</v>
      </c>
      <c r="X43" s="809">
        <v>62.018687999999997</v>
      </c>
      <c r="Y43" s="809">
        <v>61.912768999999997</v>
      </c>
      <c r="Z43" s="809">
        <v>61.807495000000003</v>
      </c>
      <c r="AA43" s="809">
        <v>61.467315999999997</v>
      </c>
      <c r="AB43" s="809">
        <v>61.481276999999999</v>
      </c>
      <c r="AC43" s="809">
        <v>61.436397999999997</v>
      </c>
      <c r="AD43" s="809">
        <v>61.487698000000002</v>
      </c>
      <c r="AE43" s="809">
        <v>61.375503999999999</v>
      </c>
      <c r="AF43" s="810">
        <v>-1.0328E-2</v>
      </c>
      <c r="AG43" s="802"/>
    </row>
    <row r="44" spans="1:33" ht="12" customHeight="1">
      <c r="B44" s="8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row>
    <row r="45" spans="1:33" ht="12" customHeight="1">
      <c r="B45" s="808" t="s">
        <v>4402</v>
      </c>
      <c r="C45" s="802"/>
      <c r="D45" s="802"/>
      <c r="E45" s="802"/>
      <c r="F45" s="802"/>
      <c r="G45" s="802"/>
      <c r="H45" s="802"/>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802"/>
      <c r="AG45" s="802"/>
    </row>
    <row r="46" spans="1:33" ht="12" customHeight="1">
      <c r="B46" s="808" t="s">
        <v>4403</v>
      </c>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row>
    <row r="47" spans="1:33" ht="12" customHeight="1">
      <c r="A47" s="800" t="s">
        <v>4404</v>
      </c>
      <c r="B47" s="812" t="s">
        <v>4323</v>
      </c>
      <c r="C47" s="815">
        <v>0.1027</v>
      </c>
      <c r="D47" s="815">
        <v>0.1027</v>
      </c>
      <c r="E47" s="815">
        <v>0.1027</v>
      </c>
      <c r="F47" s="815">
        <v>0.1027</v>
      </c>
      <c r="G47" s="815">
        <v>0.1027</v>
      </c>
      <c r="H47" s="815">
        <v>0.1027</v>
      </c>
      <c r="I47" s="815">
        <v>0.1027</v>
      </c>
      <c r="J47" s="815">
        <v>0.1027</v>
      </c>
      <c r="K47" s="815">
        <v>0.1027</v>
      </c>
      <c r="L47" s="815">
        <v>0.1027</v>
      </c>
      <c r="M47" s="815">
        <v>0.1027</v>
      </c>
      <c r="N47" s="815">
        <v>0.1027</v>
      </c>
      <c r="O47" s="815">
        <v>0.1027</v>
      </c>
      <c r="P47" s="815">
        <v>0.1027</v>
      </c>
      <c r="Q47" s="815">
        <v>0.1027</v>
      </c>
      <c r="R47" s="815">
        <v>0.1027</v>
      </c>
      <c r="S47" s="815">
        <v>0.1027</v>
      </c>
      <c r="T47" s="815">
        <v>0.1027</v>
      </c>
      <c r="U47" s="815">
        <v>0.1027</v>
      </c>
      <c r="V47" s="815">
        <v>0.1027</v>
      </c>
      <c r="W47" s="815">
        <v>0.1027</v>
      </c>
      <c r="X47" s="815">
        <v>0.1027</v>
      </c>
      <c r="Y47" s="815">
        <v>0.1027</v>
      </c>
      <c r="Z47" s="815">
        <v>0.1027</v>
      </c>
      <c r="AA47" s="815">
        <v>0.1027</v>
      </c>
      <c r="AB47" s="815">
        <v>0.1027</v>
      </c>
      <c r="AC47" s="815">
        <v>0.1027</v>
      </c>
      <c r="AD47" s="815">
        <v>0.1027</v>
      </c>
      <c r="AE47" s="815">
        <v>0.1027</v>
      </c>
      <c r="AF47" s="814">
        <v>0</v>
      </c>
      <c r="AG47" s="802"/>
    </row>
    <row r="48" spans="1:33" ht="12" customHeight="1">
      <c r="A48" s="800" t="s">
        <v>4405</v>
      </c>
      <c r="B48" s="812" t="s">
        <v>4297</v>
      </c>
      <c r="C48" s="815">
        <v>0.73589899999999997</v>
      </c>
      <c r="D48" s="815">
        <v>0.74720399999999998</v>
      </c>
      <c r="E48" s="815">
        <v>0.75439699999999998</v>
      </c>
      <c r="F48" s="815">
        <v>0.75819899999999996</v>
      </c>
      <c r="G48" s="815">
        <v>0.76184600000000002</v>
      </c>
      <c r="H48" s="815">
        <v>0.76540799999999998</v>
      </c>
      <c r="I48" s="815">
        <v>0.76898100000000003</v>
      </c>
      <c r="J48" s="815">
        <v>0.77256999999999998</v>
      </c>
      <c r="K48" s="815">
        <v>0.77624499999999996</v>
      </c>
      <c r="L48" s="815">
        <v>0.78009200000000001</v>
      </c>
      <c r="M48" s="815">
        <v>0.78417300000000001</v>
      </c>
      <c r="N48" s="815">
        <v>0.78866999999999998</v>
      </c>
      <c r="O48" s="815">
        <v>0.79375799999999996</v>
      </c>
      <c r="P48" s="815">
        <v>0.79927099999999995</v>
      </c>
      <c r="Q48" s="815">
        <v>0.80532000000000004</v>
      </c>
      <c r="R48" s="815">
        <v>0.81180099999999999</v>
      </c>
      <c r="S48" s="815">
        <v>0.81875699999999996</v>
      </c>
      <c r="T48" s="815">
        <v>0.82612099999999999</v>
      </c>
      <c r="U48" s="815">
        <v>0.83400700000000005</v>
      </c>
      <c r="V48" s="815">
        <v>0.842395</v>
      </c>
      <c r="W48" s="815">
        <v>0.85120300000000004</v>
      </c>
      <c r="X48" s="815">
        <v>0.86041599999999996</v>
      </c>
      <c r="Y48" s="815">
        <v>0.870008</v>
      </c>
      <c r="Z48" s="815">
        <v>0.87971900000000003</v>
      </c>
      <c r="AA48" s="815">
        <v>0.88735600000000003</v>
      </c>
      <c r="AB48" s="815">
        <v>0.89529099999999995</v>
      </c>
      <c r="AC48" s="815">
        <v>0.90358400000000005</v>
      </c>
      <c r="AD48" s="815">
        <v>0.91225000000000001</v>
      </c>
      <c r="AE48" s="815">
        <v>0.92135400000000001</v>
      </c>
      <c r="AF48" s="814">
        <v>8.0590000000000002E-3</v>
      </c>
      <c r="AG48" s="802"/>
    </row>
    <row r="49" spans="1:34" ht="12" customHeight="1">
      <c r="A49" s="800" t="s">
        <v>4406</v>
      </c>
      <c r="B49" s="812" t="s">
        <v>4326</v>
      </c>
      <c r="C49" s="815">
        <v>0.91930000000000001</v>
      </c>
      <c r="D49" s="815">
        <v>0.91930000000000001</v>
      </c>
      <c r="E49" s="815">
        <v>0.91930000000000001</v>
      </c>
      <c r="F49" s="815">
        <v>0.91930000000000001</v>
      </c>
      <c r="G49" s="815">
        <v>0.91930000000000001</v>
      </c>
      <c r="H49" s="815">
        <v>0.91930000000000001</v>
      </c>
      <c r="I49" s="815">
        <v>0.91930000000000001</v>
      </c>
      <c r="J49" s="815">
        <v>0.91930000000000001</v>
      </c>
      <c r="K49" s="815">
        <v>0.91930000000000001</v>
      </c>
      <c r="L49" s="815">
        <v>0.91930000000000001</v>
      </c>
      <c r="M49" s="815">
        <v>0.91930000000000001</v>
      </c>
      <c r="N49" s="815">
        <v>0.91930000000000001</v>
      </c>
      <c r="O49" s="815">
        <v>0.91930000000000001</v>
      </c>
      <c r="P49" s="815">
        <v>0.91930000000000001</v>
      </c>
      <c r="Q49" s="815">
        <v>0.91930000000000001</v>
      </c>
      <c r="R49" s="815">
        <v>0.91930000000000001</v>
      </c>
      <c r="S49" s="815">
        <v>0.91930000000000001</v>
      </c>
      <c r="T49" s="815">
        <v>0.91930000000000001</v>
      </c>
      <c r="U49" s="815">
        <v>0.91930000000000001</v>
      </c>
      <c r="V49" s="815">
        <v>0.91930000000000001</v>
      </c>
      <c r="W49" s="815">
        <v>0.91930000000000001</v>
      </c>
      <c r="X49" s="815">
        <v>0.91930000000000001</v>
      </c>
      <c r="Y49" s="815">
        <v>0.91930000000000001</v>
      </c>
      <c r="Z49" s="815">
        <v>0.91930000000000001</v>
      </c>
      <c r="AA49" s="815">
        <v>0.91930000000000001</v>
      </c>
      <c r="AB49" s="815">
        <v>0.91930000000000001</v>
      </c>
      <c r="AC49" s="815">
        <v>0.91930000000000001</v>
      </c>
      <c r="AD49" s="815">
        <v>0.91930000000000001</v>
      </c>
      <c r="AE49" s="815">
        <v>0.91930000000000001</v>
      </c>
      <c r="AF49" s="814">
        <v>0</v>
      </c>
      <c r="AG49" s="802"/>
    </row>
    <row r="50" spans="1:34" ht="15" customHeight="1">
      <c r="A50" s="800" t="s">
        <v>4407</v>
      </c>
      <c r="B50" s="812" t="s">
        <v>4408</v>
      </c>
      <c r="C50" s="815">
        <v>6.3600000000000004E-2</v>
      </c>
      <c r="D50" s="815">
        <v>6.59E-2</v>
      </c>
      <c r="E50" s="815">
        <v>6.59E-2</v>
      </c>
      <c r="F50" s="815">
        <v>6.59E-2</v>
      </c>
      <c r="G50" s="815">
        <v>6.59E-2</v>
      </c>
      <c r="H50" s="815">
        <v>6.59E-2</v>
      </c>
      <c r="I50" s="815">
        <v>6.59E-2</v>
      </c>
      <c r="J50" s="815">
        <v>6.59E-2</v>
      </c>
      <c r="K50" s="815">
        <v>6.59E-2</v>
      </c>
      <c r="L50" s="815">
        <v>6.59E-2</v>
      </c>
      <c r="M50" s="815">
        <v>6.59E-2</v>
      </c>
      <c r="N50" s="815">
        <v>6.59E-2</v>
      </c>
      <c r="O50" s="815">
        <v>6.59E-2</v>
      </c>
      <c r="P50" s="815">
        <v>6.59E-2</v>
      </c>
      <c r="Q50" s="815">
        <v>6.59E-2</v>
      </c>
      <c r="R50" s="815">
        <v>6.59E-2</v>
      </c>
      <c r="S50" s="815">
        <v>6.59E-2</v>
      </c>
      <c r="T50" s="815">
        <v>6.59E-2</v>
      </c>
      <c r="U50" s="815">
        <v>6.59E-2</v>
      </c>
      <c r="V50" s="815">
        <v>6.59E-2</v>
      </c>
      <c r="W50" s="815">
        <v>6.59E-2</v>
      </c>
      <c r="X50" s="815">
        <v>6.59E-2</v>
      </c>
      <c r="Y50" s="815">
        <v>6.59E-2</v>
      </c>
      <c r="Z50" s="815">
        <v>6.59E-2</v>
      </c>
      <c r="AA50" s="815">
        <v>6.59E-2</v>
      </c>
      <c r="AB50" s="815">
        <v>6.59E-2</v>
      </c>
      <c r="AC50" s="815">
        <v>6.59E-2</v>
      </c>
      <c r="AD50" s="815">
        <v>6.59E-2</v>
      </c>
      <c r="AE50" s="815">
        <v>6.59E-2</v>
      </c>
      <c r="AF50" s="814">
        <v>1.2700000000000001E-3</v>
      </c>
      <c r="AG50" s="802"/>
    </row>
    <row r="51" spans="1:34" ht="15" customHeight="1">
      <c r="A51" s="800" t="s">
        <v>4409</v>
      </c>
      <c r="B51" s="808" t="s">
        <v>4303</v>
      </c>
      <c r="C51" s="816">
        <v>1.821499</v>
      </c>
      <c r="D51" s="816">
        <v>1.8351040000000001</v>
      </c>
      <c r="E51" s="816">
        <v>1.8422970000000001</v>
      </c>
      <c r="F51" s="816">
        <v>1.8460989999999999</v>
      </c>
      <c r="G51" s="816">
        <v>1.8497459999999999</v>
      </c>
      <c r="H51" s="816">
        <v>1.853308</v>
      </c>
      <c r="I51" s="816">
        <v>1.856881</v>
      </c>
      <c r="J51" s="816">
        <v>1.8604700000000001</v>
      </c>
      <c r="K51" s="816">
        <v>1.8641449999999999</v>
      </c>
      <c r="L51" s="816">
        <v>1.8679920000000001</v>
      </c>
      <c r="M51" s="816">
        <v>1.8720730000000001</v>
      </c>
      <c r="N51" s="816">
        <v>1.8765700000000001</v>
      </c>
      <c r="O51" s="816">
        <v>1.8816580000000001</v>
      </c>
      <c r="P51" s="816">
        <v>1.8871709999999999</v>
      </c>
      <c r="Q51" s="816">
        <v>1.893221</v>
      </c>
      <c r="R51" s="816">
        <v>1.8997010000000001</v>
      </c>
      <c r="S51" s="816">
        <v>1.906657</v>
      </c>
      <c r="T51" s="816">
        <v>1.914021</v>
      </c>
      <c r="U51" s="816">
        <v>1.921907</v>
      </c>
      <c r="V51" s="816">
        <v>1.9302950000000001</v>
      </c>
      <c r="W51" s="816">
        <v>1.939103</v>
      </c>
      <c r="X51" s="816">
        <v>1.9483159999999999</v>
      </c>
      <c r="Y51" s="816">
        <v>1.957908</v>
      </c>
      <c r="Z51" s="816">
        <v>1.967619</v>
      </c>
      <c r="AA51" s="816">
        <v>1.9752559999999999</v>
      </c>
      <c r="AB51" s="816">
        <v>1.9831909999999999</v>
      </c>
      <c r="AC51" s="816">
        <v>1.991484</v>
      </c>
      <c r="AD51" s="816">
        <v>2.0001500000000001</v>
      </c>
      <c r="AE51" s="816">
        <v>2.0092539999999999</v>
      </c>
      <c r="AF51" s="810">
        <v>3.5100000000000001E-3</v>
      </c>
      <c r="AG51" s="802"/>
    </row>
    <row r="52" spans="1:34" ht="15" customHeight="1">
      <c r="B52" s="808" t="s">
        <v>4330</v>
      </c>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row>
    <row r="53" spans="1:34" ht="15" customHeight="1">
      <c r="A53" s="800" t="s">
        <v>4410</v>
      </c>
      <c r="B53" s="812" t="s">
        <v>4323</v>
      </c>
      <c r="C53" s="815">
        <v>7.3100999999999999E-2</v>
      </c>
      <c r="D53" s="815">
        <v>7.3100999999999999E-2</v>
      </c>
      <c r="E53" s="815">
        <v>7.3100999999999999E-2</v>
      </c>
      <c r="F53" s="815">
        <v>7.3100999999999999E-2</v>
      </c>
      <c r="G53" s="815">
        <v>7.3100999999999999E-2</v>
      </c>
      <c r="H53" s="815">
        <v>7.3100999999999999E-2</v>
      </c>
      <c r="I53" s="815">
        <v>7.3100999999999999E-2</v>
      </c>
      <c r="J53" s="815">
        <v>7.3100999999999999E-2</v>
      </c>
      <c r="K53" s="815">
        <v>7.3100999999999999E-2</v>
      </c>
      <c r="L53" s="815">
        <v>7.3100999999999999E-2</v>
      </c>
      <c r="M53" s="815">
        <v>7.3100999999999999E-2</v>
      </c>
      <c r="N53" s="815">
        <v>7.3100999999999999E-2</v>
      </c>
      <c r="O53" s="815">
        <v>7.3100999999999999E-2</v>
      </c>
      <c r="P53" s="815">
        <v>7.3100999999999999E-2</v>
      </c>
      <c r="Q53" s="815">
        <v>7.3100999999999999E-2</v>
      </c>
      <c r="R53" s="815">
        <v>7.3100999999999999E-2</v>
      </c>
      <c r="S53" s="815">
        <v>7.3100999999999999E-2</v>
      </c>
      <c r="T53" s="815">
        <v>7.3100999999999999E-2</v>
      </c>
      <c r="U53" s="815">
        <v>7.3100999999999999E-2</v>
      </c>
      <c r="V53" s="815">
        <v>7.3100999999999999E-2</v>
      </c>
      <c r="W53" s="815">
        <v>7.3100999999999999E-2</v>
      </c>
      <c r="X53" s="815">
        <v>7.3100999999999999E-2</v>
      </c>
      <c r="Y53" s="815">
        <v>7.3100999999999999E-2</v>
      </c>
      <c r="Z53" s="815">
        <v>7.3100999999999999E-2</v>
      </c>
      <c r="AA53" s="815">
        <v>7.3100999999999999E-2</v>
      </c>
      <c r="AB53" s="815">
        <v>7.3100999999999999E-2</v>
      </c>
      <c r="AC53" s="815">
        <v>7.3100999999999999E-2</v>
      </c>
      <c r="AD53" s="815">
        <v>7.3100999999999999E-2</v>
      </c>
      <c r="AE53" s="815">
        <v>7.3100999999999999E-2</v>
      </c>
      <c r="AF53" s="814">
        <v>0</v>
      </c>
      <c r="AG53" s="802"/>
    </row>
    <row r="54" spans="1:34" ht="15" customHeight="1">
      <c r="A54" s="800" t="s">
        <v>4411</v>
      </c>
      <c r="B54" s="812" t="s">
        <v>4297</v>
      </c>
      <c r="C54" s="815">
        <v>2.7652999999999999</v>
      </c>
      <c r="D54" s="815">
        <v>2.8074110000000001</v>
      </c>
      <c r="E54" s="815">
        <v>2.834708</v>
      </c>
      <c r="F54" s="815">
        <v>2.8494030000000001</v>
      </c>
      <c r="G54" s="815">
        <v>2.8635449999999998</v>
      </c>
      <c r="H54" s="815">
        <v>2.877399</v>
      </c>
      <c r="I54" s="815">
        <v>2.8913139999999999</v>
      </c>
      <c r="J54" s="815">
        <v>2.9052899999999999</v>
      </c>
      <c r="K54" s="815">
        <v>2.919594</v>
      </c>
      <c r="L54" s="815">
        <v>2.934561</v>
      </c>
      <c r="M54" s="815">
        <v>2.9504039999999998</v>
      </c>
      <c r="N54" s="815">
        <v>2.9678089999999999</v>
      </c>
      <c r="O54" s="815">
        <v>2.9874350000000001</v>
      </c>
      <c r="P54" s="815">
        <v>3.0086590000000002</v>
      </c>
      <c r="Q54" s="815">
        <v>3.0319150000000001</v>
      </c>
      <c r="R54" s="815">
        <v>3.0568200000000001</v>
      </c>
      <c r="S54" s="815">
        <v>3.0835400000000002</v>
      </c>
      <c r="T54" s="815">
        <v>3.1118239999999999</v>
      </c>
      <c r="U54" s="815">
        <v>3.1420970000000001</v>
      </c>
      <c r="V54" s="815">
        <v>3.1742849999999998</v>
      </c>
      <c r="W54" s="815">
        <v>3.2080839999999999</v>
      </c>
      <c r="X54" s="815">
        <v>3.2434460000000001</v>
      </c>
      <c r="Y54" s="815">
        <v>3.2802690000000001</v>
      </c>
      <c r="Z54" s="815">
        <v>3.3175970000000001</v>
      </c>
      <c r="AA54" s="815">
        <v>3.3473480000000002</v>
      </c>
      <c r="AB54" s="815">
        <v>3.3782809999999999</v>
      </c>
      <c r="AC54" s="815">
        <v>3.410631</v>
      </c>
      <c r="AD54" s="815">
        <v>3.4444569999999999</v>
      </c>
      <c r="AE54" s="815">
        <v>3.4800239999999998</v>
      </c>
      <c r="AF54" s="814">
        <v>8.2439999999999996E-3</v>
      </c>
      <c r="AG54" s="802"/>
    </row>
    <row r="55" spans="1:34" ht="15" customHeight="1">
      <c r="A55" s="800" t="s">
        <v>4412</v>
      </c>
      <c r="B55" s="812" t="s">
        <v>4326</v>
      </c>
      <c r="C55" s="815">
        <v>3.284427</v>
      </c>
      <c r="D55" s="815">
        <v>3.284427</v>
      </c>
      <c r="E55" s="815">
        <v>3.284427</v>
      </c>
      <c r="F55" s="815">
        <v>3.284427</v>
      </c>
      <c r="G55" s="815">
        <v>3.284427</v>
      </c>
      <c r="H55" s="815">
        <v>3.284427</v>
      </c>
      <c r="I55" s="815">
        <v>3.284427</v>
      </c>
      <c r="J55" s="815">
        <v>3.284427</v>
      </c>
      <c r="K55" s="815">
        <v>3.284427</v>
      </c>
      <c r="L55" s="815">
        <v>3.284427</v>
      </c>
      <c r="M55" s="815">
        <v>3.284427</v>
      </c>
      <c r="N55" s="815">
        <v>3.284427</v>
      </c>
      <c r="O55" s="815">
        <v>3.284427</v>
      </c>
      <c r="P55" s="815">
        <v>3.284427</v>
      </c>
      <c r="Q55" s="815">
        <v>3.284427</v>
      </c>
      <c r="R55" s="815">
        <v>3.284427</v>
      </c>
      <c r="S55" s="815">
        <v>3.284427</v>
      </c>
      <c r="T55" s="815">
        <v>3.284427</v>
      </c>
      <c r="U55" s="815">
        <v>3.284427</v>
      </c>
      <c r="V55" s="815">
        <v>3.284427</v>
      </c>
      <c r="W55" s="815">
        <v>3.284427</v>
      </c>
      <c r="X55" s="815">
        <v>3.284427</v>
      </c>
      <c r="Y55" s="815">
        <v>3.284427</v>
      </c>
      <c r="Z55" s="815">
        <v>3.284427</v>
      </c>
      <c r="AA55" s="815">
        <v>3.284427</v>
      </c>
      <c r="AB55" s="815">
        <v>3.284427</v>
      </c>
      <c r="AC55" s="815">
        <v>3.284427</v>
      </c>
      <c r="AD55" s="815">
        <v>3.284427</v>
      </c>
      <c r="AE55" s="815">
        <v>3.284427</v>
      </c>
      <c r="AF55" s="814">
        <v>0</v>
      </c>
      <c r="AG55" s="802"/>
    </row>
    <row r="56" spans="1:34" ht="15" customHeight="1">
      <c r="A56" s="800" t="s">
        <v>4413</v>
      </c>
      <c r="B56" s="812" t="s">
        <v>4408</v>
      </c>
      <c r="C56" s="815">
        <v>0.17430499999999999</v>
      </c>
      <c r="D56" s="815">
        <v>0.17802799999999999</v>
      </c>
      <c r="E56" s="815">
        <v>0.17802799999999999</v>
      </c>
      <c r="F56" s="815">
        <v>0.17802799999999999</v>
      </c>
      <c r="G56" s="815">
        <v>0.17802799999999999</v>
      </c>
      <c r="H56" s="815">
        <v>0.17802799999999999</v>
      </c>
      <c r="I56" s="815">
        <v>0.17802799999999999</v>
      </c>
      <c r="J56" s="815">
        <v>0.17802799999999999</v>
      </c>
      <c r="K56" s="815">
        <v>0.17802799999999999</v>
      </c>
      <c r="L56" s="815">
        <v>0.17802799999999999</v>
      </c>
      <c r="M56" s="815">
        <v>0.17802799999999999</v>
      </c>
      <c r="N56" s="815">
        <v>0.17802799999999999</v>
      </c>
      <c r="O56" s="815">
        <v>0.17802799999999999</v>
      </c>
      <c r="P56" s="815">
        <v>0.17802799999999999</v>
      </c>
      <c r="Q56" s="815">
        <v>0.17802799999999999</v>
      </c>
      <c r="R56" s="815">
        <v>0.17802799999999999</v>
      </c>
      <c r="S56" s="815">
        <v>0.17802799999999999</v>
      </c>
      <c r="T56" s="815">
        <v>0.17802799999999999</v>
      </c>
      <c r="U56" s="815">
        <v>0.17802799999999999</v>
      </c>
      <c r="V56" s="815">
        <v>0.17802799999999999</v>
      </c>
      <c r="W56" s="815">
        <v>0.17802799999999999</v>
      </c>
      <c r="X56" s="815">
        <v>0.17802799999999999</v>
      </c>
      <c r="Y56" s="815">
        <v>0.17802799999999999</v>
      </c>
      <c r="Z56" s="815">
        <v>0.17802799999999999</v>
      </c>
      <c r="AA56" s="815">
        <v>0.17802799999999999</v>
      </c>
      <c r="AB56" s="815">
        <v>0.17802799999999999</v>
      </c>
      <c r="AC56" s="815">
        <v>0.17802799999999999</v>
      </c>
      <c r="AD56" s="815">
        <v>0.17802799999999999</v>
      </c>
      <c r="AE56" s="815">
        <v>0.17802799999999999</v>
      </c>
      <c r="AF56" s="814">
        <v>7.5500000000000003E-4</v>
      </c>
      <c r="AG56" s="802"/>
    </row>
    <row r="57" spans="1:34" ht="15" customHeight="1">
      <c r="A57" s="800" t="s">
        <v>4414</v>
      </c>
      <c r="B57" s="808" t="s">
        <v>4303</v>
      </c>
      <c r="C57" s="816">
        <v>6.2971329999999996</v>
      </c>
      <c r="D57" s="816">
        <v>6.3429669999999998</v>
      </c>
      <c r="E57" s="816">
        <v>6.3702639999999997</v>
      </c>
      <c r="F57" s="816">
        <v>6.3849580000000001</v>
      </c>
      <c r="G57" s="816">
        <v>6.3990989999999996</v>
      </c>
      <c r="H57" s="816">
        <v>6.412954</v>
      </c>
      <c r="I57" s="816">
        <v>6.4268689999999999</v>
      </c>
      <c r="J57" s="816">
        <v>6.4408450000000004</v>
      </c>
      <c r="K57" s="816">
        <v>6.4551499999999997</v>
      </c>
      <c r="L57" s="816">
        <v>6.4701170000000001</v>
      </c>
      <c r="M57" s="816">
        <v>6.4859590000000003</v>
      </c>
      <c r="N57" s="816">
        <v>6.5033649999999996</v>
      </c>
      <c r="O57" s="816">
        <v>6.5229910000000002</v>
      </c>
      <c r="P57" s="816">
        <v>6.5442140000000002</v>
      </c>
      <c r="Q57" s="816">
        <v>6.5674710000000003</v>
      </c>
      <c r="R57" s="816">
        <v>6.5923759999999998</v>
      </c>
      <c r="S57" s="816">
        <v>6.6190949999999997</v>
      </c>
      <c r="T57" s="816">
        <v>6.6473789999999999</v>
      </c>
      <c r="U57" s="816">
        <v>6.6776520000000001</v>
      </c>
      <c r="V57" s="816">
        <v>6.7098409999999999</v>
      </c>
      <c r="W57" s="816">
        <v>6.7436389999999999</v>
      </c>
      <c r="X57" s="816">
        <v>6.7790010000000001</v>
      </c>
      <c r="Y57" s="816">
        <v>6.8158250000000002</v>
      </c>
      <c r="Z57" s="816">
        <v>6.8531529999999998</v>
      </c>
      <c r="AA57" s="816">
        <v>6.8829039999999999</v>
      </c>
      <c r="AB57" s="816">
        <v>6.9138359999999999</v>
      </c>
      <c r="AC57" s="816">
        <v>6.9461870000000001</v>
      </c>
      <c r="AD57" s="816">
        <v>6.9800120000000003</v>
      </c>
      <c r="AE57" s="816">
        <v>7.0155799999999999</v>
      </c>
      <c r="AF57" s="810">
        <v>3.8660000000000001E-3</v>
      </c>
      <c r="AG57" s="802"/>
    </row>
    <row r="58" spans="1:34" ht="15" customHeight="1">
      <c r="B58" s="808" t="s">
        <v>4336</v>
      </c>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s="802"/>
      <c r="AG58" s="802"/>
    </row>
    <row r="59" spans="1:34" ht="15" customHeight="1">
      <c r="A59" s="800" t="s">
        <v>4415</v>
      </c>
      <c r="B59" s="812" t="s">
        <v>4338</v>
      </c>
      <c r="C59" s="815">
        <v>0.18760599999999999</v>
      </c>
      <c r="D59" s="815">
        <v>0.189058</v>
      </c>
      <c r="E59" s="815">
        <v>0.18994800000000001</v>
      </c>
      <c r="F59" s="815">
        <v>0.19042700000000001</v>
      </c>
      <c r="G59" s="815">
        <v>0.190888</v>
      </c>
      <c r="H59" s="815">
        <v>0.19134000000000001</v>
      </c>
      <c r="I59" s="815">
        <v>0.19179399999999999</v>
      </c>
      <c r="J59" s="815">
        <v>0.192249</v>
      </c>
      <c r="K59" s="815">
        <v>0.192715</v>
      </c>
      <c r="L59" s="815">
        <v>0.19320300000000001</v>
      </c>
      <c r="M59" s="815">
        <v>0.19372</v>
      </c>
      <c r="N59" s="815">
        <v>0.19428699999999999</v>
      </c>
      <c r="O59" s="815">
        <v>0.19492699999999999</v>
      </c>
      <c r="P59" s="815">
        <v>0.19561899999999999</v>
      </c>
      <c r="Q59" s="815">
        <v>0.196377</v>
      </c>
      <c r="R59" s="815">
        <v>0.197189</v>
      </c>
      <c r="S59" s="815">
        <v>0.19806000000000001</v>
      </c>
      <c r="T59" s="815">
        <v>0.19898199999999999</v>
      </c>
      <c r="U59" s="815">
        <v>0.19996900000000001</v>
      </c>
      <c r="V59" s="815">
        <v>0.201018</v>
      </c>
      <c r="W59" s="815">
        <v>0.20211999999999999</v>
      </c>
      <c r="X59" s="815">
        <v>0.20327300000000001</v>
      </c>
      <c r="Y59" s="815">
        <v>0.20447399999999999</v>
      </c>
      <c r="Z59" s="815">
        <v>0.20569000000000001</v>
      </c>
      <c r="AA59" s="815">
        <v>0.20666000000000001</v>
      </c>
      <c r="AB59" s="815">
        <v>0.20766899999999999</v>
      </c>
      <c r="AC59" s="815">
        <v>0.20872299999999999</v>
      </c>
      <c r="AD59" s="815">
        <v>0.20982600000000001</v>
      </c>
      <c r="AE59" s="815">
        <v>0.21098500000000001</v>
      </c>
      <c r="AF59" s="814">
        <v>4.2030000000000001E-3</v>
      </c>
      <c r="AG59" s="802"/>
    </row>
    <row r="60" spans="1:34" ht="15" customHeight="1">
      <c r="A60" s="800" t="s">
        <v>4416</v>
      </c>
      <c r="B60" s="812" t="s">
        <v>4340</v>
      </c>
      <c r="C60" s="815">
        <v>6.1095269999999999</v>
      </c>
      <c r="D60" s="815">
        <v>6.1539080000000004</v>
      </c>
      <c r="E60" s="815">
        <v>6.1803150000000002</v>
      </c>
      <c r="F60" s="815">
        <v>6.1945309999999996</v>
      </c>
      <c r="G60" s="815">
        <v>6.2082110000000004</v>
      </c>
      <c r="H60" s="815">
        <v>6.2216139999999998</v>
      </c>
      <c r="I60" s="815">
        <v>6.2350750000000001</v>
      </c>
      <c r="J60" s="815">
        <v>6.248596</v>
      </c>
      <c r="K60" s="815">
        <v>6.2624339999999998</v>
      </c>
      <c r="L60" s="815">
        <v>6.2769130000000004</v>
      </c>
      <c r="M60" s="815">
        <v>6.2922390000000004</v>
      </c>
      <c r="N60" s="815">
        <v>6.3090770000000003</v>
      </c>
      <c r="O60" s="815">
        <v>6.3280640000000004</v>
      </c>
      <c r="P60" s="815">
        <v>6.3485950000000004</v>
      </c>
      <c r="Q60" s="815">
        <v>6.3710940000000003</v>
      </c>
      <c r="R60" s="815">
        <v>6.3951859999999998</v>
      </c>
      <c r="S60" s="815">
        <v>6.4210349999999998</v>
      </c>
      <c r="T60" s="815">
        <v>6.4483969999999999</v>
      </c>
      <c r="U60" s="815">
        <v>6.4776829999999999</v>
      </c>
      <c r="V60" s="815">
        <v>6.5088220000000003</v>
      </c>
      <c r="W60" s="815">
        <v>6.5415179999999999</v>
      </c>
      <c r="X60" s="815">
        <v>6.5757269999999997</v>
      </c>
      <c r="Y60" s="815">
        <v>6.611351</v>
      </c>
      <c r="Z60" s="815">
        <v>6.647462</v>
      </c>
      <c r="AA60" s="815">
        <v>6.6762439999999996</v>
      </c>
      <c r="AB60" s="815">
        <v>6.7061679999999999</v>
      </c>
      <c r="AC60" s="815">
        <v>6.7374640000000001</v>
      </c>
      <c r="AD60" s="815">
        <v>6.7701859999999998</v>
      </c>
      <c r="AE60" s="815">
        <v>6.8045949999999999</v>
      </c>
      <c r="AF60" s="814">
        <v>3.8560000000000001E-3</v>
      </c>
      <c r="AG60" s="802"/>
    </row>
    <row r="61" spans="1:34" ht="15" customHeight="1" thickBot="1">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row>
    <row r="62" spans="1:34" ht="15" customHeight="1">
      <c r="B62" s="1258" t="s">
        <v>4417</v>
      </c>
      <c r="C62" s="1259"/>
      <c r="D62" s="1259"/>
      <c r="E62" s="1259"/>
      <c r="F62" s="1259"/>
      <c r="G62" s="1259"/>
      <c r="H62" s="1259"/>
      <c r="I62" s="1259"/>
      <c r="J62" s="1259"/>
      <c r="K62" s="1259"/>
      <c r="L62" s="1259"/>
      <c r="M62" s="1259"/>
      <c r="N62" s="1259"/>
      <c r="O62" s="1259"/>
      <c r="P62" s="1259"/>
      <c r="Q62" s="1259"/>
      <c r="R62" s="1259"/>
      <c r="S62" s="1259"/>
      <c r="T62" s="1259"/>
      <c r="U62" s="1259"/>
      <c r="V62" s="1259"/>
      <c r="W62" s="1259"/>
      <c r="X62" s="1259"/>
      <c r="Y62" s="1259"/>
      <c r="Z62" s="1259"/>
      <c r="AA62" s="1259"/>
      <c r="AB62" s="1259"/>
      <c r="AC62" s="1259"/>
      <c r="AD62" s="1259"/>
      <c r="AE62" s="1259"/>
      <c r="AF62" s="1259"/>
      <c r="AG62" s="1259"/>
      <c r="AH62" s="817"/>
    </row>
    <row r="63" spans="1:34" ht="15" customHeight="1">
      <c r="B63" s="802" t="s">
        <v>4418</v>
      </c>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row>
    <row r="64" spans="1:34" ht="15" customHeight="1">
      <c r="B64" s="802" t="s">
        <v>4419</v>
      </c>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row>
    <row r="65" spans="2:33" ht="15" customHeight="1">
      <c r="B65" s="802" t="s">
        <v>4420</v>
      </c>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2:33" ht="15" customHeight="1">
      <c r="B66" s="802" t="s">
        <v>4421</v>
      </c>
      <c r="C66" s="802"/>
      <c r="D66" s="802"/>
      <c r="E66" s="802"/>
      <c r="F66" s="802"/>
      <c r="G66" s="802"/>
      <c r="H66" s="802"/>
      <c r="I66" s="802"/>
      <c r="J66" s="802"/>
      <c r="K66" s="802"/>
      <c r="L66" s="802"/>
      <c r="M66" s="802"/>
      <c r="N66" s="802"/>
      <c r="O66" s="802"/>
      <c r="P66" s="802"/>
      <c r="Q66" s="802"/>
      <c r="R66" s="802"/>
      <c r="S66" s="802"/>
      <c r="T66" s="802"/>
      <c r="U66" s="802"/>
      <c r="V66" s="802"/>
      <c r="W66" s="802"/>
      <c r="X66" s="802"/>
      <c r="Y66" s="802"/>
      <c r="Z66" s="802"/>
      <c r="AA66" s="802"/>
      <c r="AB66" s="802"/>
      <c r="AC66" s="802"/>
      <c r="AD66" s="802"/>
      <c r="AE66" s="802"/>
      <c r="AF66" s="802"/>
      <c r="AG66" s="802"/>
    </row>
    <row r="67" spans="2:33" ht="12" customHeight="1">
      <c r="B67" s="802" t="s">
        <v>4422</v>
      </c>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row>
    <row r="68" spans="2:33" ht="15" customHeight="1">
      <c r="B68" s="802" t="s">
        <v>4423</v>
      </c>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row>
    <row r="69" spans="2:33" ht="15" customHeight="1">
      <c r="B69" s="802" t="s">
        <v>4363</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2:33" ht="15" customHeight="1">
      <c r="B70" s="802" t="s">
        <v>4364</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2:33" ht="15" customHeight="1">
      <c r="B71" s="802" t="s">
        <v>4365</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2:33" ht="15" customHeight="1">
      <c r="B72" s="802" t="s">
        <v>4366</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2:33" ht="15" customHeight="1">
      <c r="B73" s="802" t="s">
        <v>4424</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2:33" ht="15" customHeight="1">
      <c r="B74" s="802" t="s">
        <v>4425</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2:33" ht="12" customHeight="1">
      <c r="B75" s="802"/>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2:33" ht="15" customHeight="1">
      <c r="B76" s="802"/>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2:33" ht="15" customHeight="1">
      <c r="B77" s="802"/>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2:33" ht="15" customHeight="1">
      <c r="B78" s="802"/>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2:33" ht="15" customHeight="1">
      <c r="B79" s="802"/>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2:33" ht="15" customHeight="1">
      <c r="B80" s="802"/>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2:33" ht="15" customHeight="1">
      <c r="B81" s="802"/>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2" customHeight="1">
      <c r="B83" s="802"/>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t="s">
        <v>1505</v>
      </c>
      <c r="AG84" s="802"/>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62:AG62"/>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9B1C5-0035-4B68-933B-6BCB84403F63}">
  <dimension ref="A1:AH2828"/>
  <sheetViews>
    <sheetView workbookViewId="0">
      <pane xSplit="2" ySplit="1" topLeftCell="C2" activePane="bottomRight" state="frozen"/>
      <selection pane="bottomRight" activeCell="C34" sqref="C34"/>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4426</v>
      </c>
      <c r="B10" s="801" t="s">
        <v>4427</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4428</v>
      </c>
      <c r="B15" s="808" t="s">
        <v>4242</v>
      </c>
      <c r="C15" s="809">
        <v>178.25112899999999</v>
      </c>
      <c r="D15" s="809">
        <v>174.161621</v>
      </c>
      <c r="E15" s="809">
        <v>170.28919999999999</v>
      </c>
      <c r="F15" s="809">
        <v>170.04310599999999</v>
      </c>
      <c r="G15" s="809">
        <v>170.917877</v>
      </c>
      <c r="H15" s="809">
        <v>171.976822</v>
      </c>
      <c r="I15" s="809">
        <v>173.003601</v>
      </c>
      <c r="J15" s="809">
        <v>173.91674800000001</v>
      </c>
      <c r="K15" s="809">
        <v>174.72404499999999</v>
      </c>
      <c r="L15" s="809">
        <v>175.94982899999999</v>
      </c>
      <c r="M15" s="809">
        <v>177.36140399999999</v>
      </c>
      <c r="N15" s="809">
        <v>178.536407</v>
      </c>
      <c r="O15" s="809">
        <v>179.796448</v>
      </c>
      <c r="P15" s="809">
        <v>181.13580300000001</v>
      </c>
      <c r="Q15" s="809">
        <v>182.15789799999999</v>
      </c>
      <c r="R15" s="809">
        <v>183.319031</v>
      </c>
      <c r="S15" s="809">
        <v>184.29617300000001</v>
      </c>
      <c r="T15" s="809">
        <v>185.34754899999999</v>
      </c>
      <c r="U15" s="809">
        <v>186.470169</v>
      </c>
      <c r="V15" s="809">
        <v>187.50720200000001</v>
      </c>
      <c r="W15" s="809">
        <v>188.64054899999999</v>
      </c>
      <c r="X15" s="809">
        <v>189.59530599999999</v>
      </c>
      <c r="Y15" s="809">
        <v>190.21421799999999</v>
      </c>
      <c r="Z15" s="809">
        <v>190.60817</v>
      </c>
      <c r="AA15" s="809">
        <v>191.395081</v>
      </c>
      <c r="AB15" s="809">
        <v>192.590057</v>
      </c>
      <c r="AC15" s="809">
        <v>193.086319</v>
      </c>
      <c r="AD15" s="809">
        <v>193.76010099999999</v>
      </c>
      <c r="AE15" s="809">
        <v>195.152557</v>
      </c>
      <c r="AF15" s="810">
        <v>3.241E-3</v>
      </c>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A18" s="800" t="s">
        <v>4429</v>
      </c>
      <c r="B18" s="812" t="s">
        <v>4248</v>
      </c>
      <c r="C18" s="813">
        <v>34.950839999999999</v>
      </c>
      <c r="D18" s="813">
        <v>40.572555999999999</v>
      </c>
      <c r="E18" s="813">
        <v>27.147631000000001</v>
      </c>
      <c r="F18" s="813">
        <v>23.272955</v>
      </c>
      <c r="G18" s="813">
        <v>21.742771000000001</v>
      </c>
      <c r="H18" s="813">
        <v>20.544149000000001</v>
      </c>
      <c r="I18" s="813">
        <v>19.559303</v>
      </c>
      <c r="J18" s="813">
        <v>19.004791000000001</v>
      </c>
      <c r="K18" s="813">
        <v>18.616489000000001</v>
      </c>
      <c r="L18" s="813">
        <v>18.476471</v>
      </c>
      <c r="M18" s="813">
        <v>18.547514</v>
      </c>
      <c r="N18" s="813">
        <v>18.888978999999999</v>
      </c>
      <c r="O18" s="813">
        <v>19.386892</v>
      </c>
      <c r="P18" s="813">
        <v>20.071380999999999</v>
      </c>
      <c r="Q18" s="813">
        <v>20.554195</v>
      </c>
      <c r="R18" s="813">
        <v>21.155733000000001</v>
      </c>
      <c r="S18" s="813">
        <v>22.047943</v>
      </c>
      <c r="T18" s="813">
        <v>22.271702000000001</v>
      </c>
      <c r="U18" s="813">
        <v>23.208603</v>
      </c>
      <c r="V18" s="813">
        <v>23.924320000000002</v>
      </c>
      <c r="W18" s="813">
        <v>24.421348999999999</v>
      </c>
      <c r="X18" s="813">
        <v>24.529907000000001</v>
      </c>
      <c r="Y18" s="813">
        <v>24.719733999999999</v>
      </c>
      <c r="Z18" s="813">
        <v>24.979818000000002</v>
      </c>
      <c r="AA18" s="813">
        <v>24.994133000000001</v>
      </c>
      <c r="AB18" s="813">
        <v>25.221240999999999</v>
      </c>
      <c r="AC18" s="813">
        <v>25.184864000000001</v>
      </c>
      <c r="AD18" s="813">
        <v>25.148603000000001</v>
      </c>
      <c r="AE18" s="813">
        <v>25.388667999999999</v>
      </c>
      <c r="AF18" s="814">
        <v>-1.1351E-2</v>
      </c>
      <c r="AG18" s="802"/>
    </row>
    <row r="19" spans="1:33" ht="15" customHeight="1">
      <c r="A19" s="800" t="s">
        <v>4430</v>
      </c>
      <c r="B19" s="812" t="s">
        <v>4250</v>
      </c>
      <c r="C19" s="813">
        <v>3.9407079999999999</v>
      </c>
      <c r="D19" s="813">
        <v>4.4438750000000002</v>
      </c>
      <c r="E19" s="813">
        <v>3.972874</v>
      </c>
      <c r="F19" s="813">
        <v>3.9216250000000001</v>
      </c>
      <c r="G19" s="813">
        <v>3.9430049999999999</v>
      </c>
      <c r="H19" s="813">
        <v>3.9924400000000002</v>
      </c>
      <c r="I19" s="813">
        <v>4.0465540000000004</v>
      </c>
      <c r="J19" s="813">
        <v>4.0177490000000002</v>
      </c>
      <c r="K19" s="813">
        <v>4.0026489999999999</v>
      </c>
      <c r="L19" s="813">
        <v>3.9804900000000001</v>
      </c>
      <c r="M19" s="813">
        <v>3.9728309999999998</v>
      </c>
      <c r="N19" s="813">
        <v>3.9834239999999999</v>
      </c>
      <c r="O19" s="813">
        <v>4.0164780000000002</v>
      </c>
      <c r="P19" s="813">
        <v>4.0544269999999996</v>
      </c>
      <c r="Q19" s="813">
        <v>4.0837849999999998</v>
      </c>
      <c r="R19" s="813">
        <v>4.1107589999999998</v>
      </c>
      <c r="S19" s="813">
        <v>4.1619029999999997</v>
      </c>
      <c r="T19" s="813">
        <v>4.1796670000000002</v>
      </c>
      <c r="U19" s="813">
        <v>4.227811</v>
      </c>
      <c r="V19" s="813">
        <v>4.2576450000000001</v>
      </c>
      <c r="W19" s="813">
        <v>4.2925750000000003</v>
      </c>
      <c r="X19" s="813">
        <v>4.2972830000000002</v>
      </c>
      <c r="Y19" s="813">
        <v>4.3152340000000002</v>
      </c>
      <c r="Z19" s="813">
        <v>4.3258640000000002</v>
      </c>
      <c r="AA19" s="813">
        <v>4.3129770000000001</v>
      </c>
      <c r="AB19" s="813">
        <v>4.3237800000000002</v>
      </c>
      <c r="AC19" s="813">
        <v>4.3171939999999998</v>
      </c>
      <c r="AD19" s="813">
        <v>4.3061889999999998</v>
      </c>
      <c r="AE19" s="813">
        <v>4.3138329999999998</v>
      </c>
      <c r="AF19" s="814">
        <v>3.2360000000000002E-3</v>
      </c>
      <c r="AG19" s="802"/>
    </row>
    <row r="20" spans="1:33" ht="15" customHeight="1">
      <c r="A20" s="800" t="s">
        <v>4431</v>
      </c>
      <c r="B20" s="812" t="s">
        <v>4377</v>
      </c>
      <c r="C20" s="813">
        <v>0.299655</v>
      </c>
      <c r="D20" s="813">
        <v>0.32201000000000002</v>
      </c>
      <c r="E20" s="813">
        <v>0.18301300000000001</v>
      </c>
      <c r="F20" s="813">
        <v>0.191529</v>
      </c>
      <c r="G20" s="813">
        <v>0.197103</v>
      </c>
      <c r="H20" s="813">
        <v>0.20072499999999999</v>
      </c>
      <c r="I20" s="813">
        <v>0.20125599999999999</v>
      </c>
      <c r="J20" s="813">
        <v>0.20036300000000001</v>
      </c>
      <c r="K20" s="813">
        <v>0.19803499999999999</v>
      </c>
      <c r="L20" s="813">
        <v>0.194933</v>
      </c>
      <c r="M20" s="813">
        <v>0.191057</v>
      </c>
      <c r="N20" s="813">
        <v>0.187749</v>
      </c>
      <c r="O20" s="813">
        <v>0.185864</v>
      </c>
      <c r="P20" s="813">
        <v>0.18539600000000001</v>
      </c>
      <c r="Q20" s="813">
        <v>0.18515899999999999</v>
      </c>
      <c r="R20" s="813">
        <v>0.184586</v>
      </c>
      <c r="S20" s="813">
        <v>0.18356500000000001</v>
      </c>
      <c r="T20" s="813">
        <v>0.18434600000000001</v>
      </c>
      <c r="U20" s="813">
        <v>0.18319099999999999</v>
      </c>
      <c r="V20" s="813">
        <v>0.18230099999999999</v>
      </c>
      <c r="W20" s="813">
        <v>0.18245700000000001</v>
      </c>
      <c r="X20" s="813">
        <v>0.18298600000000001</v>
      </c>
      <c r="Y20" s="813">
        <v>0.18359700000000001</v>
      </c>
      <c r="Z20" s="813">
        <v>0.18352599999999999</v>
      </c>
      <c r="AA20" s="813">
        <v>0.18363599999999999</v>
      </c>
      <c r="AB20" s="813">
        <v>0.18354599999999999</v>
      </c>
      <c r="AC20" s="813">
        <v>0.18293699999999999</v>
      </c>
      <c r="AD20" s="813">
        <v>0.18279799999999999</v>
      </c>
      <c r="AE20" s="813">
        <v>0.182703</v>
      </c>
      <c r="AF20" s="814">
        <v>-1.7514999999999999E-2</v>
      </c>
      <c r="AG20" s="802"/>
    </row>
    <row r="21" spans="1:33" ht="15" customHeight="1">
      <c r="A21" s="800" t="s">
        <v>4432</v>
      </c>
      <c r="B21" s="812" t="s">
        <v>4254</v>
      </c>
      <c r="C21" s="813">
        <v>0</v>
      </c>
      <c r="D21" s="813">
        <v>0</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5" customHeight="1">
      <c r="A22" s="800" t="s">
        <v>4433</v>
      </c>
      <c r="B22" s="812" t="s">
        <v>4379</v>
      </c>
      <c r="C22" s="813">
        <v>0</v>
      </c>
      <c r="D22" s="813">
        <v>0</v>
      </c>
      <c r="E22" s="813">
        <v>0</v>
      </c>
      <c r="F22" s="813">
        <v>0</v>
      </c>
      <c r="G22" s="813">
        <v>0</v>
      </c>
      <c r="H22" s="813">
        <v>0</v>
      </c>
      <c r="I22" s="813">
        <v>0</v>
      </c>
      <c r="J22" s="813">
        <v>0</v>
      </c>
      <c r="K22" s="813">
        <v>0</v>
      </c>
      <c r="L22" s="813">
        <v>0</v>
      </c>
      <c r="M22" s="813">
        <v>0</v>
      </c>
      <c r="N22" s="813">
        <v>0</v>
      </c>
      <c r="O22" s="813">
        <v>0</v>
      </c>
      <c r="P22" s="813">
        <v>0</v>
      </c>
      <c r="Q22" s="813">
        <v>0</v>
      </c>
      <c r="R22" s="813">
        <v>0</v>
      </c>
      <c r="S22" s="813">
        <v>0</v>
      </c>
      <c r="T22" s="813">
        <v>0</v>
      </c>
      <c r="U22" s="813">
        <v>0</v>
      </c>
      <c r="V22" s="813">
        <v>0</v>
      </c>
      <c r="W22" s="813">
        <v>0</v>
      </c>
      <c r="X22" s="813">
        <v>0</v>
      </c>
      <c r="Y22" s="813">
        <v>0</v>
      </c>
      <c r="Z22" s="813">
        <v>0</v>
      </c>
      <c r="AA22" s="813">
        <v>0</v>
      </c>
      <c r="AB22" s="813">
        <v>0</v>
      </c>
      <c r="AC22" s="813">
        <v>0</v>
      </c>
      <c r="AD22" s="813">
        <v>0</v>
      </c>
      <c r="AE22" s="813">
        <v>0</v>
      </c>
      <c r="AF22" s="814" t="s">
        <v>2805</v>
      </c>
      <c r="AG22" s="802"/>
    </row>
    <row r="23" spans="1:33" ht="15" customHeight="1">
      <c r="A23" s="800" t="s">
        <v>4434</v>
      </c>
      <c r="B23" s="812" t="s">
        <v>4260</v>
      </c>
      <c r="C23" s="813">
        <v>39.191203999999999</v>
      </c>
      <c r="D23" s="813">
        <v>45.338439999999999</v>
      </c>
      <c r="E23" s="813">
        <v>31.303518</v>
      </c>
      <c r="F23" s="813">
        <v>27.386108</v>
      </c>
      <c r="G23" s="813">
        <v>25.882878999999999</v>
      </c>
      <c r="H23" s="813">
        <v>24.737314000000001</v>
      </c>
      <c r="I23" s="813">
        <v>23.807113999999999</v>
      </c>
      <c r="J23" s="813">
        <v>23.222904</v>
      </c>
      <c r="K23" s="813">
        <v>22.817173</v>
      </c>
      <c r="L23" s="813">
        <v>22.651893999999999</v>
      </c>
      <c r="M23" s="813">
        <v>22.711403000000001</v>
      </c>
      <c r="N23" s="813">
        <v>23.06015</v>
      </c>
      <c r="O23" s="813">
        <v>23.589233</v>
      </c>
      <c r="P23" s="813">
        <v>24.311202999999999</v>
      </c>
      <c r="Q23" s="813">
        <v>24.823141</v>
      </c>
      <c r="R23" s="813">
        <v>25.451077000000002</v>
      </c>
      <c r="S23" s="813">
        <v>26.393412000000001</v>
      </c>
      <c r="T23" s="813">
        <v>26.635715000000001</v>
      </c>
      <c r="U23" s="813">
        <v>27.619603999999999</v>
      </c>
      <c r="V23" s="813">
        <v>28.364265</v>
      </c>
      <c r="W23" s="813">
        <v>28.896381000000002</v>
      </c>
      <c r="X23" s="813">
        <v>29.010176000000001</v>
      </c>
      <c r="Y23" s="813">
        <v>29.218563</v>
      </c>
      <c r="Z23" s="813">
        <v>29.489208000000001</v>
      </c>
      <c r="AA23" s="813">
        <v>29.490746000000001</v>
      </c>
      <c r="AB23" s="813">
        <v>29.728567000000002</v>
      </c>
      <c r="AC23" s="813">
        <v>29.684996000000002</v>
      </c>
      <c r="AD23" s="813">
        <v>29.637589999999999</v>
      </c>
      <c r="AE23" s="813">
        <v>29.885204000000002</v>
      </c>
      <c r="AF23" s="814">
        <v>-9.6349999999999995E-3</v>
      </c>
      <c r="AG23" s="802"/>
    </row>
    <row r="24" spans="1:33" ht="15" customHeight="1">
      <c r="A24" s="800" t="s">
        <v>4435</v>
      </c>
      <c r="B24" s="812" t="s">
        <v>4262</v>
      </c>
      <c r="C24" s="813">
        <v>573.87976100000003</v>
      </c>
      <c r="D24" s="813">
        <v>545.15441899999996</v>
      </c>
      <c r="E24" s="813">
        <v>539.29144299999996</v>
      </c>
      <c r="F24" s="813">
        <v>527.48071300000004</v>
      </c>
      <c r="G24" s="813">
        <v>523.53930700000001</v>
      </c>
      <c r="H24" s="813">
        <v>518.51226799999995</v>
      </c>
      <c r="I24" s="813">
        <v>512.27349900000002</v>
      </c>
      <c r="J24" s="813">
        <v>504.78509500000001</v>
      </c>
      <c r="K24" s="813">
        <v>496.88464399999998</v>
      </c>
      <c r="L24" s="813">
        <v>489.97668499999997</v>
      </c>
      <c r="M24" s="813">
        <v>483.709656</v>
      </c>
      <c r="N24" s="813">
        <v>476.49285900000001</v>
      </c>
      <c r="O24" s="813">
        <v>470.36413599999997</v>
      </c>
      <c r="P24" s="813">
        <v>464.98642000000001</v>
      </c>
      <c r="Q24" s="813">
        <v>460.31521600000002</v>
      </c>
      <c r="R24" s="813">
        <v>455.80682400000001</v>
      </c>
      <c r="S24" s="813">
        <v>449.72418199999998</v>
      </c>
      <c r="T24" s="813">
        <v>446.86090100000001</v>
      </c>
      <c r="U24" s="813">
        <v>441.69592299999999</v>
      </c>
      <c r="V24" s="813">
        <v>437.25598100000002</v>
      </c>
      <c r="W24" s="813">
        <v>434.72305299999999</v>
      </c>
      <c r="X24" s="813">
        <v>432.90914900000001</v>
      </c>
      <c r="Y24" s="813">
        <v>430.39880399999998</v>
      </c>
      <c r="Z24" s="813">
        <v>427.007385</v>
      </c>
      <c r="AA24" s="813">
        <v>425.05633499999999</v>
      </c>
      <c r="AB24" s="813">
        <v>424.72814899999997</v>
      </c>
      <c r="AC24" s="813">
        <v>423.06310999999999</v>
      </c>
      <c r="AD24" s="813">
        <v>422.01126099999999</v>
      </c>
      <c r="AE24" s="813">
        <v>422.27420000000001</v>
      </c>
      <c r="AF24" s="814">
        <v>-1.0895999999999999E-2</v>
      </c>
      <c r="AG24" s="802"/>
    </row>
    <row r="25" spans="1:33" ht="15" customHeight="1">
      <c r="A25" s="800" t="s">
        <v>4436</v>
      </c>
      <c r="B25" s="812" t="s">
        <v>4383</v>
      </c>
      <c r="C25" s="813">
        <v>32.880004999999997</v>
      </c>
      <c r="D25" s="813">
        <v>28.894736999999999</v>
      </c>
      <c r="E25" s="813">
        <v>27.243216</v>
      </c>
      <c r="F25" s="813">
        <v>26.025777999999999</v>
      </c>
      <c r="G25" s="813">
        <v>25.376738</v>
      </c>
      <c r="H25" s="813">
        <v>24.782426999999998</v>
      </c>
      <c r="I25" s="813">
        <v>24.211957999999999</v>
      </c>
      <c r="J25" s="813">
        <v>23.661953</v>
      </c>
      <c r="K25" s="813">
        <v>23.118748</v>
      </c>
      <c r="L25" s="813">
        <v>22.652647000000002</v>
      </c>
      <c r="M25" s="813">
        <v>22.225349000000001</v>
      </c>
      <c r="N25" s="813">
        <v>21.810572000000001</v>
      </c>
      <c r="O25" s="813">
        <v>21.390429999999999</v>
      </c>
      <c r="P25" s="813">
        <v>20.979005999999998</v>
      </c>
      <c r="Q25" s="813">
        <v>20.426134000000001</v>
      </c>
      <c r="R25" s="813">
        <v>19.920385</v>
      </c>
      <c r="S25" s="813">
        <v>19.519939000000001</v>
      </c>
      <c r="T25" s="813">
        <v>18.896076000000001</v>
      </c>
      <c r="U25" s="813">
        <v>18.538605</v>
      </c>
      <c r="V25" s="813">
        <v>18.129128000000001</v>
      </c>
      <c r="W25" s="813">
        <v>17.623336999999999</v>
      </c>
      <c r="X25" s="813">
        <v>17.038668000000001</v>
      </c>
      <c r="Y25" s="813">
        <v>16.435141000000002</v>
      </c>
      <c r="Z25" s="813">
        <v>15.887081</v>
      </c>
      <c r="AA25" s="813">
        <v>15.345724000000001</v>
      </c>
      <c r="AB25" s="813">
        <v>14.819832999999999</v>
      </c>
      <c r="AC25" s="813">
        <v>14.249347999999999</v>
      </c>
      <c r="AD25" s="813">
        <v>13.704841</v>
      </c>
      <c r="AE25" s="813">
        <v>13.260479</v>
      </c>
      <c r="AF25" s="814">
        <v>-3.1911000000000002E-2</v>
      </c>
      <c r="AG25" s="802"/>
    </row>
    <row r="26" spans="1:33" ht="15" customHeight="1">
      <c r="A26" s="800" t="s">
        <v>4437</v>
      </c>
      <c r="B26" s="812" t="s">
        <v>4385</v>
      </c>
      <c r="C26" s="813">
        <v>908.72906499999999</v>
      </c>
      <c r="D26" s="813">
        <v>971.365723</v>
      </c>
      <c r="E26" s="813">
        <v>946.08654799999999</v>
      </c>
      <c r="F26" s="813">
        <v>943.42578100000003</v>
      </c>
      <c r="G26" s="813">
        <v>945.91430700000001</v>
      </c>
      <c r="H26" s="813">
        <v>949.74676499999998</v>
      </c>
      <c r="I26" s="813">
        <v>953.59387200000003</v>
      </c>
      <c r="J26" s="813">
        <v>956.45159899999999</v>
      </c>
      <c r="K26" s="813">
        <v>958.91522199999997</v>
      </c>
      <c r="L26" s="813">
        <v>964.25866699999995</v>
      </c>
      <c r="M26" s="813">
        <v>970.61932400000001</v>
      </c>
      <c r="N26" s="813">
        <v>976.09631300000001</v>
      </c>
      <c r="O26" s="813">
        <v>981.73999000000003</v>
      </c>
      <c r="P26" s="813">
        <v>987.38037099999997</v>
      </c>
      <c r="Q26" s="813">
        <v>991.21142599999996</v>
      </c>
      <c r="R26" s="813">
        <v>996.114868</v>
      </c>
      <c r="S26" s="813">
        <v>999.76086399999997</v>
      </c>
      <c r="T26" s="813">
        <v>1004.101135</v>
      </c>
      <c r="U26" s="813">
        <v>1009.4537350000001</v>
      </c>
      <c r="V26" s="813">
        <v>1014.199829</v>
      </c>
      <c r="W26" s="813">
        <v>1019.233521</v>
      </c>
      <c r="X26" s="813">
        <v>1023.329834</v>
      </c>
      <c r="Y26" s="813">
        <v>1025.608154</v>
      </c>
      <c r="Z26" s="813">
        <v>1026.8476559999999</v>
      </c>
      <c r="AA26" s="813">
        <v>1030.7080080000001</v>
      </c>
      <c r="AB26" s="813">
        <v>1037.2030030000001</v>
      </c>
      <c r="AC26" s="813">
        <v>1039.6096190000001</v>
      </c>
      <c r="AD26" s="813">
        <v>1043.1267089999999</v>
      </c>
      <c r="AE26" s="813">
        <v>1050.7769780000001</v>
      </c>
      <c r="AF26" s="814">
        <v>5.2009999999999999E-3</v>
      </c>
      <c r="AG26" s="802"/>
    </row>
    <row r="27" spans="1:33" ht="15" customHeight="1">
      <c r="A27" s="800" t="s">
        <v>4438</v>
      </c>
      <c r="B27" s="812" t="s">
        <v>4274</v>
      </c>
      <c r="C27" s="813">
        <v>196.46006800000001</v>
      </c>
      <c r="D27" s="813">
        <v>195.60232500000001</v>
      </c>
      <c r="E27" s="813">
        <v>190.451401</v>
      </c>
      <c r="F27" s="813">
        <v>190.66433699999999</v>
      </c>
      <c r="G27" s="813">
        <v>189.75685100000001</v>
      </c>
      <c r="H27" s="813">
        <v>188.86218299999999</v>
      </c>
      <c r="I27" s="813">
        <v>187.78447</v>
      </c>
      <c r="J27" s="813">
        <v>186.52993799999999</v>
      </c>
      <c r="K27" s="813">
        <v>185.172562</v>
      </c>
      <c r="L27" s="813">
        <v>184.35240200000001</v>
      </c>
      <c r="M27" s="813">
        <v>183.87545800000001</v>
      </c>
      <c r="N27" s="813">
        <v>183.08543399999999</v>
      </c>
      <c r="O27" s="813">
        <v>182.828384</v>
      </c>
      <c r="P27" s="813">
        <v>182.925049</v>
      </c>
      <c r="Q27" s="813">
        <v>182.671967</v>
      </c>
      <c r="R27" s="813">
        <v>182.56054700000001</v>
      </c>
      <c r="S27" s="813">
        <v>182.357788</v>
      </c>
      <c r="T27" s="813">
        <v>182.29714999999999</v>
      </c>
      <c r="U27" s="813">
        <v>182.395477</v>
      </c>
      <c r="V27" s="813">
        <v>182.50735499999999</v>
      </c>
      <c r="W27" s="813">
        <v>182.899857</v>
      </c>
      <c r="X27" s="813">
        <v>183.19813500000001</v>
      </c>
      <c r="Y27" s="813">
        <v>183.20198099999999</v>
      </c>
      <c r="Z27" s="813">
        <v>183.06118799999999</v>
      </c>
      <c r="AA27" s="813">
        <v>183.351562</v>
      </c>
      <c r="AB27" s="813">
        <v>184.03637699999999</v>
      </c>
      <c r="AC27" s="813">
        <v>184.09605400000001</v>
      </c>
      <c r="AD27" s="813">
        <v>184.361481</v>
      </c>
      <c r="AE27" s="813">
        <v>185.328171</v>
      </c>
      <c r="AF27" s="814">
        <v>-2.081E-3</v>
      </c>
      <c r="AG27" s="802"/>
    </row>
    <row r="28" spans="1:33" ht="15" customHeight="1">
      <c r="A28" s="800" t="s">
        <v>4439</v>
      </c>
      <c r="B28" s="808" t="s">
        <v>4276</v>
      </c>
      <c r="C28" s="811">
        <v>1751.1401370000001</v>
      </c>
      <c r="D28" s="811">
        <v>1786.355591</v>
      </c>
      <c r="E28" s="811">
        <v>1734.376221</v>
      </c>
      <c r="F28" s="811">
        <v>1714.9826660000001</v>
      </c>
      <c r="G28" s="811">
        <v>1710.469971</v>
      </c>
      <c r="H28" s="811">
        <v>1706.640991</v>
      </c>
      <c r="I28" s="811">
        <v>1701.6708980000001</v>
      </c>
      <c r="J28" s="811">
        <v>1694.6514890000001</v>
      </c>
      <c r="K28" s="811">
        <v>1686.908447</v>
      </c>
      <c r="L28" s="811">
        <v>1683.8923339999999</v>
      </c>
      <c r="M28" s="811">
        <v>1683.1412350000001</v>
      </c>
      <c r="N28" s="811">
        <v>1680.5454099999999</v>
      </c>
      <c r="O28" s="811">
        <v>1679.9121090000001</v>
      </c>
      <c r="P28" s="811">
        <v>1680.5820309999999</v>
      </c>
      <c r="Q28" s="811">
        <v>1679.447876</v>
      </c>
      <c r="R28" s="811">
        <v>1679.85376</v>
      </c>
      <c r="S28" s="811">
        <v>1677.756226</v>
      </c>
      <c r="T28" s="811">
        <v>1678.7910159999999</v>
      </c>
      <c r="U28" s="811">
        <v>1679.7033690000001</v>
      </c>
      <c r="V28" s="811">
        <v>1680.456543</v>
      </c>
      <c r="W28" s="811">
        <v>1683.376221</v>
      </c>
      <c r="X28" s="811">
        <v>1685.485962</v>
      </c>
      <c r="Y28" s="811">
        <v>1684.8626710000001</v>
      </c>
      <c r="Z28" s="811">
        <v>1682.2924800000001</v>
      </c>
      <c r="AA28" s="811">
        <v>1683.952393</v>
      </c>
      <c r="AB28" s="811">
        <v>1690.5158690000001</v>
      </c>
      <c r="AC28" s="811">
        <v>1690.703125</v>
      </c>
      <c r="AD28" s="811">
        <v>1692.841919</v>
      </c>
      <c r="AE28" s="811">
        <v>1701.5249020000001</v>
      </c>
      <c r="AF28" s="810">
        <v>-1.026E-3</v>
      </c>
      <c r="AG28" s="802"/>
    </row>
    <row r="29" spans="1:33" ht="15" customHeight="1">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row>
    <row r="30" spans="1:33" ht="15" customHeight="1">
      <c r="B30" s="808" t="s">
        <v>4388</v>
      </c>
      <c r="C30" s="802"/>
      <c r="D30" s="802"/>
      <c r="E30" s="802"/>
      <c r="F30" s="802"/>
      <c r="G30" s="802"/>
      <c r="H30" s="802"/>
      <c r="I30" s="802"/>
      <c r="J30" s="802"/>
      <c r="K30" s="802"/>
      <c r="L30" s="802"/>
      <c r="M30" s="802"/>
      <c r="N30" s="802"/>
      <c r="O30" s="802"/>
      <c r="P30" s="802"/>
      <c r="Q30" s="802"/>
      <c r="R30" s="802"/>
      <c r="S30" s="802"/>
      <c r="T30" s="802"/>
      <c r="U30" s="802"/>
      <c r="V30" s="802"/>
      <c r="W30" s="802"/>
      <c r="X30" s="802"/>
      <c r="Y30" s="802"/>
      <c r="Z30" s="802"/>
      <c r="AA30" s="802"/>
      <c r="AB30" s="802"/>
      <c r="AC30" s="802"/>
      <c r="AD30" s="802"/>
      <c r="AE30" s="802"/>
      <c r="AF30" s="802"/>
      <c r="AG30" s="802"/>
    </row>
    <row r="31" spans="1:33" ht="15" customHeight="1">
      <c r="B31" s="808" t="s">
        <v>4389</v>
      </c>
      <c r="C31" s="802"/>
      <c r="D31" s="802"/>
      <c r="E31" s="802"/>
      <c r="F31" s="802"/>
      <c r="G31" s="802"/>
      <c r="H31" s="802"/>
      <c r="I31" s="802"/>
      <c r="J31" s="802"/>
      <c r="K31" s="802"/>
      <c r="L31" s="802"/>
      <c r="M31" s="802"/>
      <c r="N31" s="802"/>
      <c r="O31" s="802"/>
      <c r="P31" s="802"/>
      <c r="Q31" s="802"/>
      <c r="R31" s="802"/>
      <c r="S31" s="802"/>
      <c r="T31" s="802"/>
      <c r="U31" s="802"/>
      <c r="V31" s="802"/>
      <c r="W31" s="802"/>
      <c r="X31" s="802"/>
      <c r="Y31" s="802"/>
      <c r="Z31" s="802"/>
      <c r="AA31" s="802"/>
      <c r="AB31" s="802"/>
      <c r="AC31" s="802"/>
      <c r="AD31" s="802"/>
      <c r="AE31" s="802"/>
      <c r="AF31" s="802"/>
      <c r="AG31" s="802"/>
    </row>
    <row r="32" spans="1:33" ht="15" customHeight="1">
      <c r="A32" s="800" t="s">
        <v>4440</v>
      </c>
      <c r="B32" s="812" t="s">
        <v>4248</v>
      </c>
      <c r="C32" s="815">
        <v>0.196076</v>
      </c>
      <c r="D32" s="815">
        <v>0.232959</v>
      </c>
      <c r="E32" s="815">
        <v>0.15942100000000001</v>
      </c>
      <c r="F32" s="815">
        <v>0.13686499999999999</v>
      </c>
      <c r="G32" s="815">
        <v>0.12721199999999999</v>
      </c>
      <c r="H32" s="815">
        <v>0.119459</v>
      </c>
      <c r="I32" s="815">
        <v>0.113057</v>
      </c>
      <c r="J32" s="815">
        <v>0.109275</v>
      </c>
      <c r="K32" s="815">
        <v>0.106548</v>
      </c>
      <c r="L32" s="815">
        <v>0.10501000000000001</v>
      </c>
      <c r="M32" s="815">
        <v>0.104575</v>
      </c>
      <c r="N32" s="815">
        <v>0.105799</v>
      </c>
      <c r="O32" s="815">
        <v>0.10782700000000001</v>
      </c>
      <c r="P32" s="815">
        <v>0.110808</v>
      </c>
      <c r="Q32" s="815">
        <v>0.11283700000000001</v>
      </c>
      <c r="R32" s="815">
        <v>0.11540400000000001</v>
      </c>
      <c r="S32" s="815">
        <v>0.119633</v>
      </c>
      <c r="T32" s="815">
        <v>0.120162</v>
      </c>
      <c r="U32" s="815">
        <v>0.124463</v>
      </c>
      <c r="V32" s="815">
        <v>0.12759100000000001</v>
      </c>
      <c r="W32" s="815">
        <v>0.12945999999999999</v>
      </c>
      <c r="X32" s="815">
        <v>0.12938</v>
      </c>
      <c r="Y32" s="815">
        <v>0.12995699999999999</v>
      </c>
      <c r="Z32" s="815">
        <v>0.131053</v>
      </c>
      <c r="AA32" s="815">
        <v>0.13058900000000001</v>
      </c>
      <c r="AB32" s="815">
        <v>0.13095799999999999</v>
      </c>
      <c r="AC32" s="815">
        <v>0.13043299999999999</v>
      </c>
      <c r="AD32" s="815">
        <v>0.12979199999999999</v>
      </c>
      <c r="AE32" s="815">
        <v>0.13009699999999999</v>
      </c>
      <c r="AF32" s="814">
        <v>-1.4544E-2</v>
      </c>
      <c r="AG32" s="802"/>
    </row>
    <row r="33" spans="1:33" ht="15" customHeight="1">
      <c r="A33" s="800" t="s">
        <v>4441</v>
      </c>
      <c r="B33" s="812" t="s">
        <v>4250</v>
      </c>
      <c r="C33" s="815">
        <v>2.2107999999999999E-2</v>
      </c>
      <c r="D33" s="815">
        <v>2.5516E-2</v>
      </c>
      <c r="E33" s="815">
        <v>2.333E-2</v>
      </c>
      <c r="F33" s="815">
        <v>2.3063E-2</v>
      </c>
      <c r="G33" s="815">
        <v>2.307E-2</v>
      </c>
      <c r="H33" s="815">
        <v>2.3215E-2</v>
      </c>
      <c r="I33" s="815">
        <v>2.3390000000000001E-2</v>
      </c>
      <c r="J33" s="815">
        <v>2.3102000000000001E-2</v>
      </c>
      <c r="K33" s="815">
        <v>2.2908000000000001E-2</v>
      </c>
      <c r="L33" s="815">
        <v>2.2623000000000001E-2</v>
      </c>
      <c r="M33" s="815">
        <v>2.24E-2</v>
      </c>
      <c r="N33" s="815">
        <v>2.2311999999999999E-2</v>
      </c>
      <c r="O33" s="815">
        <v>2.2339000000000001E-2</v>
      </c>
      <c r="P33" s="815">
        <v>2.2383E-2</v>
      </c>
      <c r="Q33" s="815">
        <v>2.2419000000000001E-2</v>
      </c>
      <c r="R33" s="815">
        <v>2.2423999999999999E-2</v>
      </c>
      <c r="S33" s="815">
        <v>2.2582999999999999E-2</v>
      </c>
      <c r="T33" s="815">
        <v>2.2550000000000001E-2</v>
      </c>
      <c r="U33" s="815">
        <v>2.2672999999999999E-2</v>
      </c>
      <c r="V33" s="815">
        <v>2.2707000000000001E-2</v>
      </c>
      <c r="W33" s="815">
        <v>2.2755000000000001E-2</v>
      </c>
      <c r="X33" s="815">
        <v>2.2665999999999999E-2</v>
      </c>
      <c r="Y33" s="815">
        <v>2.2686000000000001E-2</v>
      </c>
      <c r="Z33" s="815">
        <v>2.2695E-2</v>
      </c>
      <c r="AA33" s="815">
        <v>2.2533999999999998E-2</v>
      </c>
      <c r="AB33" s="815">
        <v>2.2450999999999999E-2</v>
      </c>
      <c r="AC33" s="815">
        <v>2.2359E-2</v>
      </c>
      <c r="AD33" s="815">
        <v>2.2224000000000001E-2</v>
      </c>
      <c r="AE33" s="815">
        <v>2.2105E-2</v>
      </c>
      <c r="AF33" s="814">
        <v>-3.9999999999999998E-6</v>
      </c>
      <c r="AG33" s="802"/>
    </row>
    <row r="34" spans="1:33" ht="12" customHeight="1">
      <c r="A34" s="800" t="s">
        <v>4442</v>
      </c>
      <c r="B34" s="812" t="s">
        <v>4377</v>
      </c>
      <c r="C34" s="815">
        <v>1.681E-3</v>
      </c>
      <c r="D34" s="815">
        <v>1.8489999999999999E-3</v>
      </c>
      <c r="E34" s="815">
        <v>1.075E-3</v>
      </c>
      <c r="F34" s="815">
        <v>1.126E-3</v>
      </c>
      <c r="G34" s="815">
        <v>1.1529999999999999E-3</v>
      </c>
      <c r="H34" s="815">
        <v>1.1670000000000001E-3</v>
      </c>
      <c r="I34" s="815">
        <v>1.163E-3</v>
      </c>
      <c r="J34" s="815">
        <v>1.152E-3</v>
      </c>
      <c r="K34" s="815">
        <v>1.1329999999999999E-3</v>
      </c>
      <c r="L34" s="815">
        <v>1.108E-3</v>
      </c>
      <c r="M34" s="815">
        <v>1.077E-3</v>
      </c>
      <c r="N34" s="815">
        <v>1.052E-3</v>
      </c>
      <c r="O34" s="815">
        <v>1.034E-3</v>
      </c>
      <c r="P34" s="815">
        <v>1.024E-3</v>
      </c>
      <c r="Q34" s="815">
        <v>1.016E-3</v>
      </c>
      <c r="R34" s="815">
        <v>1.0070000000000001E-3</v>
      </c>
      <c r="S34" s="815">
        <v>9.9599999999999992E-4</v>
      </c>
      <c r="T34" s="815">
        <v>9.9500000000000001E-4</v>
      </c>
      <c r="U34" s="815">
        <v>9.8200000000000002E-4</v>
      </c>
      <c r="V34" s="815">
        <v>9.7199999999999999E-4</v>
      </c>
      <c r="W34" s="815">
        <v>9.6699999999999998E-4</v>
      </c>
      <c r="X34" s="815">
        <v>9.6500000000000004E-4</v>
      </c>
      <c r="Y34" s="815">
        <v>9.6500000000000004E-4</v>
      </c>
      <c r="Z34" s="815">
        <v>9.6299999999999999E-4</v>
      </c>
      <c r="AA34" s="815">
        <v>9.59E-4</v>
      </c>
      <c r="AB34" s="815">
        <v>9.5299999999999996E-4</v>
      </c>
      <c r="AC34" s="815">
        <v>9.4700000000000003E-4</v>
      </c>
      <c r="AD34" s="815">
        <v>9.4300000000000004E-4</v>
      </c>
      <c r="AE34" s="815">
        <v>9.3599999999999998E-4</v>
      </c>
      <c r="AF34" s="814">
        <v>-2.0688999999999999E-2</v>
      </c>
      <c r="AG34" s="802"/>
    </row>
    <row r="35" spans="1:33" ht="12" customHeight="1">
      <c r="A35" s="800" t="s">
        <v>4443</v>
      </c>
      <c r="B35" s="812" t="s">
        <v>4254</v>
      </c>
      <c r="C35" s="815">
        <v>0</v>
      </c>
      <c r="D35" s="815">
        <v>0</v>
      </c>
      <c r="E35" s="815">
        <v>0</v>
      </c>
      <c r="F35" s="815">
        <v>0</v>
      </c>
      <c r="G35" s="815">
        <v>0</v>
      </c>
      <c r="H35" s="815">
        <v>0</v>
      </c>
      <c r="I35" s="815">
        <v>0</v>
      </c>
      <c r="J35" s="815">
        <v>0</v>
      </c>
      <c r="K35" s="815">
        <v>0</v>
      </c>
      <c r="L35" s="815">
        <v>0</v>
      </c>
      <c r="M35" s="815">
        <v>0</v>
      </c>
      <c r="N35" s="815">
        <v>0</v>
      </c>
      <c r="O35" s="815">
        <v>0</v>
      </c>
      <c r="P35" s="815">
        <v>0</v>
      </c>
      <c r="Q35" s="815">
        <v>0</v>
      </c>
      <c r="R35" s="815">
        <v>0</v>
      </c>
      <c r="S35" s="815">
        <v>0</v>
      </c>
      <c r="T35" s="815">
        <v>0</v>
      </c>
      <c r="U35" s="815">
        <v>0</v>
      </c>
      <c r="V35" s="815">
        <v>0</v>
      </c>
      <c r="W35" s="815">
        <v>0</v>
      </c>
      <c r="X35" s="815">
        <v>0</v>
      </c>
      <c r="Y35" s="815">
        <v>0</v>
      </c>
      <c r="Z35" s="815">
        <v>0</v>
      </c>
      <c r="AA35" s="815">
        <v>0</v>
      </c>
      <c r="AB35" s="815">
        <v>0</v>
      </c>
      <c r="AC35" s="815">
        <v>0</v>
      </c>
      <c r="AD35" s="815">
        <v>0</v>
      </c>
      <c r="AE35" s="815">
        <v>0</v>
      </c>
      <c r="AF35" s="814" t="s">
        <v>2805</v>
      </c>
      <c r="AG35" s="802"/>
    </row>
    <row r="36" spans="1:33" ht="12" customHeight="1">
      <c r="A36" s="800" t="s">
        <v>4444</v>
      </c>
      <c r="B36" s="812" t="s">
        <v>4379</v>
      </c>
      <c r="C36" s="815">
        <v>0</v>
      </c>
      <c r="D36" s="815">
        <v>0</v>
      </c>
      <c r="E36" s="815">
        <v>0</v>
      </c>
      <c r="F36" s="815">
        <v>0</v>
      </c>
      <c r="G36" s="815">
        <v>0</v>
      </c>
      <c r="H36" s="815">
        <v>0</v>
      </c>
      <c r="I36" s="815">
        <v>0</v>
      </c>
      <c r="J36" s="815">
        <v>0</v>
      </c>
      <c r="K36" s="815">
        <v>0</v>
      </c>
      <c r="L36" s="815">
        <v>0</v>
      </c>
      <c r="M36" s="815">
        <v>0</v>
      </c>
      <c r="N36" s="815">
        <v>0</v>
      </c>
      <c r="O36" s="815">
        <v>0</v>
      </c>
      <c r="P36" s="815">
        <v>0</v>
      </c>
      <c r="Q36" s="815">
        <v>0</v>
      </c>
      <c r="R36" s="815">
        <v>0</v>
      </c>
      <c r="S36" s="815">
        <v>0</v>
      </c>
      <c r="T36" s="815">
        <v>0</v>
      </c>
      <c r="U36" s="815">
        <v>0</v>
      </c>
      <c r="V36" s="815">
        <v>0</v>
      </c>
      <c r="W36" s="815">
        <v>0</v>
      </c>
      <c r="X36" s="815">
        <v>0</v>
      </c>
      <c r="Y36" s="815">
        <v>0</v>
      </c>
      <c r="Z36" s="815">
        <v>0</v>
      </c>
      <c r="AA36" s="815">
        <v>0</v>
      </c>
      <c r="AB36" s="815">
        <v>0</v>
      </c>
      <c r="AC36" s="815">
        <v>0</v>
      </c>
      <c r="AD36" s="815">
        <v>0</v>
      </c>
      <c r="AE36" s="815">
        <v>0</v>
      </c>
      <c r="AF36" s="814" t="s">
        <v>2805</v>
      </c>
      <c r="AG36" s="802"/>
    </row>
    <row r="37" spans="1:33" ht="12" customHeight="1">
      <c r="A37" s="800" t="s">
        <v>4445</v>
      </c>
      <c r="B37" s="812" t="s">
        <v>4260</v>
      </c>
      <c r="C37" s="815">
        <v>0.219865</v>
      </c>
      <c r="D37" s="815">
        <v>0.260324</v>
      </c>
      <c r="E37" s="815">
        <v>0.18382599999999999</v>
      </c>
      <c r="F37" s="815">
        <v>0.161054</v>
      </c>
      <c r="G37" s="815">
        <v>0.15143499999999999</v>
      </c>
      <c r="H37" s="815">
        <v>0.143841</v>
      </c>
      <c r="I37" s="815">
        <v>0.13761100000000001</v>
      </c>
      <c r="J37" s="815">
        <v>0.13352900000000001</v>
      </c>
      <c r="K37" s="815">
        <v>0.13059000000000001</v>
      </c>
      <c r="L37" s="815">
        <v>0.12874099999999999</v>
      </c>
      <c r="M37" s="815">
        <v>0.128052</v>
      </c>
      <c r="N37" s="815">
        <v>0.129162</v>
      </c>
      <c r="O37" s="815">
        <v>0.13120000000000001</v>
      </c>
      <c r="P37" s="815">
        <v>0.134215</v>
      </c>
      <c r="Q37" s="815">
        <v>0.13627300000000001</v>
      </c>
      <c r="R37" s="815">
        <v>0.13883499999999999</v>
      </c>
      <c r="S37" s="815">
        <v>0.14321200000000001</v>
      </c>
      <c r="T37" s="815">
        <v>0.143707</v>
      </c>
      <c r="U37" s="815">
        <v>0.148118</v>
      </c>
      <c r="V37" s="815">
        <v>0.15126999999999999</v>
      </c>
      <c r="W37" s="815">
        <v>0.15318200000000001</v>
      </c>
      <c r="X37" s="815">
        <v>0.15301100000000001</v>
      </c>
      <c r="Y37" s="815">
        <v>0.153609</v>
      </c>
      <c r="Z37" s="815">
        <v>0.15471099999999999</v>
      </c>
      <c r="AA37" s="815">
        <v>0.154083</v>
      </c>
      <c r="AB37" s="815">
        <v>0.154362</v>
      </c>
      <c r="AC37" s="815">
        <v>0.15373899999999999</v>
      </c>
      <c r="AD37" s="815">
        <v>0.15296000000000001</v>
      </c>
      <c r="AE37" s="815">
        <v>0.153138</v>
      </c>
      <c r="AF37" s="814">
        <v>-1.2834E-2</v>
      </c>
      <c r="AG37" s="802"/>
    </row>
    <row r="38" spans="1:33" ht="12" customHeight="1">
      <c r="A38" s="800" t="s">
        <v>4446</v>
      </c>
      <c r="B38" s="812" t="s">
        <v>4262</v>
      </c>
      <c r="C38" s="815">
        <v>3.2195010000000002</v>
      </c>
      <c r="D38" s="815">
        <v>3.1301640000000002</v>
      </c>
      <c r="E38" s="815">
        <v>3.1669149999999999</v>
      </c>
      <c r="F38" s="815">
        <v>3.1020409999999998</v>
      </c>
      <c r="G38" s="815">
        <v>3.063104</v>
      </c>
      <c r="H38" s="815">
        <v>3.0150130000000002</v>
      </c>
      <c r="I38" s="815">
        <v>2.9610569999999998</v>
      </c>
      <c r="J38" s="815">
        <v>2.9024519999999998</v>
      </c>
      <c r="K38" s="815">
        <v>2.8438249999999998</v>
      </c>
      <c r="L38" s="815">
        <v>2.7847520000000001</v>
      </c>
      <c r="M38" s="815">
        <v>2.7272539999999998</v>
      </c>
      <c r="N38" s="815">
        <v>2.6688830000000001</v>
      </c>
      <c r="O38" s="815">
        <v>2.6160920000000001</v>
      </c>
      <c r="P38" s="815">
        <v>2.5670600000000001</v>
      </c>
      <c r="Q38" s="815">
        <v>2.527012</v>
      </c>
      <c r="R38" s="815">
        <v>2.4864130000000002</v>
      </c>
      <c r="S38" s="815">
        <v>2.4402249999999999</v>
      </c>
      <c r="T38" s="815">
        <v>2.4109349999999998</v>
      </c>
      <c r="U38" s="815">
        <v>2.368722</v>
      </c>
      <c r="V38" s="815">
        <v>2.3319420000000002</v>
      </c>
      <c r="W38" s="815">
        <v>2.3045049999999998</v>
      </c>
      <c r="X38" s="815">
        <v>2.2833329999999998</v>
      </c>
      <c r="Y38" s="815">
        <v>2.2627060000000001</v>
      </c>
      <c r="Z38" s="815">
        <v>2.240237</v>
      </c>
      <c r="AA38" s="815">
        <v>2.2208320000000001</v>
      </c>
      <c r="AB38" s="815">
        <v>2.2053479999999999</v>
      </c>
      <c r="AC38" s="815">
        <v>2.1910569999999998</v>
      </c>
      <c r="AD38" s="815">
        <v>2.1780089999999999</v>
      </c>
      <c r="AE38" s="815">
        <v>2.1638160000000002</v>
      </c>
      <c r="AF38" s="814">
        <v>-1.4090999999999999E-2</v>
      </c>
      <c r="AG38" s="802"/>
    </row>
    <row r="39" spans="1:33" ht="12" customHeight="1">
      <c r="A39" s="800" t="s">
        <v>4447</v>
      </c>
      <c r="B39" s="812" t="s">
        <v>4383</v>
      </c>
      <c r="C39" s="815">
        <v>0.18445900000000001</v>
      </c>
      <c r="D39" s="815">
        <v>0.165908</v>
      </c>
      <c r="E39" s="815">
        <v>0.15998200000000001</v>
      </c>
      <c r="F39" s="815">
        <v>0.153054</v>
      </c>
      <c r="G39" s="815">
        <v>0.14847299999999999</v>
      </c>
      <c r="H39" s="815">
        <v>0.14410300000000001</v>
      </c>
      <c r="I39" s="815">
        <v>0.13995099999999999</v>
      </c>
      <c r="J39" s="815">
        <v>0.13605300000000001</v>
      </c>
      <c r="K39" s="815">
        <v>0.13231599999999999</v>
      </c>
      <c r="L39" s="815">
        <v>0.128745</v>
      </c>
      <c r="M39" s="815">
        <v>0.12531100000000001</v>
      </c>
      <c r="N39" s="815">
        <v>0.12216299999999999</v>
      </c>
      <c r="O39" s="815">
        <v>0.11897000000000001</v>
      </c>
      <c r="P39" s="815">
        <v>0.11581900000000001</v>
      </c>
      <c r="Q39" s="815">
        <v>0.112134</v>
      </c>
      <c r="R39" s="815">
        <v>0.108665</v>
      </c>
      <c r="S39" s="815">
        <v>0.105916</v>
      </c>
      <c r="T39" s="815">
        <v>0.101949</v>
      </c>
      <c r="U39" s="815">
        <v>9.9418999999999993E-2</v>
      </c>
      <c r="V39" s="815">
        <v>9.6684999999999993E-2</v>
      </c>
      <c r="W39" s="815">
        <v>9.3423000000000006E-2</v>
      </c>
      <c r="X39" s="815">
        <v>8.9869000000000004E-2</v>
      </c>
      <c r="Y39" s="815">
        <v>8.6402999999999994E-2</v>
      </c>
      <c r="Z39" s="815">
        <v>8.3349000000000006E-2</v>
      </c>
      <c r="AA39" s="815">
        <v>8.0177999999999999E-2</v>
      </c>
      <c r="AB39" s="815">
        <v>7.6950000000000005E-2</v>
      </c>
      <c r="AC39" s="815">
        <v>7.3798000000000002E-2</v>
      </c>
      <c r="AD39" s="815">
        <v>7.0731000000000002E-2</v>
      </c>
      <c r="AE39" s="815">
        <v>6.7948999999999996E-2</v>
      </c>
      <c r="AF39" s="814">
        <v>-3.5038E-2</v>
      </c>
      <c r="AG39" s="802"/>
    </row>
    <row r="40" spans="1:33" ht="12" customHeight="1">
      <c r="A40" s="800" t="s">
        <v>4448</v>
      </c>
      <c r="B40" s="812" t="s">
        <v>4385</v>
      </c>
      <c r="C40" s="815">
        <v>5.0980270000000001</v>
      </c>
      <c r="D40" s="815">
        <v>5.5773809999999999</v>
      </c>
      <c r="E40" s="815">
        <v>5.5557639999999999</v>
      </c>
      <c r="F40" s="815">
        <v>5.5481569999999998</v>
      </c>
      <c r="G40" s="815">
        <v>5.5343200000000001</v>
      </c>
      <c r="H40" s="815">
        <v>5.5225280000000003</v>
      </c>
      <c r="I40" s="815">
        <v>5.5119889999999998</v>
      </c>
      <c r="J40" s="815">
        <v>5.4994800000000001</v>
      </c>
      <c r="K40" s="815">
        <v>5.4881700000000002</v>
      </c>
      <c r="L40" s="815">
        <v>5.4803050000000004</v>
      </c>
      <c r="M40" s="815">
        <v>5.4725510000000002</v>
      </c>
      <c r="N40" s="815">
        <v>5.467212</v>
      </c>
      <c r="O40" s="815">
        <v>5.460286</v>
      </c>
      <c r="P40" s="815">
        <v>5.4510500000000004</v>
      </c>
      <c r="Q40" s="815">
        <v>5.4414959999999999</v>
      </c>
      <c r="R40" s="815">
        <v>5.4337780000000002</v>
      </c>
      <c r="S40" s="815">
        <v>5.4247509999999997</v>
      </c>
      <c r="T40" s="815">
        <v>5.4173970000000002</v>
      </c>
      <c r="U40" s="815">
        <v>5.4134859999999998</v>
      </c>
      <c r="V40" s="815">
        <v>5.4088580000000004</v>
      </c>
      <c r="W40" s="815">
        <v>5.4030459999999998</v>
      </c>
      <c r="X40" s="815">
        <v>5.397443</v>
      </c>
      <c r="Y40" s="815">
        <v>5.3918590000000002</v>
      </c>
      <c r="Z40" s="815">
        <v>5.3872179999999998</v>
      </c>
      <c r="AA40" s="815">
        <v>5.3852380000000002</v>
      </c>
      <c r="AB40" s="815">
        <v>5.385548</v>
      </c>
      <c r="AC40" s="815">
        <v>5.3841700000000001</v>
      </c>
      <c r="AD40" s="815">
        <v>5.3835990000000002</v>
      </c>
      <c r="AE40" s="815">
        <v>5.3843870000000003</v>
      </c>
      <c r="AF40" s="814">
        <v>1.954E-3</v>
      </c>
      <c r="AG40" s="802"/>
    </row>
    <row r="41" spans="1:33" ht="12" customHeight="1">
      <c r="A41" s="800" t="s">
        <v>4449</v>
      </c>
      <c r="B41" s="812" t="s">
        <v>4274</v>
      </c>
      <c r="C41" s="815">
        <v>1.1021529999999999</v>
      </c>
      <c r="D41" s="815">
        <v>1.123108</v>
      </c>
      <c r="E41" s="815">
        <v>1.1184000000000001</v>
      </c>
      <c r="F41" s="815">
        <v>1.1212709999999999</v>
      </c>
      <c r="G41" s="815">
        <v>1.110222</v>
      </c>
      <c r="H41" s="815">
        <v>1.098184</v>
      </c>
      <c r="I41" s="815">
        <v>1.085437</v>
      </c>
      <c r="J41" s="815">
        <v>1.072524</v>
      </c>
      <c r="K41" s="815">
        <v>1.0598000000000001</v>
      </c>
      <c r="L41" s="815">
        <v>1.047755</v>
      </c>
      <c r="M41" s="815">
        <v>1.0367280000000001</v>
      </c>
      <c r="N41" s="815">
        <v>1.0254799999999999</v>
      </c>
      <c r="O41" s="815">
        <v>1.0168630000000001</v>
      </c>
      <c r="P41" s="815">
        <v>1.0098780000000001</v>
      </c>
      <c r="Q41" s="815">
        <v>1.0028220000000001</v>
      </c>
      <c r="R41" s="815">
        <v>0.99586200000000002</v>
      </c>
      <c r="S41" s="815">
        <v>0.98948199999999997</v>
      </c>
      <c r="T41" s="815">
        <v>0.98354200000000003</v>
      </c>
      <c r="U41" s="815">
        <v>0.97814800000000002</v>
      </c>
      <c r="V41" s="815">
        <v>0.97333499999999995</v>
      </c>
      <c r="W41" s="815">
        <v>0.96956799999999999</v>
      </c>
      <c r="X41" s="815">
        <v>0.96625899999999998</v>
      </c>
      <c r="Y41" s="815">
        <v>0.96313499999999996</v>
      </c>
      <c r="Z41" s="815">
        <v>0.96040599999999998</v>
      </c>
      <c r="AA41" s="815">
        <v>0.95797399999999999</v>
      </c>
      <c r="AB41" s="815">
        <v>0.95558600000000005</v>
      </c>
      <c r="AC41" s="815">
        <v>0.95343900000000004</v>
      </c>
      <c r="AD41" s="815">
        <v>0.95149399999999995</v>
      </c>
      <c r="AE41" s="815">
        <v>0.949658</v>
      </c>
      <c r="AF41" s="814">
        <v>-5.3039999999999997E-3</v>
      </c>
      <c r="AG41" s="802"/>
    </row>
    <row r="42" spans="1:33" ht="12" customHeight="1">
      <c r="A42" s="800" t="s">
        <v>4450</v>
      </c>
      <c r="B42" s="808" t="s">
        <v>4276</v>
      </c>
      <c r="C42" s="816">
        <v>9.8240049999999997</v>
      </c>
      <c r="D42" s="816">
        <v>10.256885</v>
      </c>
      <c r="E42" s="816">
        <v>10.184886000000001</v>
      </c>
      <c r="F42" s="816">
        <v>10.085577000000001</v>
      </c>
      <c r="G42" s="816">
        <v>10.007555</v>
      </c>
      <c r="H42" s="816">
        <v>9.9236679999999993</v>
      </c>
      <c r="I42" s="816">
        <v>9.8360430000000001</v>
      </c>
      <c r="J42" s="816">
        <v>9.7440390000000008</v>
      </c>
      <c r="K42" s="816">
        <v>9.6547000000000001</v>
      </c>
      <c r="L42" s="816">
        <v>9.5702979999999993</v>
      </c>
      <c r="M42" s="816">
        <v>9.4898959999999999</v>
      </c>
      <c r="N42" s="816">
        <v>9.4129000000000005</v>
      </c>
      <c r="O42" s="816">
        <v>9.3434100000000004</v>
      </c>
      <c r="P42" s="816">
        <v>9.2780229999999992</v>
      </c>
      <c r="Q42" s="816">
        <v>9.2197370000000003</v>
      </c>
      <c r="R42" s="816">
        <v>9.1635530000000003</v>
      </c>
      <c r="S42" s="816">
        <v>9.1035869999999992</v>
      </c>
      <c r="T42" s="816">
        <v>9.0575299999999999</v>
      </c>
      <c r="U42" s="816">
        <v>9.0078940000000003</v>
      </c>
      <c r="V42" s="816">
        <v>8.9620899999999999</v>
      </c>
      <c r="W42" s="816">
        <v>8.923724</v>
      </c>
      <c r="X42" s="816">
        <v>8.8899139999999992</v>
      </c>
      <c r="Y42" s="816">
        <v>8.8577119999999994</v>
      </c>
      <c r="Z42" s="816">
        <v>8.82592</v>
      </c>
      <c r="AA42" s="816">
        <v>8.7983060000000002</v>
      </c>
      <c r="AB42" s="816">
        <v>8.7777949999999993</v>
      </c>
      <c r="AC42" s="816">
        <v>8.7562029999999993</v>
      </c>
      <c r="AD42" s="816">
        <v>8.7367930000000005</v>
      </c>
      <c r="AE42" s="816">
        <v>8.7189479999999993</v>
      </c>
      <c r="AF42" s="810">
        <v>-4.2529999999999998E-3</v>
      </c>
      <c r="AG42" s="802"/>
    </row>
    <row r="43" spans="1:33" ht="12" customHeight="1">
      <c r="B43" s="802"/>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row>
    <row r="44" spans="1:33" ht="12" customHeight="1">
      <c r="B44" s="808" t="s">
        <v>4400</v>
      </c>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row>
    <row r="45" spans="1:33" ht="12" customHeight="1">
      <c r="A45" s="800" t="s">
        <v>4451</v>
      </c>
      <c r="B45" s="808" t="s">
        <v>4279</v>
      </c>
      <c r="C45" s="809">
        <v>59.413421999999997</v>
      </c>
      <c r="D45" s="809">
        <v>56.467345999999999</v>
      </c>
      <c r="E45" s="809">
        <v>54.139194000000003</v>
      </c>
      <c r="F45" s="809">
        <v>51.560164999999998</v>
      </c>
      <c r="G45" s="809">
        <v>48.904254999999999</v>
      </c>
      <c r="H45" s="809">
        <v>46.405768999999999</v>
      </c>
      <c r="I45" s="809">
        <v>44.123257000000002</v>
      </c>
      <c r="J45" s="809">
        <v>42.291046000000001</v>
      </c>
      <c r="K45" s="809">
        <v>40.788963000000003</v>
      </c>
      <c r="L45" s="809">
        <v>39.924156000000004</v>
      </c>
      <c r="M45" s="809">
        <v>39.257823999999999</v>
      </c>
      <c r="N45" s="809">
        <v>38.799937999999997</v>
      </c>
      <c r="O45" s="809">
        <v>38.231189999999998</v>
      </c>
      <c r="P45" s="809">
        <v>37.873508000000001</v>
      </c>
      <c r="Q45" s="809">
        <v>37.530014000000001</v>
      </c>
      <c r="R45" s="809">
        <v>37.171374999999998</v>
      </c>
      <c r="S45" s="809">
        <v>36.720821000000001</v>
      </c>
      <c r="T45" s="809">
        <v>36.430996</v>
      </c>
      <c r="U45" s="809">
        <v>36.151276000000003</v>
      </c>
      <c r="V45" s="809">
        <v>35.960022000000002</v>
      </c>
      <c r="W45" s="809">
        <v>35.836036999999997</v>
      </c>
      <c r="X45" s="809">
        <v>35.617508000000001</v>
      </c>
      <c r="Y45" s="809">
        <v>35.268695999999998</v>
      </c>
      <c r="Z45" s="809">
        <v>34.897331000000001</v>
      </c>
      <c r="AA45" s="809">
        <v>34.559654000000002</v>
      </c>
      <c r="AB45" s="809">
        <v>34.441696</v>
      </c>
      <c r="AC45" s="809">
        <v>34.163677</v>
      </c>
      <c r="AD45" s="809">
        <v>33.973067999999998</v>
      </c>
      <c r="AE45" s="809">
        <v>33.850788000000001</v>
      </c>
      <c r="AF45" s="810">
        <v>-1.9890999999999999E-2</v>
      </c>
      <c r="AG45" s="802"/>
    </row>
    <row r="46" spans="1:33" ht="12" customHeight="1">
      <c r="B46" s="802"/>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row>
    <row r="47" spans="1:33" ht="12" customHeight="1">
      <c r="B47" s="808" t="s">
        <v>4402</v>
      </c>
      <c r="C47" s="802"/>
      <c r="D47" s="802"/>
      <c r="E47" s="802"/>
      <c r="F47" s="80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c r="AF47" s="802"/>
      <c r="AG47" s="802"/>
    </row>
    <row r="48" spans="1:33" ht="12" customHeight="1">
      <c r="B48" s="808" t="s">
        <v>4403</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row>
    <row r="49" spans="1:34" ht="12" customHeight="1">
      <c r="A49" s="800" t="s">
        <v>4452</v>
      </c>
      <c r="B49" s="812" t="s">
        <v>4323</v>
      </c>
      <c r="C49" s="815">
        <v>1.9612999999999998E-2</v>
      </c>
      <c r="D49" s="815">
        <v>1.9164E-2</v>
      </c>
      <c r="E49" s="815">
        <v>1.8603000000000001E-2</v>
      </c>
      <c r="F49" s="815">
        <v>1.821E-2</v>
      </c>
      <c r="G49" s="815">
        <v>1.8162999999999999E-2</v>
      </c>
      <c r="H49" s="815">
        <v>1.8121999999999999E-2</v>
      </c>
      <c r="I49" s="815">
        <v>1.8067E-2</v>
      </c>
      <c r="J49" s="815">
        <v>1.7996999999999999E-2</v>
      </c>
      <c r="K49" s="815">
        <v>1.7912999999999998E-2</v>
      </c>
      <c r="L49" s="815">
        <v>1.787E-2</v>
      </c>
      <c r="M49" s="815">
        <v>1.7846000000000001E-2</v>
      </c>
      <c r="N49" s="815">
        <v>1.7795999999999999E-2</v>
      </c>
      <c r="O49" s="815">
        <v>1.7760999999999999E-2</v>
      </c>
      <c r="P49" s="815">
        <v>1.7742999999999998E-2</v>
      </c>
      <c r="Q49" s="815">
        <v>1.7683999999999998E-2</v>
      </c>
      <c r="R49" s="815">
        <v>1.7645000000000001E-2</v>
      </c>
      <c r="S49" s="815">
        <v>1.7600999999999999E-2</v>
      </c>
      <c r="T49" s="815">
        <v>1.7548000000000001E-2</v>
      </c>
      <c r="U49" s="815">
        <v>1.7536E-2</v>
      </c>
      <c r="V49" s="815">
        <v>1.7517000000000001E-2</v>
      </c>
      <c r="W49" s="815">
        <v>1.7513999999999998E-2</v>
      </c>
      <c r="X49" s="815">
        <v>1.7492000000000001E-2</v>
      </c>
      <c r="Y49" s="815">
        <v>1.745E-2</v>
      </c>
      <c r="Z49" s="815">
        <v>1.7402999999999998E-2</v>
      </c>
      <c r="AA49" s="815">
        <v>1.7395000000000001E-2</v>
      </c>
      <c r="AB49" s="815">
        <v>1.7437999999999999E-2</v>
      </c>
      <c r="AC49" s="815">
        <v>1.7416000000000001E-2</v>
      </c>
      <c r="AD49" s="815">
        <v>1.7422E-2</v>
      </c>
      <c r="AE49" s="815">
        <v>1.7509E-2</v>
      </c>
      <c r="AF49" s="814">
        <v>-4.0439999999999999E-3</v>
      </c>
      <c r="AG49" s="802"/>
    </row>
    <row r="50" spans="1:34" ht="15" customHeight="1">
      <c r="A50" s="800" t="s">
        <v>4453</v>
      </c>
      <c r="B50" s="812" t="s">
        <v>4297</v>
      </c>
      <c r="C50" s="815">
        <v>2.277692</v>
      </c>
      <c r="D50" s="815">
        <v>2.2464979999999999</v>
      </c>
      <c r="E50" s="815">
        <v>2.2010329999999998</v>
      </c>
      <c r="F50" s="815">
        <v>2.1744430000000001</v>
      </c>
      <c r="G50" s="815">
        <v>2.1886489999999998</v>
      </c>
      <c r="H50" s="815">
        <v>2.2034699999999998</v>
      </c>
      <c r="I50" s="815">
        <v>2.2164199999999998</v>
      </c>
      <c r="J50" s="815">
        <v>2.227589</v>
      </c>
      <c r="K50" s="815">
        <v>2.236637</v>
      </c>
      <c r="L50" s="815">
        <v>2.2508149999999998</v>
      </c>
      <c r="M50" s="815">
        <v>2.267261</v>
      </c>
      <c r="N50" s="815">
        <v>2.2803230000000001</v>
      </c>
      <c r="O50" s="815">
        <v>2.2952539999999999</v>
      </c>
      <c r="P50" s="815">
        <v>2.3122720000000001</v>
      </c>
      <c r="Q50" s="815">
        <v>2.323931</v>
      </c>
      <c r="R50" s="815">
        <v>2.3380990000000001</v>
      </c>
      <c r="S50" s="815">
        <v>2.3514569999999999</v>
      </c>
      <c r="T50" s="815">
        <v>2.3634979999999999</v>
      </c>
      <c r="U50" s="815">
        <v>2.3809499999999999</v>
      </c>
      <c r="V50" s="815">
        <v>2.3975469999999999</v>
      </c>
      <c r="W50" s="815">
        <v>2.416188</v>
      </c>
      <c r="X50" s="815">
        <v>2.4322499999999998</v>
      </c>
      <c r="Y50" s="815">
        <v>2.4455499999999999</v>
      </c>
      <c r="Z50" s="815">
        <v>2.457964</v>
      </c>
      <c r="AA50" s="815">
        <v>2.4757549999999999</v>
      </c>
      <c r="AB50" s="815">
        <v>2.5009169999999998</v>
      </c>
      <c r="AC50" s="815">
        <v>2.5168170000000001</v>
      </c>
      <c r="AD50" s="815">
        <v>2.5365980000000001</v>
      </c>
      <c r="AE50" s="815">
        <v>2.5684930000000001</v>
      </c>
      <c r="AF50" s="814">
        <v>4.3E-3</v>
      </c>
      <c r="AG50" s="802"/>
    </row>
    <row r="51" spans="1:34" ht="15" customHeight="1">
      <c r="A51" s="800" t="s">
        <v>4454</v>
      </c>
      <c r="B51" s="812" t="s">
        <v>4326</v>
      </c>
      <c r="C51" s="815">
        <v>0.37301200000000001</v>
      </c>
      <c r="D51" s="815">
        <v>0.35619400000000001</v>
      </c>
      <c r="E51" s="815">
        <v>0.337725</v>
      </c>
      <c r="F51" s="815">
        <v>0.32272400000000001</v>
      </c>
      <c r="G51" s="815">
        <v>0.31403900000000001</v>
      </c>
      <c r="H51" s="815">
        <v>0.30549399999999999</v>
      </c>
      <c r="I51" s="815">
        <v>0.29674699999999998</v>
      </c>
      <c r="J51" s="815">
        <v>0.28783300000000001</v>
      </c>
      <c r="K51" s="815">
        <v>0.27873300000000001</v>
      </c>
      <c r="L51" s="815">
        <v>0.270345</v>
      </c>
      <c r="M51" s="815">
        <v>0.26226699999999997</v>
      </c>
      <c r="N51" s="815">
        <v>0.25383899999999998</v>
      </c>
      <c r="O51" s="815">
        <v>0.245666</v>
      </c>
      <c r="P51" s="815">
        <v>0.23774600000000001</v>
      </c>
      <c r="Q51" s="815">
        <v>0.22931599999999999</v>
      </c>
      <c r="R51" s="815">
        <v>0.22118699999999999</v>
      </c>
      <c r="S51" s="815">
        <v>0.21302499999999999</v>
      </c>
      <c r="T51" s="815">
        <v>0.20479600000000001</v>
      </c>
      <c r="U51" s="815">
        <v>0.19707</v>
      </c>
      <c r="V51" s="815">
        <v>0.18928900000000001</v>
      </c>
      <c r="W51" s="815">
        <v>0.18168200000000001</v>
      </c>
      <c r="X51" s="815">
        <v>0.17389299999999999</v>
      </c>
      <c r="Y51" s="815">
        <v>0.16594</v>
      </c>
      <c r="Z51" s="815">
        <v>0.157971</v>
      </c>
      <c r="AA51" s="815">
        <v>0.15037500000000001</v>
      </c>
      <c r="AB51" s="815">
        <v>0.14321</v>
      </c>
      <c r="AC51" s="815">
        <v>0.13550400000000001</v>
      </c>
      <c r="AD51" s="815">
        <v>0.12801499999999999</v>
      </c>
      <c r="AE51" s="815">
        <v>0.12109200000000001</v>
      </c>
      <c r="AF51" s="814">
        <v>-3.9384000000000002E-2</v>
      </c>
      <c r="AG51" s="802"/>
    </row>
    <row r="52" spans="1:34" ht="15" customHeight="1">
      <c r="A52" s="800" t="s">
        <v>4455</v>
      </c>
      <c r="B52" s="812" t="s">
        <v>4408</v>
      </c>
      <c r="C52" s="815">
        <v>5.3720939999999997</v>
      </c>
      <c r="D52" s="815">
        <v>5.2375389999999999</v>
      </c>
      <c r="E52" s="815">
        <v>5.1824050000000002</v>
      </c>
      <c r="F52" s="815">
        <v>5.1941369999999996</v>
      </c>
      <c r="G52" s="815">
        <v>5.2406709999999999</v>
      </c>
      <c r="H52" s="815">
        <v>5.2886519999999999</v>
      </c>
      <c r="I52" s="815">
        <v>5.3332620000000004</v>
      </c>
      <c r="J52" s="815">
        <v>5.3666400000000003</v>
      </c>
      <c r="K52" s="815">
        <v>5.394844</v>
      </c>
      <c r="L52" s="815">
        <v>5.4328890000000003</v>
      </c>
      <c r="M52" s="815">
        <v>5.4740229999999999</v>
      </c>
      <c r="N52" s="815">
        <v>5.5034739999999998</v>
      </c>
      <c r="O52" s="815">
        <v>5.5345870000000001</v>
      </c>
      <c r="P52" s="815">
        <v>5.5669959999999996</v>
      </c>
      <c r="Q52" s="815">
        <v>5.5958860000000001</v>
      </c>
      <c r="R52" s="815">
        <v>5.6263649999999998</v>
      </c>
      <c r="S52" s="815">
        <v>5.643707</v>
      </c>
      <c r="T52" s="815">
        <v>5.6802070000000002</v>
      </c>
      <c r="U52" s="815">
        <v>5.7017740000000003</v>
      </c>
      <c r="V52" s="815">
        <v>5.7262620000000002</v>
      </c>
      <c r="W52" s="815">
        <v>5.7596590000000001</v>
      </c>
      <c r="X52" s="815">
        <v>5.7972460000000003</v>
      </c>
      <c r="Y52" s="815">
        <v>5.821974</v>
      </c>
      <c r="Z52" s="815">
        <v>5.8378569999999996</v>
      </c>
      <c r="AA52" s="815">
        <v>5.8733180000000003</v>
      </c>
      <c r="AB52" s="815">
        <v>5.9172529999999997</v>
      </c>
      <c r="AC52" s="815">
        <v>5.944928</v>
      </c>
      <c r="AD52" s="815">
        <v>5.9788139999999999</v>
      </c>
      <c r="AE52" s="815">
        <v>6.0298610000000004</v>
      </c>
      <c r="AF52" s="814">
        <v>4.1339999999999997E-3</v>
      </c>
      <c r="AG52" s="802"/>
    </row>
    <row r="53" spans="1:34" ht="15" customHeight="1">
      <c r="A53" s="800" t="s">
        <v>4456</v>
      </c>
      <c r="B53" s="808" t="s">
        <v>4303</v>
      </c>
      <c r="C53" s="816">
        <v>8.0424109999999995</v>
      </c>
      <c r="D53" s="816">
        <v>7.8593950000000001</v>
      </c>
      <c r="E53" s="816">
        <v>7.7397660000000004</v>
      </c>
      <c r="F53" s="816">
        <v>7.7095149999999997</v>
      </c>
      <c r="G53" s="816">
        <v>7.7615230000000004</v>
      </c>
      <c r="H53" s="816">
        <v>7.8157389999999998</v>
      </c>
      <c r="I53" s="816">
        <v>7.8644959999999999</v>
      </c>
      <c r="J53" s="816">
        <v>7.9000599999999999</v>
      </c>
      <c r="K53" s="816">
        <v>7.9281259999999998</v>
      </c>
      <c r="L53" s="816">
        <v>7.9719199999999999</v>
      </c>
      <c r="M53" s="816">
        <v>8.0213990000000006</v>
      </c>
      <c r="N53" s="816">
        <v>8.0554319999999997</v>
      </c>
      <c r="O53" s="816">
        <v>8.0932689999999994</v>
      </c>
      <c r="P53" s="816">
        <v>8.1347570000000005</v>
      </c>
      <c r="Q53" s="816">
        <v>8.1668199999999995</v>
      </c>
      <c r="R53" s="816">
        <v>8.2032969999999992</v>
      </c>
      <c r="S53" s="816">
        <v>8.2257899999999999</v>
      </c>
      <c r="T53" s="816">
        <v>8.2660490000000006</v>
      </c>
      <c r="U53" s="816">
        <v>8.2973300000000005</v>
      </c>
      <c r="V53" s="816">
        <v>8.3306159999999991</v>
      </c>
      <c r="W53" s="816">
        <v>8.3750440000000008</v>
      </c>
      <c r="X53" s="816">
        <v>8.4208800000000004</v>
      </c>
      <c r="Y53" s="816">
        <v>8.4509139999999991</v>
      </c>
      <c r="Z53" s="816">
        <v>8.4711960000000008</v>
      </c>
      <c r="AA53" s="816">
        <v>8.5168429999999997</v>
      </c>
      <c r="AB53" s="816">
        <v>8.5788180000000001</v>
      </c>
      <c r="AC53" s="816">
        <v>8.6146659999999997</v>
      </c>
      <c r="AD53" s="816">
        <v>8.6608490000000007</v>
      </c>
      <c r="AE53" s="816">
        <v>8.7369559999999993</v>
      </c>
      <c r="AF53" s="810">
        <v>2.9629999999999999E-3</v>
      </c>
      <c r="AG53" s="802"/>
    </row>
    <row r="54" spans="1:34" ht="15" customHeight="1">
      <c r="B54" s="808" t="s">
        <v>4330</v>
      </c>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2"/>
    </row>
    <row r="55" spans="1:34" ht="15" customHeight="1">
      <c r="A55" s="800" t="s">
        <v>4457</v>
      </c>
      <c r="B55" s="812" t="s">
        <v>4323</v>
      </c>
      <c r="C55" s="815">
        <v>0.117927</v>
      </c>
      <c r="D55" s="815">
        <v>0.115229</v>
      </c>
      <c r="E55" s="815">
        <v>0.111855</v>
      </c>
      <c r="F55" s="815">
        <v>0.10949399999999999</v>
      </c>
      <c r="G55" s="815">
        <v>0.109211</v>
      </c>
      <c r="H55" s="815">
        <v>0.10896400000000001</v>
      </c>
      <c r="I55" s="815">
        <v>0.108629</v>
      </c>
      <c r="J55" s="815">
        <v>0.108214</v>
      </c>
      <c r="K55" s="815">
        <v>0.10770299999999999</v>
      </c>
      <c r="L55" s="815">
        <v>0.107447</v>
      </c>
      <c r="M55" s="815">
        <v>0.10730199999999999</v>
      </c>
      <c r="N55" s="815">
        <v>0.107001</v>
      </c>
      <c r="O55" s="815">
        <v>0.106792</v>
      </c>
      <c r="P55" s="815">
        <v>0.106683</v>
      </c>
      <c r="Q55" s="815">
        <v>0.10632999999999999</v>
      </c>
      <c r="R55" s="815">
        <v>0.106097</v>
      </c>
      <c r="S55" s="815">
        <v>0.105832</v>
      </c>
      <c r="T55" s="815">
        <v>0.10551199999999999</v>
      </c>
      <c r="U55" s="815">
        <v>0.105436</v>
      </c>
      <c r="V55" s="815">
        <v>0.105325</v>
      </c>
      <c r="W55" s="815">
        <v>0.10530399999999999</v>
      </c>
      <c r="X55" s="815">
        <v>0.105172</v>
      </c>
      <c r="Y55" s="815">
        <v>0.104923</v>
      </c>
      <c r="Z55" s="815">
        <v>0.104641</v>
      </c>
      <c r="AA55" s="815">
        <v>0.10459</v>
      </c>
      <c r="AB55" s="815">
        <v>0.104849</v>
      </c>
      <c r="AC55" s="815">
        <v>0.10471900000000001</v>
      </c>
      <c r="AD55" s="815">
        <v>0.104751</v>
      </c>
      <c r="AE55" s="815">
        <v>0.105278</v>
      </c>
      <c r="AF55" s="814">
        <v>-4.0439999999999999E-3</v>
      </c>
      <c r="AG55" s="802"/>
    </row>
    <row r="56" spans="1:34" ht="15" customHeight="1">
      <c r="A56" s="800" t="s">
        <v>4458</v>
      </c>
      <c r="B56" s="812" t="s">
        <v>4297</v>
      </c>
      <c r="C56" s="815">
        <v>11.827665</v>
      </c>
      <c r="D56" s="815">
        <v>11.665675999999999</v>
      </c>
      <c r="E56" s="815">
        <v>11.429584</v>
      </c>
      <c r="F56" s="815">
        <v>11.291513</v>
      </c>
      <c r="G56" s="815">
        <v>11.365281</v>
      </c>
      <c r="H56" s="815">
        <v>11.442245</v>
      </c>
      <c r="I56" s="815">
        <v>11.50949</v>
      </c>
      <c r="J56" s="815">
        <v>11.567489</v>
      </c>
      <c r="K56" s="815">
        <v>11.614474</v>
      </c>
      <c r="L56" s="815">
        <v>11.688098999999999</v>
      </c>
      <c r="M56" s="815">
        <v>11.773498999999999</v>
      </c>
      <c r="N56" s="815">
        <v>11.841324999999999</v>
      </c>
      <c r="O56" s="815">
        <v>11.918858</v>
      </c>
      <c r="P56" s="815">
        <v>12.007232999999999</v>
      </c>
      <c r="Q56" s="815">
        <v>12.067780000000001</v>
      </c>
      <c r="R56" s="815">
        <v>12.141351999999999</v>
      </c>
      <c r="S56" s="815">
        <v>12.210711999999999</v>
      </c>
      <c r="T56" s="815">
        <v>12.273244</v>
      </c>
      <c r="U56" s="815">
        <v>12.363865000000001</v>
      </c>
      <c r="V56" s="815">
        <v>12.450054</v>
      </c>
      <c r="W56" s="815">
        <v>12.546855000000001</v>
      </c>
      <c r="X56" s="815">
        <v>12.630257</v>
      </c>
      <c r="Y56" s="815">
        <v>12.699317000000001</v>
      </c>
      <c r="Z56" s="815">
        <v>12.763788</v>
      </c>
      <c r="AA56" s="815">
        <v>12.856173</v>
      </c>
      <c r="AB56" s="815">
        <v>12.986834999999999</v>
      </c>
      <c r="AC56" s="815">
        <v>13.069399000000001</v>
      </c>
      <c r="AD56" s="815">
        <v>13.172124</v>
      </c>
      <c r="AE56" s="815">
        <v>13.337747</v>
      </c>
      <c r="AF56" s="814">
        <v>4.3E-3</v>
      </c>
      <c r="AG56" s="802"/>
    </row>
    <row r="57" spans="1:34" ht="15" customHeight="1">
      <c r="A57" s="800" t="s">
        <v>4459</v>
      </c>
      <c r="B57" s="812" t="s">
        <v>4326</v>
      </c>
      <c r="C57" s="815">
        <v>1.6214980000000001</v>
      </c>
      <c r="D57" s="815">
        <v>1.5483899999999999</v>
      </c>
      <c r="E57" s="815">
        <v>1.4681029999999999</v>
      </c>
      <c r="F57" s="815">
        <v>1.4028940000000001</v>
      </c>
      <c r="G57" s="815">
        <v>1.3651409999999999</v>
      </c>
      <c r="H57" s="815">
        <v>1.327996</v>
      </c>
      <c r="I57" s="815">
        <v>1.2899700000000001</v>
      </c>
      <c r="J57" s="815">
        <v>1.2512209999999999</v>
      </c>
      <c r="K57" s="815">
        <v>1.2116640000000001</v>
      </c>
      <c r="L57" s="815">
        <v>1.1752020000000001</v>
      </c>
      <c r="M57" s="815">
        <v>1.1400859999999999</v>
      </c>
      <c r="N57" s="815">
        <v>1.1034489999999999</v>
      </c>
      <c r="O57" s="815">
        <v>1.0679209999999999</v>
      </c>
      <c r="P57" s="815">
        <v>1.0334909999999999</v>
      </c>
      <c r="Q57" s="815">
        <v>0.99684700000000004</v>
      </c>
      <c r="R57" s="815">
        <v>0.961507</v>
      </c>
      <c r="S57" s="815">
        <v>0.92602700000000004</v>
      </c>
      <c r="T57" s="815">
        <v>0.89025500000000002</v>
      </c>
      <c r="U57" s="815">
        <v>0.85667000000000004</v>
      </c>
      <c r="V57" s="815">
        <v>0.82284900000000005</v>
      </c>
      <c r="W57" s="815">
        <v>0.78977900000000001</v>
      </c>
      <c r="X57" s="815">
        <v>0.75592199999999998</v>
      </c>
      <c r="Y57" s="815">
        <v>0.72134699999999996</v>
      </c>
      <c r="Z57" s="815">
        <v>0.68670600000000004</v>
      </c>
      <c r="AA57" s="815">
        <v>0.65368800000000005</v>
      </c>
      <c r="AB57" s="815">
        <v>0.62254100000000001</v>
      </c>
      <c r="AC57" s="815">
        <v>0.58904199999999995</v>
      </c>
      <c r="AD57" s="815">
        <v>0.55648699999999995</v>
      </c>
      <c r="AE57" s="815">
        <v>0.52639199999999997</v>
      </c>
      <c r="AF57" s="814">
        <v>-3.9384000000000002E-2</v>
      </c>
      <c r="AG57" s="802"/>
    </row>
    <row r="58" spans="1:34" ht="15" customHeight="1">
      <c r="A58" s="800" t="s">
        <v>4460</v>
      </c>
      <c r="B58" s="812" t="s">
        <v>4408</v>
      </c>
      <c r="C58" s="815">
        <v>27.86655</v>
      </c>
      <c r="D58" s="815">
        <v>27.172052000000001</v>
      </c>
      <c r="E58" s="815">
        <v>26.887487</v>
      </c>
      <c r="F58" s="815">
        <v>26.948039999999999</v>
      </c>
      <c r="G58" s="815">
        <v>27.188219</v>
      </c>
      <c r="H58" s="815">
        <v>27.435870999999999</v>
      </c>
      <c r="I58" s="815">
        <v>27.666118999999998</v>
      </c>
      <c r="J58" s="815">
        <v>27.8384</v>
      </c>
      <c r="K58" s="815">
        <v>27.983968999999998</v>
      </c>
      <c r="L58" s="815">
        <v>28.180327999999999</v>
      </c>
      <c r="M58" s="815">
        <v>28.392651000000001</v>
      </c>
      <c r="N58" s="815">
        <v>28.544651000000002</v>
      </c>
      <c r="O58" s="815">
        <v>28.705238000000001</v>
      </c>
      <c r="P58" s="815">
        <v>28.872516999999998</v>
      </c>
      <c r="Q58" s="815">
        <v>29.021630999999999</v>
      </c>
      <c r="R58" s="815">
        <v>29.178946</v>
      </c>
      <c r="S58" s="815">
        <v>29.268452</v>
      </c>
      <c r="T58" s="815">
        <v>29.456842000000002</v>
      </c>
      <c r="U58" s="815">
        <v>29.568156999999999</v>
      </c>
      <c r="V58" s="815">
        <v>29.69455</v>
      </c>
      <c r="W58" s="815">
        <v>29.866925999999999</v>
      </c>
      <c r="X58" s="815">
        <v>30.060925999999998</v>
      </c>
      <c r="Y58" s="815">
        <v>30.188555000000001</v>
      </c>
      <c r="Z58" s="815">
        <v>30.270536</v>
      </c>
      <c r="AA58" s="815">
        <v>30.453565999999999</v>
      </c>
      <c r="AB58" s="815">
        <v>30.680332</v>
      </c>
      <c r="AC58" s="815">
        <v>30.823174000000002</v>
      </c>
      <c r="AD58" s="815">
        <v>30.998069999999998</v>
      </c>
      <c r="AE58" s="815">
        <v>31.261547</v>
      </c>
      <c r="AF58" s="814">
        <v>4.1139999999999996E-3</v>
      </c>
      <c r="AG58" s="802"/>
    </row>
    <row r="59" spans="1:34" ht="15" customHeight="1">
      <c r="A59" s="800" t="s">
        <v>4461</v>
      </c>
      <c r="B59" s="808" t="s">
        <v>4303</v>
      </c>
      <c r="C59" s="816">
        <v>41.433643000000004</v>
      </c>
      <c r="D59" s="816">
        <v>40.501347000000003</v>
      </c>
      <c r="E59" s="816">
        <v>39.897033999999998</v>
      </c>
      <c r="F59" s="816">
        <v>39.751942</v>
      </c>
      <c r="G59" s="816">
        <v>40.027855000000002</v>
      </c>
      <c r="H59" s="816">
        <v>40.315075</v>
      </c>
      <c r="I59" s="816">
        <v>40.574202999999997</v>
      </c>
      <c r="J59" s="816">
        <v>40.765320000000003</v>
      </c>
      <c r="K59" s="816">
        <v>40.917816000000002</v>
      </c>
      <c r="L59" s="816">
        <v>41.151080999999998</v>
      </c>
      <c r="M59" s="816">
        <v>41.413536000000001</v>
      </c>
      <c r="N59" s="816">
        <v>41.596428000000003</v>
      </c>
      <c r="O59" s="816">
        <v>41.798805000000002</v>
      </c>
      <c r="P59" s="816">
        <v>42.019924000000003</v>
      </c>
      <c r="Q59" s="816">
        <v>42.192585000000001</v>
      </c>
      <c r="R59" s="816">
        <v>42.387900999999999</v>
      </c>
      <c r="S59" s="816">
        <v>42.511017000000002</v>
      </c>
      <c r="T59" s="816">
        <v>42.725848999999997</v>
      </c>
      <c r="U59" s="816">
        <v>42.894131000000002</v>
      </c>
      <c r="V59" s="816">
        <v>43.072777000000002</v>
      </c>
      <c r="W59" s="816">
        <v>43.308864999999997</v>
      </c>
      <c r="X59" s="816">
        <v>43.552273</v>
      </c>
      <c r="Y59" s="816">
        <v>43.714146</v>
      </c>
      <c r="Z59" s="816">
        <v>43.825668</v>
      </c>
      <c r="AA59" s="816">
        <v>44.068012000000003</v>
      </c>
      <c r="AB59" s="816">
        <v>44.394562000000001</v>
      </c>
      <c r="AC59" s="816">
        <v>44.586329999999997</v>
      </c>
      <c r="AD59" s="816">
        <v>44.831432</v>
      </c>
      <c r="AE59" s="816">
        <v>45.230964999999998</v>
      </c>
      <c r="AF59" s="810">
        <v>3.137E-3</v>
      </c>
      <c r="AG59" s="802"/>
    </row>
    <row r="60" spans="1:34" ht="15" customHeight="1">
      <c r="B60" s="808" t="s">
        <v>4336</v>
      </c>
      <c r="C60" s="802"/>
      <c r="D60" s="802"/>
      <c r="E60" s="802"/>
      <c r="F60" s="802"/>
      <c r="G60" s="802"/>
      <c r="H60" s="802"/>
      <c r="I60" s="802"/>
      <c r="J60" s="802"/>
      <c r="K60" s="802"/>
      <c r="L60" s="802"/>
      <c r="M60" s="802"/>
      <c r="N60" s="802"/>
      <c r="O60" s="802"/>
      <c r="P60" s="802"/>
      <c r="Q60" s="802"/>
      <c r="R60" s="802"/>
      <c r="S60" s="802"/>
      <c r="T60" s="802"/>
      <c r="U60" s="802"/>
      <c r="V60" s="802"/>
      <c r="W60" s="802"/>
      <c r="X60" s="802"/>
      <c r="Y60" s="802"/>
      <c r="Z60" s="802"/>
      <c r="AA60" s="802"/>
      <c r="AB60" s="802"/>
      <c r="AC60" s="802"/>
      <c r="AD60" s="802"/>
      <c r="AE60" s="802"/>
      <c r="AF60" s="802"/>
      <c r="AG60" s="802"/>
    </row>
    <row r="61" spans="1:34" ht="15" customHeight="1">
      <c r="A61" s="800" t="s">
        <v>4462</v>
      </c>
      <c r="B61" s="812" t="s">
        <v>4338</v>
      </c>
      <c r="C61" s="815">
        <v>3.0225029999999999</v>
      </c>
      <c r="D61" s="815">
        <v>2.9599989999999998</v>
      </c>
      <c r="E61" s="815">
        <v>2.914466</v>
      </c>
      <c r="F61" s="815">
        <v>2.9006270000000001</v>
      </c>
      <c r="G61" s="815">
        <v>2.9206470000000002</v>
      </c>
      <c r="H61" s="815">
        <v>2.9414760000000002</v>
      </c>
      <c r="I61" s="815">
        <v>2.9602170000000001</v>
      </c>
      <c r="J61" s="815">
        <v>2.9744640000000002</v>
      </c>
      <c r="K61" s="815">
        <v>2.9859300000000002</v>
      </c>
      <c r="L61" s="815">
        <v>3.0033460000000001</v>
      </c>
      <c r="M61" s="815">
        <v>3.022996</v>
      </c>
      <c r="N61" s="815">
        <v>3.0371229999999998</v>
      </c>
      <c r="O61" s="815">
        <v>3.0528140000000001</v>
      </c>
      <c r="P61" s="815">
        <v>3.070071</v>
      </c>
      <c r="Q61" s="815">
        <v>3.0832839999999999</v>
      </c>
      <c r="R61" s="815">
        <v>3.0983860000000001</v>
      </c>
      <c r="S61" s="815">
        <v>3.1089380000000002</v>
      </c>
      <c r="T61" s="815">
        <v>3.1247829999999999</v>
      </c>
      <c r="U61" s="815">
        <v>3.138916</v>
      </c>
      <c r="V61" s="815">
        <v>3.1535030000000002</v>
      </c>
      <c r="W61" s="815">
        <v>3.171996</v>
      </c>
      <c r="X61" s="815">
        <v>3.190401</v>
      </c>
      <c r="Y61" s="815">
        <v>3.2032850000000002</v>
      </c>
      <c r="Z61" s="815">
        <v>3.2129300000000001</v>
      </c>
      <c r="AA61" s="815">
        <v>3.2316240000000001</v>
      </c>
      <c r="AB61" s="815">
        <v>3.256955</v>
      </c>
      <c r="AC61" s="815">
        <v>3.2721900000000002</v>
      </c>
      <c r="AD61" s="815">
        <v>3.2914639999999999</v>
      </c>
      <c r="AE61" s="815">
        <v>3.3226239999999998</v>
      </c>
      <c r="AF61" s="814">
        <v>3.3869999999999998E-3</v>
      </c>
      <c r="AG61" s="802"/>
    </row>
    <row r="62" spans="1:34" ht="15" customHeight="1" thickBot="1">
      <c r="A62" s="800" t="s">
        <v>4463</v>
      </c>
      <c r="B62" s="812" t="s">
        <v>4340</v>
      </c>
      <c r="C62" s="815">
        <v>38.411140000000003</v>
      </c>
      <c r="D62" s="815">
        <v>37.541347999999999</v>
      </c>
      <c r="E62" s="815">
        <v>36.982567000000003</v>
      </c>
      <c r="F62" s="815">
        <v>36.851315</v>
      </c>
      <c r="G62" s="815">
        <v>37.107208</v>
      </c>
      <c r="H62" s="815">
        <v>37.373600000000003</v>
      </c>
      <c r="I62" s="815">
        <v>37.613987000000002</v>
      </c>
      <c r="J62" s="815">
        <v>37.790855000000001</v>
      </c>
      <c r="K62" s="815">
        <v>37.931885000000001</v>
      </c>
      <c r="L62" s="815">
        <v>38.147736000000002</v>
      </c>
      <c r="M62" s="815">
        <v>38.390540999999999</v>
      </c>
      <c r="N62" s="815">
        <v>38.559306999999997</v>
      </c>
      <c r="O62" s="815">
        <v>38.745990999999997</v>
      </c>
      <c r="P62" s="815">
        <v>38.949852</v>
      </c>
      <c r="Q62" s="815">
        <v>39.109302999999997</v>
      </c>
      <c r="R62" s="815">
        <v>39.289515999999999</v>
      </c>
      <c r="S62" s="815">
        <v>39.402081000000003</v>
      </c>
      <c r="T62" s="815">
        <v>39.601067</v>
      </c>
      <c r="U62" s="815">
        <v>39.755215</v>
      </c>
      <c r="V62" s="815">
        <v>39.919272999999997</v>
      </c>
      <c r="W62" s="815">
        <v>40.136868</v>
      </c>
      <c r="X62" s="815">
        <v>40.361870000000003</v>
      </c>
      <c r="Y62" s="815">
        <v>40.510860000000001</v>
      </c>
      <c r="Z62" s="815">
        <v>40.612735999999998</v>
      </c>
      <c r="AA62" s="815">
        <v>40.836387999999999</v>
      </c>
      <c r="AB62" s="815">
        <v>41.137608</v>
      </c>
      <c r="AC62" s="815">
        <v>41.314140000000002</v>
      </c>
      <c r="AD62" s="815">
        <v>41.539966999999997</v>
      </c>
      <c r="AE62" s="815">
        <v>41.908340000000003</v>
      </c>
      <c r="AF62" s="814">
        <v>3.117E-3</v>
      </c>
      <c r="AG62" s="802"/>
    </row>
    <row r="63" spans="1:34" ht="15" customHeight="1">
      <c r="B63" s="1258" t="s">
        <v>4417</v>
      </c>
      <c r="C63" s="1259"/>
      <c r="D63" s="1259"/>
      <c r="E63" s="1259"/>
      <c r="F63" s="1259"/>
      <c r="G63" s="1259"/>
      <c r="H63" s="1259"/>
      <c r="I63" s="1259"/>
      <c r="J63" s="1259"/>
      <c r="K63" s="1259"/>
      <c r="L63" s="1259"/>
      <c r="M63" s="1259"/>
      <c r="N63" s="1259"/>
      <c r="O63" s="1259"/>
      <c r="P63" s="1259"/>
      <c r="Q63" s="1259"/>
      <c r="R63" s="1259"/>
      <c r="S63" s="1259"/>
      <c r="T63" s="1259"/>
      <c r="U63" s="1259"/>
      <c r="V63" s="1259"/>
      <c r="W63" s="1259"/>
      <c r="X63" s="1259"/>
      <c r="Y63" s="1259"/>
      <c r="Z63" s="1259"/>
      <c r="AA63" s="1259"/>
      <c r="AB63" s="1259"/>
      <c r="AC63" s="1259"/>
      <c r="AD63" s="1259"/>
      <c r="AE63" s="1259"/>
      <c r="AF63" s="1259"/>
      <c r="AG63" s="1259"/>
      <c r="AH63" s="817"/>
    </row>
    <row r="64" spans="1:34" ht="15" customHeight="1">
      <c r="B64" s="802" t="s">
        <v>4418</v>
      </c>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row>
    <row r="65" spans="2:33" ht="15" customHeight="1">
      <c r="B65" s="802" t="s">
        <v>4419</v>
      </c>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2:33" ht="15" customHeight="1">
      <c r="B66" s="802" t="s">
        <v>4420</v>
      </c>
      <c r="C66" s="802"/>
      <c r="D66" s="802"/>
      <c r="E66" s="802"/>
      <c r="F66" s="802"/>
      <c r="G66" s="802"/>
      <c r="H66" s="802"/>
      <c r="I66" s="802"/>
      <c r="J66" s="802"/>
      <c r="K66" s="802"/>
      <c r="L66" s="802"/>
      <c r="M66" s="802"/>
      <c r="N66" s="802"/>
      <c r="O66" s="802"/>
      <c r="P66" s="802"/>
      <c r="Q66" s="802"/>
      <c r="R66" s="802"/>
      <c r="S66" s="802"/>
      <c r="T66" s="802"/>
      <c r="U66" s="802"/>
      <c r="V66" s="802"/>
      <c r="W66" s="802"/>
      <c r="X66" s="802"/>
      <c r="Y66" s="802"/>
      <c r="Z66" s="802"/>
      <c r="AA66" s="802"/>
      <c r="AB66" s="802"/>
      <c r="AC66" s="802"/>
      <c r="AD66" s="802"/>
      <c r="AE66" s="802"/>
      <c r="AF66" s="802"/>
      <c r="AG66" s="802"/>
    </row>
    <row r="67" spans="2:33" ht="12" customHeight="1">
      <c r="B67" s="802" t="s">
        <v>4421</v>
      </c>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row>
    <row r="68" spans="2:33" ht="15" customHeight="1">
      <c r="B68" s="802" t="s">
        <v>4422</v>
      </c>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row>
    <row r="69" spans="2:33" ht="15" customHeight="1">
      <c r="B69" s="802" t="s">
        <v>4423</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2:33" ht="15" customHeight="1">
      <c r="B70" s="802" t="s">
        <v>4363</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2:33" ht="15" customHeight="1">
      <c r="B71" s="802" t="s">
        <v>4364</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2:33" ht="15" customHeight="1">
      <c r="B72" s="802" t="s">
        <v>4365</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2:33" ht="15" customHeight="1">
      <c r="B73" s="802" t="s">
        <v>4366</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2:33" ht="15" customHeight="1">
      <c r="B74" s="802" t="s">
        <v>4424</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2:33" ht="12" customHeight="1">
      <c r="B75" s="802" t="s">
        <v>4425</v>
      </c>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2:33" ht="15" customHeight="1">
      <c r="B76" s="802"/>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2:33" ht="15" customHeight="1">
      <c r="B77" s="802"/>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2:33" ht="15" customHeight="1">
      <c r="B78" s="802"/>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2:33" ht="15" customHeight="1">
      <c r="B79" s="802"/>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2:33" ht="15" customHeight="1">
      <c r="B80" s="802"/>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2:33" ht="15" customHeight="1">
      <c r="B81" s="802"/>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2" customHeight="1">
      <c r="B83" s="802"/>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t="s">
        <v>1505</v>
      </c>
      <c r="AG84" s="802"/>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63:AG63"/>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C9207-A02B-4914-B07D-73DC9E55D61E}">
  <dimension ref="A1:AH2828"/>
  <sheetViews>
    <sheetView workbookViewId="0">
      <pane xSplit="2" ySplit="1" topLeftCell="C2" activePane="bottomRight" state="frozen"/>
      <selection pane="bottomRight" activeCell="C34" sqref="C34"/>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4464</v>
      </c>
      <c r="B10" s="801" t="s">
        <v>4465</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4466</v>
      </c>
      <c r="B15" s="808" t="s">
        <v>4242</v>
      </c>
      <c r="C15" s="809">
        <v>474.04568499999999</v>
      </c>
      <c r="D15" s="809">
        <v>452.66241500000001</v>
      </c>
      <c r="E15" s="809">
        <v>441.20394900000002</v>
      </c>
      <c r="F15" s="809">
        <v>453.24295000000001</v>
      </c>
      <c r="G15" s="809">
        <v>468.34979199999998</v>
      </c>
      <c r="H15" s="809">
        <v>480.999664</v>
      </c>
      <c r="I15" s="809">
        <v>490.772919</v>
      </c>
      <c r="J15" s="809">
        <v>497.28476000000001</v>
      </c>
      <c r="K15" s="809">
        <v>503.20382699999999</v>
      </c>
      <c r="L15" s="809">
        <v>511.00143400000002</v>
      </c>
      <c r="M15" s="809">
        <v>519.99523899999997</v>
      </c>
      <c r="N15" s="809">
        <v>527.93658400000004</v>
      </c>
      <c r="O15" s="809">
        <v>537.20996100000002</v>
      </c>
      <c r="P15" s="809">
        <v>545.92431599999998</v>
      </c>
      <c r="Q15" s="809">
        <v>552.74749799999995</v>
      </c>
      <c r="R15" s="809">
        <v>560.28912400000002</v>
      </c>
      <c r="S15" s="809">
        <v>566.19134499999996</v>
      </c>
      <c r="T15" s="809">
        <v>573.65039100000001</v>
      </c>
      <c r="U15" s="809">
        <v>582.99743699999999</v>
      </c>
      <c r="V15" s="809">
        <v>591.118652</v>
      </c>
      <c r="W15" s="809">
        <v>598.44317599999999</v>
      </c>
      <c r="X15" s="809">
        <v>605.70812999999998</v>
      </c>
      <c r="Y15" s="809">
        <v>611.42059300000005</v>
      </c>
      <c r="Z15" s="809">
        <v>616.42040999999995</v>
      </c>
      <c r="AA15" s="809">
        <v>624.27166699999998</v>
      </c>
      <c r="AB15" s="809">
        <v>633.372253</v>
      </c>
      <c r="AC15" s="809">
        <v>638.37658699999997</v>
      </c>
      <c r="AD15" s="809">
        <v>645.89202899999998</v>
      </c>
      <c r="AE15" s="809">
        <v>658.58074999999997</v>
      </c>
      <c r="AF15" s="810">
        <v>1.1811E-2</v>
      </c>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B18" s="808" t="s">
        <v>4467</v>
      </c>
      <c r="C18" s="802"/>
      <c r="D18" s="802"/>
      <c r="E18" s="802"/>
      <c r="F18" s="802"/>
      <c r="G18" s="802"/>
      <c r="H18" s="802"/>
      <c r="I18" s="802"/>
      <c r="J18" s="802"/>
      <c r="K18" s="802"/>
      <c r="L18" s="802"/>
      <c r="M18" s="802"/>
      <c r="N18" s="802"/>
      <c r="O18" s="802"/>
      <c r="P18" s="802"/>
      <c r="Q18" s="802"/>
      <c r="R18" s="802"/>
      <c r="S18" s="802"/>
      <c r="T18" s="802"/>
      <c r="U18" s="802"/>
      <c r="V18" s="802"/>
      <c r="W18" s="802"/>
      <c r="X18" s="802"/>
      <c r="Y18" s="802"/>
      <c r="Z18" s="802"/>
      <c r="AA18" s="802"/>
      <c r="AB18" s="802"/>
      <c r="AC18" s="802"/>
      <c r="AD18" s="802"/>
      <c r="AE18" s="802"/>
      <c r="AF18" s="802"/>
      <c r="AG18" s="802"/>
    </row>
    <row r="19" spans="1:33" ht="15" customHeight="1">
      <c r="A19" s="800" t="s">
        <v>4468</v>
      </c>
      <c r="B19" s="812" t="s">
        <v>4283</v>
      </c>
      <c r="C19" s="813">
        <v>5.1067619999999998</v>
      </c>
      <c r="D19" s="813">
        <v>5.163932</v>
      </c>
      <c r="E19" s="813">
        <v>3.6573579999999999</v>
      </c>
      <c r="F19" s="813">
        <v>3.1207549999999999</v>
      </c>
      <c r="G19" s="813">
        <v>2.4266040000000002</v>
      </c>
      <c r="H19" s="813">
        <v>1.9254389999999999</v>
      </c>
      <c r="I19" s="813">
        <v>1.593917</v>
      </c>
      <c r="J19" s="813">
        <v>1.5596749999999999</v>
      </c>
      <c r="K19" s="813">
        <v>1.5614950000000001</v>
      </c>
      <c r="L19" s="813">
        <v>1.597604</v>
      </c>
      <c r="M19" s="813">
        <v>1.6516010000000001</v>
      </c>
      <c r="N19" s="813">
        <v>1.730175</v>
      </c>
      <c r="O19" s="813">
        <v>1.799552</v>
      </c>
      <c r="P19" s="813">
        <v>1.8647929999999999</v>
      </c>
      <c r="Q19" s="813">
        <v>1.8806929999999999</v>
      </c>
      <c r="R19" s="813">
        <v>1.9133359999999999</v>
      </c>
      <c r="S19" s="813">
        <v>1.9796339999999999</v>
      </c>
      <c r="T19" s="813">
        <v>1.961152</v>
      </c>
      <c r="U19" s="813">
        <v>2.0492159999999999</v>
      </c>
      <c r="V19" s="813">
        <v>2.100333</v>
      </c>
      <c r="W19" s="813">
        <v>2.118754</v>
      </c>
      <c r="X19" s="813">
        <v>2.0999270000000001</v>
      </c>
      <c r="Y19" s="813">
        <v>2.0960700000000001</v>
      </c>
      <c r="Z19" s="813">
        <v>2.0976029999999999</v>
      </c>
      <c r="AA19" s="813">
        <v>2.0901360000000002</v>
      </c>
      <c r="AB19" s="813">
        <v>2.096568</v>
      </c>
      <c r="AC19" s="813">
        <v>2.075942</v>
      </c>
      <c r="AD19" s="813">
        <v>2.0520070000000001</v>
      </c>
      <c r="AE19" s="813">
        <v>2.0759300000000001</v>
      </c>
      <c r="AF19" s="814">
        <v>-3.1636999999999998E-2</v>
      </c>
      <c r="AG19" s="802"/>
    </row>
    <row r="20" spans="1:33" ht="15" customHeight="1">
      <c r="A20" s="800" t="s">
        <v>4469</v>
      </c>
      <c r="B20" s="812" t="s">
        <v>4285</v>
      </c>
      <c r="C20" s="813">
        <v>0.88726799999999995</v>
      </c>
      <c r="D20" s="813">
        <v>0.93139799999999995</v>
      </c>
      <c r="E20" s="813">
        <v>0.93392299999999995</v>
      </c>
      <c r="F20" s="813">
        <v>0.97021999999999997</v>
      </c>
      <c r="G20" s="813">
        <v>0.99783100000000002</v>
      </c>
      <c r="H20" s="813">
        <v>1.031747</v>
      </c>
      <c r="I20" s="813">
        <v>1.0653030000000001</v>
      </c>
      <c r="J20" s="813">
        <v>1.0564519999999999</v>
      </c>
      <c r="K20" s="813">
        <v>1.0496479999999999</v>
      </c>
      <c r="L20" s="813">
        <v>1.0368139999999999</v>
      </c>
      <c r="M20" s="813">
        <v>1.029012</v>
      </c>
      <c r="N20" s="813">
        <v>1.022403</v>
      </c>
      <c r="O20" s="813">
        <v>1.0193559999999999</v>
      </c>
      <c r="P20" s="813">
        <v>1.0151520000000001</v>
      </c>
      <c r="Q20" s="813">
        <v>1.012626</v>
      </c>
      <c r="R20" s="813">
        <v>1.0083800000000001</v>
      </c>
      <c r="S20" s="813">
        <v>1.003584</v>
      </c>
      <c r="T20" s="813">
        <v>0.99990900000000005</v>
      </c>
      <c r="U20" s="813">
        <v>0.99788100000000002</v>
      </c>
      <c r="V20" s="813">
        <v>0.99278299999999997</v>
      </c>
      <c r="W20" s="813">
        <v>0.99219599999999997</v>
      </c>
      <c r="X20" s="813">
        <v>0.98779899999999998</v>
      </c>
      <c r="Y20" s="813">
        <v>0.98656200000000005</v>
      </c>
      <c r="Z20" s="813">
        <v>0.981321</v>
      </c>
      <c r="AA20" s="813">
        <v>0.974688</v>
      </c>
      <c r="AB20" s="813">
        <v>0.97250899999999996</v>
      </c>
      <c r="AC20" s="813">
        <v>0.96750899999999995</v>
      </c>
      <c r="AD20" s="813">
        <v>0.962731</v>
      </c>
      <c r="AE20" s="813">
        <v>0.96286499999999997</v>
      </c>
      <c r="AF20" s="814">
        <v>2.9239999999999999E-3</v>
      </c>
      <c r="AG20" s="802"/>
    </row>
    <row r="21" spans="1:33" ht="15" customHeight="1">
      <c r="A21" s="800" t="s">
        <v>4470</v>
      </c>
      <c r="B21" s="812" t="s">
        <v>4471</v>
      </c>
      <c r="C21" s="813">
        <v>0</v>
      </c>
      <c r="D21" s="813">
        <v>0</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5" customHeight="1">
      <c r="A22" s="800" t="s">
        <v>4472</v>
      </c>
      <c r="B22" s="812" t="s">
        <v>4289</v>
      </c>
      <c r="C22" s="813">
        <v>0</v>
      </c>
      <c r="D22" s="813">
        <v>0</v>
      </c>
      <c r="E22" s="813">
        <v>0</v>
      </c>
      <c r="F22" s="813">
        <v>0</v>
      </c>
      <c r="G22" s="813">
        <v>0</v>
      </c>
      <c r="H22" s="813">
        <v>0</v>
      </c>
      <c r="I22" s="813">
        <v>0</v>
      </c>
      <c r="J22" s="813">
        <v>0</v>
      </c>
      <c r="K22" s="813">
        <v>0</v>
      </c>
      <c r="L22" s="813">
        <v>0</v>
      </c>
      <c r="M22" s="813">
        <v>0</v>
      </c>
      <c r="N22" s="813">
        <v>0</v>
      </c>
      <c r="O22" s="813">
        <v>0</v>
      </c>
      <c r="P22" s="813">
        <v>0</v>
      </c>
      <c r="Q22" s="813">
        <v>0</v>
      </c>
      <c r="R22" s="813">
        <v>0</v>
      </c>
      <c r="S22" s="813">
        <v>0</v>
      </c>
      <c r="T22" s="813">
        <v>0</v>
      </c>
      <c r="U22" s="813">
        <v>0</v>
      </c>
      <c r="V22" s="813">
        <v>0</v>
      </c>
      <c r="W22" s="813">
        <v>0</v>
      </c>
      <c r="X22" s="813">
        <v>0</v>
      </c>
      <c r="Y22" s="813">
        <v>0</v>
      </c>
      <c r="Z22" s="813">
        <v>0</v>
      </c>
      <c r="AA22" s="813">
        <v>0</v>
      </c>
      <c r="AB22" s="813">
        <v>0</v>
      </c>
      <c r="AC22" s="813">
        <v>0</v>
      </c>
      <c r="AD22" s="813">
        <v>0</v>
      </c>
      <c r="AE22" s="813">
        <v>0</v>
      </c>
      <c r="AF22" s="814" t="s">
        <v>2805</v>
      </c>
      <c r="AG22" s="802"/>
    </row>
    <row r="23" spans="1:33" ht="15" customHeight="1">
      <c r="A23" s="800" t="s">
        <v>4473</v>
      </c>
      <c r="B23" s="812" t="s">
        <v>4474</v>
      </c>
      <c r="C23" s="813">
        <v>375.57421900000003</v>
      </c>
      <c r="D23" s="813">
        <v>245.963776</v>
      </c>
      <c r="E23" s="813">
        <v>194.81152299999999</v>
      </c>
      <c r="F23" s="813">
        <v>189.915131</v>
      </c>
      <c r="G23" s="813">
        <v>166.12382500000001</v>
      </c>
      <c r="H23" s="813">
        <v>146.87081900000001</v>
      </c>
      <c r="I23" s="813">
        <v>134.430679</v>
      </c>
      <c r="J23" s="813">
        <v>144.28454600000001</v>
      </c>
      <c r="K23" s="813">
        <v>156.25143399999999</v>
      </c>
      <c r="L23" s="813">
        <v>170.91301000000001</v>
      </c>
      <c r="M23" s="813">
        <v>186.019577</v>
      </c>
      <c r="N23" s="813">
        <v>202.60408000000001</v>
      </c>
      <c r="O23" s="813">
        <v>215.974121</v>
      </c>
      <c r="P23" s="813">
        <v>225.973724</v>
      </c>
      <c r="Q23" s="813">
        <v>228.27088900000001</v>
      </c>
      <c r="R23" s="813">
        <v>232.546616</v>
      </c>
      <c r="S23" s="813">
        <v>241.19052099999999</v>
      </c>
      <c r="T23" s="813">
        <v>239.09977699999999</v>
      </c>
      <c r="U23" s="813">
        <v>250.347183</v>
      </c>
      <c r="V23" s="813">
        <v>257.07043499999997</v>
      </c>
      <c r="W23" s="813">
        <v>259.77685500000001</v>
      </c>
      <c r="X23" s="813">
        <v>257.76187099999999</v>
      </c>
      <c r="Y23" s="813">
        <v>257.440247</v>
      </c>
      <c r="Z23" s="813">
        <v>258.26815800000003</v>
      </c>
      <c r="AA23" s="813">
        <v>261.687836</v>
      </c>
      <c r="AB23" s="813">
        <v>262.79589800000002</v>
      </c>
      <c r="AC23" s="813">
        <v>260.60632299999997</v>
      </c>
      <c r="AD23" s="813">
        <v>258.47976699999998</v>
      </c>
      <c r="AE23" s="813">
        <v>261.98779300000001</v>
      </c>
      <c r="AF23" s="814">
        <v>-1.278E-2</v>
      </c>
      <c r="AG23" s="802"/>
    </row>
    <row r="24" spans="1:33" ht="15" customHeight="1">
      <c r="A24" s="800" t="s">
        <v>4475</v>
      </c>
      <c r="B24" s="812" t="s">
        <v>4295</v>
      </c>
      <c r="C24" s="813">
        <v>381.56823700000001</v>
      </c>
      <c r="D24" s="813">
        <v>252.059113</v>
      </c>
      <c r="E24" s="813">
        <v>199.40280200000001</v>
      </c>
      <c r="F24" s="813">
        <v>194.00610399999999</v>
      </c>
      <c r="G24" s="813">
        <v>169.54826399999999</v>
      </c>
      <c r="H24" s="813">
        <v>149.828003</v>
      </c>
      <c r="I24" s="813">
        <v>137.08990499999999</v>
      </c>
      <c r="J24" s="813">
        <v>146.900665</v>
      </c>
      <c r="K24" s="813">
        <v>158.86257900000001</v>
      </c>
      <c r="L24" s="813">
        <v>173.54742400000001</v>
      </c>
      <c r="M24" s="813">
        <v>188.70019500000001</v>
      </c>
      <c r="N24" s="813">
        <v>205.35665900000001</v>
      </c>
      <c r="O24" s="813">
        <v>218.79302999999999</v>
      </c>
      <c r="P24" s="813">
        <v>228.853668</v>
      </c>
      <c r="Q24" s="813">
        <v>231.16421500000001</v>
      </c>
      <c r="R24" s="813">
        <v>235.46833799999999</v>
      </c>
      <c r="S24" s="813">
        <v>244.17373699999999</v>
      </c>
      <c r="T24" s="813">
        <v>242.06083699999999</v>
      </c>
      <c r="U24" s="813">
        <v>253.39428699999999</v>
      </c>
      <c r="V24" s="813">
        <v>260.163544</v>
      </c>
      <c r="W24" s="813">
        <v>262.88781699999998</v>
      </c>
      <c r="X24" s="813">
        <v>260.84960899999999</v>
      </c>
      <c r="Y24" s="813">
        <v>260.52288800000002</v>
      </c>
      <c r="Z24" s="813">
        <v>261.34707600000002</v>
      </c>
      <c r="AA24" s="813">
        <v>264.752655</v>
      </c>
      <c r="AB24" s="813">
        <v>265.86498999999998</v>
      </c>
      <c r="AC24" s="813">
        <v>263.64978000000002</v>
      </c>
      <c r="AD24" s="813">
        <v>261.494507</v>
      </c>
      <c r="AE24" s="813">
        <v>265.02658100000002</v>
      </c>
      <c r="AF24" s="814">
        <v>-1.2932000000000001E-2</v>
      </c>
      <c r="AG24" s="802"/>
    </row>
    <row r="25" spans="1:33" ht="15" customHeight="1">
      <c r="A25" s="800" t="s">
        <v>4476</v>
      </c>
      <c r="B25" s="812" t="s">
        <v>4297</v>
      </c>
      <c r="C25" s="813">
        <v>2203.9245609999998</v>
      </c>
      <c r="D25" s="813">
        <v>2037.0261230000001</v>
      </c>
      <c r="E25" s="813">
        <v>2073.6467290000001</v>
      </c>
      <c r="F25" s="813">
        <v>2153.4067380000001</v>
      </c>
      <c r="G25" s="813">
        <v>2267.3676759999998</v>
      </c>
      <c r="H25" s="813">
        <v>2353.3178710000002</v>
      </c>
      <c r="I25" s="813">
        <v>2415.0043949999999</v>
      </c>
      <c r="J25" s="813">
        <v>2437.7189939999998</v>
      </c>
      <c r="K25" s="813">
        <v>2454.9648440000001</v>
      </c>
      <c r="L25" s="813">
        <v>2477.9738769999999</v>
      </c>
      <c r="M25" s="813">
        <v>2506.5527339999999</v>
      </c>
      <c r="N25" s="813">
        <v>2531.5341800000001</v>
      </c>
      <c r="O25" s="813">
        <v>2566.404297</v>
      </c>
      <c r="P25" s="813">
        <v>2602.6323240000002</v>
      </c>
      <c r="Q25" s="813">
        <v>2638.7553710000002</v>
      </c>
      <c r="R25" s="813">
        <v>2676.2829590000001</v>
      </c>
      <c r="S25" s="813">
        <v>2703.0815429999998</v>
      </c>
      <c r="T25" s="813">
        <v>2747.9853520000001</v>
      </c>
      <c r="U25" s="813">
        <v>2788.7973630000001</v>
      </c>
      <c r="V25" s="813">
        <v>2829.8120119999999</v>
      </c>
      <c r="W25" s="813">
        <v>2870.7612300000001</v>
      </c>
      <c r="X25" s="813">
        <v>2915.9113769999999</v>
      </c>
      <c r="Y25" s="813">
        <v>2953.2954100000002</v>
      </c>
      <c r="Z25" s="813">
        <v>2986.6596679999998</v>
      </c>
      <c r="AA25" s="813">
        <v>3030.2485350000002</v>
      </c>
      <c r="AB25" s="813">
        <v>3081.850586</v>
      </c>
      <c r="AC25" s="813">
        <v>3118.5776369999999</v>
      </c>
      <c r="AD25" s="813">
        <v>3167.194336</v>
      </c>
      <c r="AE25" s="813">
        <v>3234.1987300000001</v>
      </c>
      <c r="AF25" s="814">
        <v>1.3792E-2</v>
      </c>
      <c r="AG25" s="802"/>
    </row>
    <row r="26" spans="1:33" ht="15" customHeight="1">
      <c r="A26" s="800" t="s">
        <v>4477</v>
      </c>
      <c r="B26" s="812" t="s">
        <v>4478</v>
      </c>
      <c r="C26" s="813">
        <v>61.002913999999997</v>
      </c>
      <c r="D26" s="813">
        <v>57.126334999999997</v>
      </c>
      <c r="E26" s="813">
        <v>57.823596999999999</v>
      </c>
      <c r="F26" s="813">
        <v>58.575522999999997</v>
      </c>
      <c r="G26" s="813">
        <v>59.305008000000001</v>
      </c>
      <c r="H26" s="813">
        <v>59.983699999999999</v>
      </c>
      <c r="I26" s="813">
        <v>60.600147</v>
      </c>
      <c r="J26" s="813">
        <v>61.144587999999999</v>
      </c>
      <c r="K26" s="813">
        <v>61.612639999999999</v>
      </c>
      <c r="L26" s="813">
        <v>62.002761999999997</v>
      </c>
      <c r="M26" s="813">
        <v>62.306702000000001</v>
      </c>
      <c r="N26" s="813">
        <v>62.515396000000003</v>
      </c>
      <c r="O26" s="813">
        <v>62.627643999999997</v>
      </c>
      <c r="P26" s="813">
        <v>62.638412000000002</v>
      </c>
      <c r="Q26" s="813">
        <v>62.590691</v>
      </c>
      <c r="R26" s="813">
        <v>62.543700999999999</v>
      </c>
      <c r="S26" s="813">
        <v>62.488742999999999</v>
      </c>
      <c r="T26" s="813">
        <v>62.439545000000003</v>
      </c>
      <c r="U26" s="813">
        <v>62.397644</v>
      </c>
      <c r="V26" s="813">
        <v>62.350693</v>
      </c>
      <c r="W26" s="813">
        <v>62.301833999999999</v>
      </c>
      <c r="X26" s="813">
        <v>62.251094999999999</v>
      </c>
      <c r="Y26" s="813">
        <v>62.197609</v>
      </c>
      <c r="Z26" s="813">
        <v>62.140053000000002</v>
      </c>
      <c r="AA26" s="813">
        <v>62.093299999999999</v>
      </c>
      <c r="AB26" s="813">
        <v>62.048648999999997</v>
      </c>
      <c r="AC26" s="813">
        <v>61.991211</v>
      </c>
      <c r="AD26" s="813">
        <v>61.942596000000002</v>
      </c>
      <c r="AE26" s="813">
        <v>61.909283000000002</v>
      </c>
      <c r="AF26" s="814">
        <v>5.2700000000000002E-4</v>
      </c>
      <c r="AG26" s="802"/>
    </row>
    <row r="27" spans="1:33" ht="15" customHeight="1">
      <c r="A27" s="800" t="s">
        <v>4479</v>
      </c>
      <c r="B27" s="812" t="s">
        <v>4480</v>
      </c>
      <c r="C27" s="813">
        <v>6.7099999999999998E-3</v>
      </c>
      <c r="D27" s="813">
        <v>6.7429999999999999E-3</v>
      </c>
      <c r="E27" s="813">
        <v>6.7520000000000002E-3</v>
      </c>
      <c r="F27" s="813">
        <v>6.7609999999999996E-3</v>
      </c>
      <c r="G27" s="813">
        <v>6.77E-3</v>
      </c>
      <c r="H27" s="813">
        <v>6.7780000000000002E-3</v>
      </c>
      <c r="I27" s="813">
        <v>6.7860000000000004E-3</v>
      </c>
      <c r="J27" s="813">
        <v>6.7930000000000004E-3</v>
      </c>
      <c r="K27" s="813">
        <v>6.7990000000000004E-3</v>
      </c>
      <c r="L27" s="813">
        <v>6.8040000000000002E-3</v>
      </c>
      <c r="M27" s="813">
        <v>6.8079999999999998E-3</v>
      </c>
      <c r="N27" s="813">
        <v>6.8110000000000002E-3</v>
      </c>
      <c r="O27" s="813">
        <v>6.8120000000000003E-3</v>
      </c>
      <c r="P27" s="813">
        <v>6.8129999999999996E-3</v>
      </c>
      <c r="Q27" s="813">
        <v>6.8129999999999996E-3</v>
      </c>
      <c r="R27" s="813">
        <v>6.8129999999999996E-3</v>
      </c>
      <c r="S27" s="813">
        <v>6.8129999999999996E-3</v>
      </c>
      <c r="T27" s="813">
        <v>6.8129999999999996E-3</v>
      </c>
      <c r="U27" s="813">
        <v>6.8129999999999996E-3</v>
      </c>
      <c r="V27" s="813">
        <v>6.8129999999999996E-3</v>
      </c>
      <c r="W27" s="813">
        <v>6.8129999999999996E-3</v>
      </c>
      <c r="X27" s="813">
        <v>6.8129999999999996E-3</v>
      </c>
      <c r="Y27" s="813">
        <v>6.8129999999999996E-3</v>
      </c>
      <c r="Z27" s="813">
        <v>6.8129999999999996E-3</v>
      </c>
      <c r="AA27" s="813">
        <v>6.8129999999999996E-3</v>
      </c>
      <c r="AB27" s="813">
        <v>6.8129999999999996E-3</v>
      </c>
      <c r="AC27" s="813">
        <v>6.8129999999999996E-3</v>
      </c>
      <c r="AD27" s="813">
        <v>6.8129999999999996E-3</v>
      </c>
      <c r="AE27" s="813">
        <v>6.8129999999999996E-3</v>
      </c>
      <c r="AF27" s="814">
        <v>5.44E-4</v>
      </c>
      <c r="AG27" s="802"/>
    </row>
    <row r="28" spans="1:33" ht="15" customHeight="1">
      <c r="A28" s="800" t="s">
        <v>4481</v>
      </c>
      <c r="B28" s="812" t="s">
        <v>4301</v>
      </c>
      <c r="C28" s="813">
        <v>393.10766599999999</v>
      </c>
      <c r="D28" s="813">
        <v>390.86587500000002</v>
      </c>
      <c r="E28" s="813">
        <v>383.44613600000002</v>
      </c>
      <c r="F28" s="813">
        <v>391.99514799999997</v>
      </c>
      <c r="G28" s="813">
        <v>401.93255599999998</v>
      </c>
      <c r="H28" s="813">
        <v>410.72827100000001</v>
      </c>
      <c r="I28" s="813">
        <v>416.316193</v>
      </c>
      <c r="J28" s="813">
        <v>418.005066</v>
      </c>
      <c r="K28" s="813">
        <v>418.565338</v>
      </c>
      <c r="L28" s="813">
        <v>420.921875</v>
      </c>
      <c r="M28" s="813">
        <v>424.32257099999998</v>
      </c>
      <c r="N28" s="813">
        <v>426.11901899999998</v>
      </c>
      <c r="O28" s="813">
        <v>429.632812</v>
      </c>
      <c r="P28" s="813">
        <v>432.64621</v>
      </c>
      <c r="Q28" s="813">
        <v>432.79571499999997</v>
      </c>
      <c r="R28" s="813">
        <v>433.55218500000001</v>
      </c>
      <c r="S28" s="813">
        <v>432.237549</v>
      </c>
      <c r="T28" s="813">
        <v>432.12271099999998</v>
      </c>
      <c r="U28" s="813">
        <v>434.29037499999998</v>
      </c>
      <c r="V28" s="813">
        <v>434.940247</v>
      </c>
      <c r="W28" s="813">
        <v>434.35607900000002</v>
      </c>
      <c r="X28" s="813">
        <v>433.51165800000001</v>
      </c>
      <c r="Y28" s="813">
        <v>430.947205</v>
      </c>
      <c r="Z28" s="813">
        <v>427.79113799999999</v>
      </c>
      <c r="AA28" s="813">
        <v>429.51791400000002</v>
      </c>
      <c r="AB28" s="813">
        <v>430.31677200000001</v>
      </c>
      <c r="AC28" s="813">
        <v>427.02047700000003</v>
      </c>
      <c r="AD28" s="813">
        <v>425.724243</v>
      </c>
      <c r="AE28" s="813">
        <v>429.52868699999999</v>
      </c>
      <c r="AF28" s="814">
        <v>3.1689999999999999E-3</v>
      </c>
      <c r="AG28" s="802"/>
    </row>
    <row r="29" spans="1:33" ht="15" customHeight="1">
      <c r="A29" s="800" t="s">
        <v>4482</v>
      </c>
      <c r="B29" s="812" t="s">
        <v>4483</v>
      </c>
      <c r="C29" s="813">
        <v>3039.6098630000001</v>
      </c>
      <c r="D29" s="813">
        <v>2737.0842290000001</v>
      </c>
      <c r="E29" s="813">
        <v>2714.3259280000002</v>
      </c>
      <c r="F29" s="813">
        <v>2797.9902339999999</v>
      </c>
      <c r="G29" s="813">
        <v>2898.1604000000002</v>
      </c>
      <c r="H29" s="813">
        <v>2973.8647460000002</v>
      </c>
      <c r="I29" s="813">
        <v>3029.0173340000001</v>
      </c>
      <c r="J29" s="813">
        <v>3063.7761230000001</v>
      </c>
      <c r="K29" s="813">
        <v>3094.0122070000002</v>
      </c>
      <c r="L29" s="813">
        <v>3134.4526369999999</v>
      </c>
      <c r="M29" s="813">
        <v>3181.8889159999999</v>
      </c>
      <c r="N29" s="813">
        <v>3225.5322270000001</v>
      </c>
      <c r="O29" s="813">
        <v>3277.4645999999998</v>
      </c>
      <c r="P29" s="813">
        <v>3326.7775879999999</v>
      </c>
      <c r="Q29" s="813">
        <v>3365.3127439999998</v>
      </c>
      <c r="R29" s="813">
        <v>3407.8540039999998</v>
      </c>
      <c r="S29" s="813">
        <v>3441.9885250000002</v>
      </c>
      <c r="T29" s="813">
        <v>3484.6152339999999</v>
      </c>
      <c r="U29" s="813">
        <v>3538.8864749999998</v>
      </c>
      <c r="V29" s="813">
        <v>3587.273193</v>
      </c>
      <c r="W29" s="813">
        <v>3630.3134770000001</v>
      </c>
      <c r="X29" s="813">
        <v>3672.530518</v>
      </c>
      <c r="Y29" s="813">
        <v>3706.969971</v>
      </c>
      <c r="Z29" s="813">
        <v>3737.9448240000002</v>
      </c>
      <c r="AA29" s="813">
        <v>3786.6191410000001</v>
      </c>
      <c r="AB29" s="813">
        <v>3840.0878910000001</v>
      </c>
      <c r="AC29" s="813">
        <v>3871.2460940000001</v>
      </c>
      <c r="AD29" s="813">
        <v>3916.3627929999998</v>
      </c>
      <c r="AE29" s="813">
        <v>3990.669922</v>
      </c>
      <c r="AF29" s="814">
        <v>9.7699999999999992E-3</v>
      </c>
      <c r="AG29" s="802"/>
    </row>
    <row r="30" spans="1:33" ht="15" customHeight="1">
      <c r="B30" s="808" t="s">
        <v>4484</v>
      </c>
      <c r="C30" s="802"/>
      <c r="D30" s="802"/>
      <c r="E30" s="802"/>
      <c r="F30" s="802"/>
      <c r="G30" s="802"/>
      <c r="H30" s="802"/>
      <c r="I30" s="802"/>
      <c r="J30" s="802"/>
      <c r="K30" s="802"/>
      <c r="L30" s="802"/>
      <c r="M30" s="802"/>
      <c r="N30" s="802"/>
      <c r="O30" s="802"/>
      <c r="P30" s="802"/>
      <c r="Q30" s="802"/>
      <c r="R30" s="802"/>
      <c r="S30" s="802"/>
      <c r="T30" s="802"/>
      <c r="U30" s="802"/>
      <c r="V30" s="802"/>
      <c r="W30" s="802"/>
      <c r="X30" s="802"/>
      <c r="Y30" s="802"/>
      <c r="Z30" s="802"/>
      <c r="AA30" s="802"/>
      <c r="AB30" s="802"/>
      <c r="AC30" s="802"/>
      <c r="AD30" s="802"/>
      <c r="AE30" s="802"/>
      <c r="AF30" s="802"/>
      <c r="AG30" s="802"/>
    </row>
    <row r="31" spans="1:33" ht="15" customHeight="1">
      <c r="A31" s="800" t="s">
        <v>4485</v>
      </c>
      <c r="B31" s="812" t="s">
        <v>4486</v>
      </c>
      <c r="C31" s="813">
        <v>3668.5</v>
      </c>
      <c r="D31" s="813">
        <v>3780.6999510000001</v>
      </c>
      <c r="E31" s="813">
        <v>3672.1108399999998</v>
      </c>
      <c r="F31" s="813">
        <v>3758.908203</v>
      </c>
      <c r="G31" s="813">
        <v>3868.2783199999999</v>
      </c>
      <c r="H31" s="813">
        <v>3947.9487300000001</v>
      </c>
      <c r="I31" s="813">
        <v>4005.2937010000001</v>
      </c>
      <c r="J31" s="813">
        <v>4039.6442870000001</v>
      </c>
      <c r="K31" s="813">
        <v>4068.0852049999999</v>
      </c>
      <c r="L31" s="813">
        <v>4111.875</v>
      </c>
      <c r="M31" s="813">
        <v>4165.2734380000002</v>
      </c>
      <c r="N31" s="813">
        <v>4209.298828</v>
      </c>
      <c r="O31" s="813">
        <v>4261.8232420000004</v>
      </c>
      <c r="P31" s="813">
        <v>4304.4423829999996</v>
      </c>
      <c r="Q31" s="813">
        <v>4338.248047</v>
      </c>
      <c r="R31" s="813">
        <v>4378.0463870000003</v>
      </c>
      <c r="S31" s="813">
        <v>4403.6767579999996</v>
      </c>
      <c r="T31" s="813">
        <v>4449.1567379999997</v>
      </c>
      <c r="U31" s="813">
        <v>4505.361328</v>
      </c>
      <c r="V31" s="813">
        <v>4551.2895509999998</v>
      </c>
      <c r="W31" s="813">
        <v>4591.142578</v>
      </c>
      <c r="X31" s="813">
        <v>4637.8603519999997</v>
      </c>
      <c r="Y31" s="813">
        <v>4672.5170900000003</v>
      </c>
      <c r="Z31" s="813">
        <v>4702.5532229999999</v>
      </c>
      <c r="AA31" s="813">
        <v>4750.0283200000003</v>
      </c>
      <c r="AB31" s="813">
        <v>4809.6416019999997</v>
      </c>
      <c r="AC31" s="813">
        <v>4837.7431640000004</v>
      </c>
      <c r="AD31" s="813">
        <v>4880.7153319999998</v>
      </c>
      <c r="AE31" s="813">
        <v>4965.4433589999999</v>
      </c>
      <c r="AF31" s="814">
        <v>1.0869999999999999E-2</v>
      </c>
      <c r="AG31" s="802"/>
    </row>
    <row r="32" spans="1:33" ht="15" customHeight="1">
      <c r="A32" s="800" t="s">
        <v>4487</v>
      </c>
      <c r="B32" s="812" t="s">
        <v>4488</v>
      </c>
      <c r="C32" s="813">
        <v>410.5</v>
      </c>
      <c r="D32" s="813">
        <v>412.29998799999998</v>
      </c>
      <c r="E32" s="813">
        <v>422.73202500000002</v>
      </c>
      <c r="F32" s="813">
        <v>422.73202500000002</v>
      </c>
      <c r="G32" s="813">
        <v>422.73202500000002</v>
      </c>
      <c r="H32" s="813">
        <v>422.73202500000002</v>
      </c>
      <c r="I32" s="813">
        <v>422.73202500000002</v>
      </c>
      <c r="J32" s="813">
        <v>422.73202500000002</v>
      </c>
      <c r="K32" s="813">
        <v>422.73202500000002</v>
      </c>
      <c r="L32" s="813">
        <v>422.73202500000002</v>
      </c>
      <c r="M32" s="813">
        <v>422.73202500000002</v>
      </c>
      <c r="N32" s="813">
        <v>422.73202500000002</v>
      </c>
      <c r="O32" s="813">
        <v>422.73202500000002</v>
      </c>
      <c r="P32" s="813">
        <v>422.73202500000002</v>
      </c>
      <c r="Q32" s="813">
        <v>422.73202500000002</v>
      </c>
      <c r="R32" s="813">
        <v>422.73202500000002</v>
      </c>
      <c r="S32" s="813">
        <v>422.73202500000002</v>
      </c>
      <c r="T32" s="813">
        <v>422.73202500000002</v>
      </c>
      <c r="U32" s="813">
        <v>422.73202500000002</v>
      </c>
      <c r="V32" s="813">
        <v>422.73202500000002</v>
      </c>
      <c r="W32" s="813">
        <v>422.73202500000002</v>
      </c>
      <c r="X32" s="813">
        <v>422.73202500000002</v>
      </c>
      <c r="Y32" s="813">
        <v>422.73202500000002</v>
      </c>
      <c r="Z32" s="813">
        <v>422.73202500000002</v>
      </c>
      <c r="AA32" s="813">
        <v>422.73202500000002</v>
      </c>
      <c r="AB32" s="813">
        <v>422.73202500000002</v>
      </c>
      <c r="AC32" s="813">
        <v>422.73202500000002</v>
      </c>
      <c r="AD32" s="813">
        <v>422.73202500000002</v>
      </c>
      <c r="AE32" s="813">
        <v>422.73202500000002</v>
      </c>
      <c r="AF32" s="814">
        <v>1.049E-3</v>
      </c>
      <c r="AG32" s="802"/>
    </row>
    <row r="33" spans="1:33" ht="15" customHeight="1">
      <c r="A33" s="800" t="s">
        <v>4489</v>
      </c>
      <c r="B33" s="812" t="s">
        <v>4490</v>
      </c>
      <c r="C33" s="813">
        <v>524.29827899999998</v>
      </c>
      <c r="D33" s="813">
        <v>594.91705300000001</v>
      </c>
      <c r="E33" s="813">
        <v>550</v>
      </c>
      <c r="F33" s="813">
        <v>550</v>
      </c>
      <c r="G33" s="813">
        <v>550</v>
      </c>
      <c r="H33" s="813">
        <v>550</v>
      </c>
      <c r="I33" s="813">
        <v>550</v>
      </c>
      <c r="J33" s="813">
        <v>550</v>
      </c>
      <c r="K33" s="813">
        <v>550</v>
      </c>
      <c r="L33" s="813">
        <v>550</v>
      </c>
      <c r="M33" s="813">
        <v>550</v>
      </c>
      <c r="N33" s="813">
        <v>550</v>
      </c>
      <c r="O33" s="813">
        <v>550</v>
      </c>
      <c r="P33" s="813">
        <v>550</v>
      </c>
      <c r="Q33" s="813">
        <v>550</v>
      </c>
      <c r="R33" s="813">
        <v>550</v>
      </c>
      <c r="S33" s="813">
        <v>550</v>
      </c>
      <c r="T33" s="813">
        <v>550</v>
      </c>
      <c r="U33" s="813">
        <v>550</v>
      </c>
      <c r="V33" s="813">
        <v>550</v>
      </c>
      <c r="W33" s="813">
        <v>550</v>
      </c>
      <c r="X33" s="813">
        <v>550</v>
      </c>
      <c r="Y33" s="813">
        <v>550</v>
      </c>
      <c r="Z33" s="813">
        <v>550</v>
      </c>
      <c r="AA33" s="813">
        <v>550</v>
      </c>
      <c r="AB33" s="813">
        <v>550</v>
      </c>
      <c r="AC33" s="813">
        <v>550</v>
      </c>
      <c r="AD33" s="813">
        <v>550</v>
      </c>
      <c r="AE33" s="813">
        <v>550</v>
      </c>
      <c r="AF33" s="814">
        <v>1.7110000000000001E-3</v>
      </c>
      <c r="AG33" s="802"/>
    </row>
    <row r="34" spans="1:33" ht="12" customHeight="1">
      <c r="A34" s="800" t="s">
        <v>4491</v>
      </c>
      <c r="B34" s="812" t="s">
        <v>4297</v>
      </c>
      <c r="C34" s="813">
        <v>1106.1000979999999</v>
      </c>
      <c r="D34" s="813">
        <v>1105.099976</v>
      </c>
      <c r="E34" s="813">
        <v>1097.0505370000001</v>
      </c>
      <c r="F34" s="813">
        <v>1126.3320309999999</v>
      </c>
      <c r="G34" s="813">
        <v>1160.8107910000001</v>
      </c>
      <c r="H34" s="813">
        <v>1187.1539310000001</v>
      </c>
      <c r="I34" s="813">
        <v>1205.1839600000001</v>
      </c>
      <c r="J34" s="813">
        <v>1218.776001</v>
      </c>
      <c r="K34" s="813">
        <v>1229.8989260000001</v>
      </c>
      <c r="L34" s="813">
        <v>1244.7185059999999</v>
      </c>
      <c r="M34" s="813">
        <v>1268.9420170000001</v>
      </c>
      <c r="N34" s="813">
        <v>1283.1464840000001</v>
      </c>
      <c r="O34" s="813">
        <v>1301.1782229999999</v>
      </c>
      <c r="P34" s="813">
        <v>1317.505981</v>
      </c>
      <c r="Q34" s="813">
        <v>1330.8188479999999</v>
      </c>
      <c r="R34" s="813">
        <v>1344.2613530000001</v>
      </c>
      <c r="S34" s="813">
        <v>1356.202759</v>
      </c>
      <c r="T34" s="813">
        <v>1364.907471</v>
      </c>
      <c r="U34" s="813">
        <v>1375.977783</v>
      </c>
      <c r="V34" s="813">
        <v>1387.110107</v>
      </c>
      <c r="W34" s="813">
        <v>1393.8405760000001</v>
      </c>
      <c r="X34" s="813">
        <v>1397.1594239999999</v>
      </c>
      <c r="Y34" s="813">
        <v>1396.5073239999999</v>
      </c>
      <c r="Z34" s="813">
        <v>1393.98938</v>
      </c>
      <c r="AA34" s="813">
        <v>1398.0267329999999</v>
      </c>
      <c r="AB34" s="813">
        <v>1406.2957759999999</v>
      </c>
      <c r="AC34" s="813">
        <v>1406.5201420000001</v>
      </c>
      <c r="AD34" s="813">
        <v>1410.7044679999999</v>
      </c>
      <c r="AE34" s="813">
        <v>1425.208862</v>
      </c>
      <c r="AF34" s="814">
        <v>9.0939999999999997E-3</v>
      </c>
      <c r="AG34" s="802"/>
    </row>
    <row r="35" spans="1:33" ht="12" customHeight="1">
      <c r="A35" s="800" t="s">
        <v>4492</v>
      </c>
      <c r="B35" s="812" t="s">
        <v>4493</v>
      </c>
      <c r="C35" s="813">
        <v>5298.8984380000002</v>
      </c>
      <c r="D35" s="813">
        <v>5480.7172849999997</v>
      </c>
      <c r="E35" s="813">
        <v>5319.1611329999996</v>
      </c>
      <c r="F35" s="813">
        <v>5435.2402339999999</v>
      </c>
      <c r="G35" s="813">
        <v>5579.0888670000004</v>
      </c>
      <c r="H35" s="813">
        <v>5685.1025390000004</v>
      </c>
      <c r="I35" s="813">
        <v>5760.4780270000001</v>
      </c>
      <c r="J35" s="813">
        <v>5808.4204099999997</v>
      </c>
      <c r="K35" s="813">
        <v>5847.9838870000003</v>
      </c>
      <c r="L35" s="813">
        <v>5906.59375</v>
      </c>
      <c r="M35" s="813">
        <v>5984.2153319999998</v>
      </c>
      <c r="N35" s="813">
        <v>6042.4453119999998</v>
      </c>
      <c r="O35" s="813">
        <v>6113.0014650000003</v>
      </c>
      <c r="P35" s="813">
        <v>6171.9482420000004</v>
      </c>
      <c r="Q35" s="813">
        <v>6219.0668949999999</v>
      </c>
      <c r="R35" s="813">
        <v>6272.3076170000004</v>
      </c>
      <c r="S35" s="813">
        <v>6309.8793949999999</v>
      </c>
      <c r="T35" s="813">
        <v>6364.064453</v>
      </c>
      <c r="U35" s="813">
        <v>6431.3388670000004</v>
      </c>
      <c r="V35" s="813">
        <v>6488.3994140000004</v>
      </c>
      <c r="W35" s="813">
        <v>6534.9833980000003</v>
      </c>
      <c r="X35" s="813">
        <v>6585.0195309999999</v>
      </c>
      <c r="Y35" s="813">
        <v>6619.0244140000004</v>
      </c>
      <c r="Z35" s="813">
        <v>6646.5424800000001</v>
      </c>
      <c r="AA35" s="813">
        <v>6698.0551759999998</v>
      </c>
      <c r="AB35" s="813">
        <v>6765.9375</v>
      </c>
      <c r="AC35" s="813">
        <v>6794.2631840000004</v>
      </c>
      <c r="AD35" s="813">
        <v>6841.419922</v>
      </c>
      <c r="AE35" s="813">
        <v>6940.6523440000001</v>
      </c>
      <c r="AF35" s="814">
        <v>9.6860000000000002E-3</v>
      </c>
      <c r="AG35" s="802"/>
    </row>
    <row r="36" spans="1:33" ht="12" customHeight="1">
      <c r="A36" s="800" t="s">
        <v>4494</v>
      </c>
      <c r="B36" s="808" t="s">
        <v>4495</v>
      </c>
      <c r="C36" s="811">
        <v>8338.5078119999998</v>
      </c>
      <c r="D36" s="811">
        <v>8217.8017579999996</v>
      </c>
      <c r="E36" s="811">
        <v>8033.4873049999997</v>
      </c>
      <c r="F36" s="811">
        <v>8233.2304690000001</v>
      </c>
      <c r="G36" s="811">
        <v>8477.2490230000003</v>
      </c>
      <c r="H36" s="811">
        <v>8658.9667969999991</v>
      </c>
      <c r="I36" s="811">
        <v>8789.4951170000004</v>
      </c>
      <c r="J36" s="811">
        <v>8872.1962889999995</v>
      </c>
      <c r="K36" s="811">
        <v>8941.9960940000001</v>
      </c>
      <c r="L36" s="811">
        <v>9041.046875</v>
      </c>
      <c r="M36" s="811">
        <v>9166.1044920000004</v>
      </c>
      <c r="N36" s="811">
        <v>9267.9775389999995</v>
      </c>
      <c r="O36" s="811">
        <v>9390.4658199999994</v>
      </c>
      <c r="P36" s="811">
        <v>9498.7255860000005</v>
      </c>
      <c r="Q36" s="811">
        <v>9584.3798829999996</v>
      </c>
      <c r="R36" s="811">
        <v>9680.1621090000008</v>
      </c>
      <c r="S36" s="811">
        <v>9751.8681639999995</v>
      </c>
      <c r="T36" s="811">
        <v>9848.6796880000002</v>
      </c>
      <c r="U36" s="811">
        <v>9970.2255860000005</v>
      </c>
      <c r="V36" s="811">
        <v>10075.672852</v>
      </c>
      <c r="W36" s="811">
        <v>10165.296875</v>
      </c>
      <c r="X36" s="811">
        <v>10257.549805000001</v>
      </c>
      <c r="Y36" s="811">
        <v>10325.994140999999</v>
      </c>
      <c r="Z36" s="811">
        <v>10384.487305000001</v>
      </c>
      <c r="AA36" s="811">
        <v>10484.673828000001</v>
      </c>
      <c r="AB36" s="811">
        <v>10606.025390999999</v>
      </c>
      <c r="AC36" s="811">
        <v>10665.509765999999</v>
      </c>
      <c r="AD36" s="811">
        <v>10757.783203000001</v>
      </c>
      <c r="AE36" s="811">
        <v>10931.322265999999</v>
      </c>
      <c r="AF36" s="810">
        <v>9.7169999999999999E-3</v>
      </c>
      <c r="AG36" s="802"/>
    </row>
    <row r="37" spans="1:33" ht="12" customHeight="1">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row>
    <row r="38" spans="1:33" ht="12" customHeight="1">
      <c r="B38" s="808" t="s">
        <v>4388</v>
      </c>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row>
    <row r="39" spans="1:33" ht="12" customHeight="1">
      <c r="B39" s="808" t="s">
        <v>4389</v>
      </c>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row>
    <row r="40" spans="1:33" ht="12" customHeight="1">
      <c r="B40" s="808" t="s">
        <v>4467</v>
      </c>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row>
    <row r="41" spans="1:33" ht="12" customHeight="1">
      <c r="A41" s="800" t="s">
        <v>4496</v>
      </c>
      <c r="B41" s="812" t="s">
        <v>4283</v>
      </c>
      <c r="C41" s="815">
        <v>1.0773E-2</v>
      </c>
      <c r="D41" s="815">
        <v>1.1408E-2</v>
      </c>
      <c r="E41" s="815">
        <v>8.2889999999999995E-3</v>
      </c>
      <c r="F41" s="815">
        <v>6.8849999999999996E-3</v>
      </c>
      <c r="G41" s="815">
        <v>5.1809999999999998E-3</v>
      </c>
      <c r="H41" s="815">
        <v>4.0029999999999996E-3</v>
      </c>
      <c r="I41" s="815">
        <v>3.248E-3</v>
      </c>
      <c r="J41" s="815">
        <v>3.1359999999999999E-3</v>
      </c>
      <c r="K41" s="815">
        <v>3.1029999999999999E-3</v>
      </c>
      <c r="L41" s="815">
        <v>3.1259999999999999E-3</v>
      </c>
      <c r="M41" s="815">
        <v>3.176E-3</v>
      </c>
      <c r="N41" s="815">
        <v>3.277E-3</v>
      </c>
      <c r="O41" s="815">
        <v>3.3500000000000001E-3</v>
      </c>
      <c r="P41" s="815">
        <v>3.4160000000000002E-3</v>
      </c>
      <c r="Q41" s="815">
        <v>3.4020000000000001E-3</v>
      </c>
      <c r="R41" s="815">
        <v>3.4150000000000001E-3</v>
      </c>
      <c r="S41" s="815">
        <v>3.496E-3</v>
      </c>
      <c r="T41" s="815">
        <v>3.4190000000000002E-3</v>
      </c>
      <c r="U41" s="815">
        <v>3.5149999999999999E-3</v>
      </c>
      <c r="V41" s="815">
        <v>3.5530000000000002E-3</v>
      </c>
      <c r="W41" s="815">
        <v>3.5400000000000002E-3</v>
      </c>
      <c r="X41" s="815">
        <v>3.467E-3</v>
      </c>
      <c r="Y41" s="815">
        <v>3.4280000000000001E-3</v>
      </c>
      <c r="Z41" s="815">
        <v>3.4030000000000002E-3</v>
      </c>
      <c r="AA41" s="815">
        <v>3.3479999999999998E-3</v>
      </c>
      <c r="AB41" s="815">
        <v>3.31E-3</v>
      </c>
      <c r="AC41" s="815">
        <v>3.2520000000000001E-3</v>
      </c>
      <c r="AD41" s="815">
        <v>3.1770000000000001E-3</v>
      </c>
      <c r="AE41" s="815">
        <v>3.1519999999999999E-3</v>
      </c>
      <c r="AF41" s="814">
        <v>-4.2941E-2</v>
      </c>
      <c r="AG41" s="802"/>
    </row>
    <row r="42" spans="1:33" ht="12" customHeight="1">
      <c r="A42" s="800" t="s">
        <v>4497</v>
      </c>
      <c r="B42" s="812" t="s">
        <v>4285</v>
      </c>
      <c r="C42" s="815">
        <v>1.872E-3</v>
      </c>
      <c r="D42" s="815">
        <v>2.0579999999999999E-3</v>
      </c>
      <c r="E42" s="815">
        <v>2.117E-3</v>
      </c>
      <c r="F42" s="815">
        <v>2.1410000000000001E-3</v>
      </c>
      <c r="G42" s="815">
        <v>2.1310000000000001E-3</v>
      </c>
      <c r="H42" s="815">
        <v>2.1450000000000002E-3</v>
      </c>
      <c r="I42" s="815">
        <v>2.1710000000000002E-3</v>
      </c>
      <c r="J42" s="815">
        <v>2.124E-3</v>
      </c>
      <c r="K42" s="815">
        <v>2.0860000000000002E-3</v>
      </c>
      <c r="L42" s="815">
        <v>2.029E-3</v>
      </c>
      <c r="M42" s="815">
        <v>1.9789999999999999E-3</v>
      </c>
      <c r="N42" s="815">
        <v>1.9369999999999999E-3</v>
      </c>
      <c r="O42" s="815">
        <v>1.8979999999999999E-3</v>
      </c>
      <c r="P42" s="815">
        <v>1.8600000000000001E-3</v>
      </c>
      <c r="Q42" s="815">
        <v>1.8320000000000001E-3</v>
      </c>
      <c r="R42" s="815">
        <v>1.8E-3</v>
      </c>
      <c r="S42" s="815">
        <v>1.7730000000000001E-3</v>
      </c>
      <c r="T42" s="815">
        <v>1.743E-3</v>
      </c>
      <c r="U42" s="815">
        <v>1.712E-3</v>
      </c>
      <c r="V42" s="815">
        <v>1.6789999999999999E-3</v>
      </c>
      <c r="W42" s="815">
        <v>1.658E-3</v>
      </c>
      <c r="X42" s="815">
        <v>1.6310000000000001E-3</v>
      </c>
      <c r="Y42" s="815">
        <v>1.614E-3</v>
      </c>
      <c r="Z42" s="815">
        <v>1.5920000000000001E-3</v>
      </c>
      <c r="AA42" s="815">
        <v>1.5610000000000001E-3</v>
      </c>
      <c r="AB42" s="815">
        <v>1.5349999999999999E-3</v>
      </c>
      <c r="AC42" s="815">
        <v>1.516E-3</v>
      </c>
      <c r="AD42" s="815">
        <v>1.4909999999999999E-3</v>
      </c>
      <c r="AE42" s="815">
        <v>1.462E-3</v>
      </c>
      <c r="AF42" s="814">
        <v>-8.7829999999999991E-3</v>
      </c>
      <c r="AG42" s="802"/>
    </row>
    <row r="43" spans="1:33" ht="12" customHeight="1">
      <c r="A43" s="800" t="s">
        <v>4498</v>
      </c>
      <c r="B43" s="812" t="s">
        <v>4471</v>
      </c>
      <c r="C43" s="815">
        <v>0</v>
      </c>
      <c r="D43" s="815">
        <v>0</v>
      </c>
      <c r="E43" s="815">
        <v>0</v>
      </c>
      <c r="F43" s="815">
        <v>0</v>
      </c>
      <c r="G43" s="815">
        <v>0</v>
      </c>
      <c r="H43" s="815">
        <v>0</v>
      </c>
      <c r="I43" s="815">
        <v>0</v>
      </c>
      <c r="J43" s="815">
        <v>0</v>
      </c>
      <c r="K43" s="815">
        <v>0</v>
      </c>
      <c r="L43" s="815">
        <v>0</v>
      </c>
      <c r="M43" s="815">
        <v>0</v>
      </c>
      <c r="N43" s="815">
        <v>0</v>
      </c>
      <c r="O43" s="815">
        <v>0</v>
      </c>
      <c r="P43" s="815">
        <v>0</v>
      </c>
      <c r="Q43" s="815">
        <v>0</v>
      </c>
      <c r="R43" s="815">
        <v>0</v>
      </c>
      <c r="S43" s="815">
        <v>0</v>
      </c>
      <c r="T43" s="815">
        <v>0</v>
      </c>
      <c r="U43" s="815">
        <v>0</v>
      </c>
      <c r="V43" s="815">
        <v>0</v>
      </c>
      <c r="W43" s="815">
        <v>0</v>
      </c>
      <c r="X43" s="815">
        <v>0</v>
      </c>
      <c r="Y43" s="815">
        <v>0</v>
      </c>
      <c r="Z43" s="815">
        <v>0</v>
      </c>
      <c r="AA43" s="815">
        <v>0</v>
      </c>
      <c r="AB43" s="815">
        <v>0</v>
      </c>
      <c r="AC43" s="815">
        <v>0</v>
      </c>
      <c r="AD43" s="815">
        <v>0</v>
      </c>
      <c r="AE43" s="815">
        <v>0</v>
      </c>
      <c r="AF43" s="814" t="s">
        <v>2805</v>
      </c>
      <c r="AG43" s="802"/>
    </row>
    <row r="44" spans="1:33" ht="12" customHeight="1">
      <c r="A44" s="800" t="s">
        <v>4499</v>
      </c>
      <c r="B44" s="812" t="s">
        <v>4289</v>
      </c>
      <c r="C44" s="815">
        <v>0</v>
      </c>
      <c r="D44" s="815">
        <v>0</v>
      </c>
      <c r="E44" s="815">
        <v>0</v>
      </c>
      <c r="F44" s="815">
        <v>0</v>
      </c>
      <c r="G44" s="815">
        <v>0</v>
      </c>
      <c r="H44" s="815">
        <v>0</v>
      </c>
      <c r="I44" s="815">
        <v>0</v>
      </c>
      <c r="J44" s="815">
        <v>0</v>
      </c>
      <c r="K44" s="815">
        <v>0</v>
      </c>
      <c r="L44" s="815">
        <v>0</v>
      </c>
      <c r="M44" s="815">
        <v>0</v>
      </c>
      <c r="N44" s="815">
        <v>0</v>
      </c>
      <c r="O44" s="815">
        <v>0</v>
      </c>
      <c r="P44" s="815">
        <v>0</v>
      </c>
      <c r="Q44" s="815">
        <v>0</v>
      </c>
      <c r="R44" s="815">
        <v>0</v>
      </c>
      <c r="S44" s="815">
        <v>0</v>
      </c>
      <c r="T44" s="815">
        <v>0</v>
      </c>
      <c r="U44" s="815">
        <v>0</v>
      </c>
      <c r="V44" s="815">
        <v>0</v>
      </c>
      <c r="W44" s="815">
        <v>0</v>
      </c>
      <c r="X44" s="815">
        <v>0</v>
      </c>
      <c r="Y44" s="815">
        <v>0</v>
      </c>
      <c r="Z44" s="815">
        <v>0</v>
      </c>
      <c r="AA44" s="815">
        <v>0</v>
      </c>
      <c r="AB44" s="815">
        <v>0</v>
      </c>
      <c r="AC44" s="815">
        <v>0</v>
      </c>
      <c r="AD44" s="815">
        <v>0</v>
      </c>
      <c r="AE44" s="815">
        <v>0</v>
      </c>
      <c r="AF44" s="814" t="s">
        <v>2805</v>
      </c>
      <c r="AG44" s="802"/>
    </row>
    <row r="45" spans="1:33" ht="12" customHeight="1">
      <c r="A45" s="800" t="s">
        <v>4500</v>
      </c>
      <c r="B45" s="812" t="s">
        <v>4474</v>
      </c>
      <c r="C45" s="815">
        <v>0.79227400000000003</v>
      </c>
      <c r="D45" s="815">
        <v>0.54337100000000005</v>
      </c>
      <c r="E45" s="815">
        <v>0.44154500000000002</v>
      </c>
      <c r="F45" s="815">
        <v>0.419014</v>
      </c>
      <c r="G45" s="815">
        <v>0.35470000000000002</v>
      </c>
      <c r="H45" s="815">
        <v>0.30534499999999998</v>
      </c>
      <c r="I45" s="815">
        <v>0.27391599999999999</v>
      </c>
      <c r="J45" s="815">
        <v>0.29014499999999999</v>
      </c>
      <c r="K45" s="815">
        <v>0.31051299999999998</v>
      </c>
      <c r="L45" s="815">
        <v>0.33446700000000001</v>
      </c>
      <c r="M45" s="815">
        <v>0.35773300000000002</v>
      </c>
      <c r="N45" s="815">
        <v>0.383766</v>
      </c>
      <c r="O45" s="815">
        <v>0.40202900000000003</v>
      </c>
      <c r="P45" s="815">
        <v>0.41392899999999999</v>
      </c>
      <c r="Q45" s="815">
        <v>0.41297499999999998</v>
      </c>
      <c r="R45" s="815">
        <v>0.41504799999999997</v>
      </c>
      <c r="S45" s="815">
        <v>0.42598799999999998</v>
      </c>
      <c r="T45" s="815">
        <v>0.41680400000000001</v>
      </c>
      <c r="U45" s="815">
        <v>0.42941400000000002</v>
      </c>
      <c r="V45" s="815">
        <v>0.434888</v>
      </c>
      <c r="W45" s="815">
        <v>0.43408799999999997</v>
      </c>
      <c r="X45" s="815">
        <v>0.42555500000000002</v>
      </c>
      <c r="Y45" s="815">
        <v>0.42105300000000001</v>
      </c>
      <c r="Z45" s="815">
        <v>0.41898099999999999</v>
      </c>
      <c r="AA45" s="815">
        <v>0.41918899999999998</v>
      </c>
      <c r="AB45" s="815">
        <v>0.41491499999999998</v>
      </c>
      <c r="AC45" s="815">
        <v>0.40823300000000001</v>
      </c>
      <c r="AD45" s="815">
        <v>0.40018999999999999</v>
      </c>
      <c r="AE45" s="815">
        <v>0.39780700000000002</v>
      </c>
      <c r="AF45" s="814">
        <v>-2.4305E-2</v>
      </c>
      <c r="AG45" s="802"/>
    </row>
    <row r="46" spans="1:33" ht="12" customHeight="1">
      <c r="A46" s="800" t="s">
        <v>4501</v>
      </c>
      <c r="B46" s="812" t="s">
        <v>4295</v>
      </c>
      <c r="C46" s="815">
        <v>0.80491900000000005</v>
      </c>
      <c r="D46" s="815">
        <v>0.55683700000000003</v>
      </c>
      <c r="E46" s="815">
        <v>0.45195200000000002</v>
      </c>
      <c r="F46" s="815">
        <v>0.42803999999999998</v>
      </c>
      <c r="G46" s="815">
        <v>0.362012</v>
      </c>
      <c r="H46" s="815">
        <v>0.31149300000000002</v>
      </c>
      <c r="I46" s="815">
        <v>0.279335</v>
      </c>
      <c r="J46" s="815">
        <v>0.295406</v>
      </c>
      <c r="K46" s="815">
        <v>0.31570199999999998</v>
      </c>
      <c r="L46" s="815">
        <v>0.33962199999999998</v>
      </c>
      <c r="M46" s="815">
        <v>0.36288799999999999</v>
      </c>
      <c r="N46" s="815">
        <v>0.38897999999999999</v>
      </c>
      <c r="O46" s="815">
        <v>0.407277</v>
      </c>
      <c r="P46" s="815">
        <v>0.41920400000000002</v>
      </c>
      <c r="Q46" s="815">
        <v>0.418209</v>
      </c>
      <c r="R46" s="815">
        <v>0.42026200000000002</v>
      </c>
      <c r="S46" s="815">
        <v>0.431257</v>
      </c>
      <c r="T46" s="815">
        <v>0.42196600000000001</v>
      </c>
      <c r="U46" s="815">
        <v>0.43464000000000003</v>
      </c>
      <c r="V46" s="815">
        <v>0.44012099999999998</v>
      </c>
      <c r="W46" s="815">
        <v>0.43928600000000001</v>
      </c>
      <c r="X46" s="815">
        <v>0.43065199999999998</v>
      </c>
      <c r="Y46" s="815">
        <v>0.42609399999999997</v>
      </c>
      <c r="Z46" s="815">
        <v>0.42397499999999999</v>
      </c>
      <c r="AA46" s="815">
        <v>0.42409799999999997</v>
      </c>
      <c r="AB46" s="815">
        <v>0.419761</v>
      </c>
      <c r="AC46" s="815">
        <v>0.41299999999999998</v>
      </c>
      <c r="AD46" s="815">
        <v>0.404858</v>
      </c>
      <c r="AE46" s="815">
        <v>0.40242099999999997</v>
      </c>
      <c r="AF46" s="814">
        <v>-2.4455000000000001E-2</v>
      </c>
      <c r="AG46" s="802"/>
    </row>
    <row r="47" spans="1:33" ht="12" customHeight="1">
      <c r="A47" s="800" t="s">
        <v>4502</v>
      </c>
      <c r="B47" s="812" t="s">
        <v>4297</v>
      </c>
      <c r="C47" s="815">
        <v>4.6491819999999997</v>
      </c>
      <c r="D47" s="815">
        <v>4.5000999999999998</v>
      </c>
      <c r="E47" s="815">
        <v>4.699973</v>
      </c>
      <c r="F47" s="815">
        <v>4.7511089999999996</v>
      </c>
      <c r="G47" s="815">
        <v>4.8411840000000002</v>
      </c>
      <c r="H47" s="815">
        <v>4.8925559999999999</v>
      </c>
      <c r="I47" s="815">
        <v>4.9208179999999997</v>
      </c>
      <c r="J47" s="815">
        <v>4.9020590000000004</v>
      </c>
      <c r="K47" s="815">
        <v>4.8786690000000004</v>
      </c>
      <c r="L47" s="815">
        <v>4.8492499999999996</v>
      </c>
      <c r="M47" s="815">
        <v>4.8203379999999996</v>
      </c>
      <c r="N47" s="815">
        <v>4.7951480000000002</v>
      </c>
      <c r="O47" s="815">
        <v>4.7772839999999999</v>
      </c>
      <c r="P47" s="815">
        <v>4.7673870000000003</v>
      </c>
      <c r="Q47" s="815">
        <v>4.7738899999999997</v>
      </c>
      <c r="R47" s="815">
        <v>4.7766099999999998</v>
      </c>
      <c r="S47" s="815">
        <v>4.7741480000000003</v>
      </c>
      <c r="T47" s="815">
        <v>4.790349</v>
      </c>
      <c r="U47" s="815">
        <v>4.78355</v>
      </c>
      <c r="V47" s="815">
        <v>4.7872149999999998</v>
      </c>
      <c r="W47" s="815">
        <v>4.7970490000000003</v>
      </c>
      <c r="X47" s="815">
        <v>4.8140539999999996</v>
      </c>
      <c r="Y47" s="815">
        <v>4.8302189999999996</v>
      </c>
      <c r="Z47" s="815">
        <v>4.845167</v>
      </c>
      <c r="AA47" s="815">
        <v>4.8540539999999996</v>
      </c>
      <c r="AB47" s="815">
        <v>4.8657810000000001</v>
      </c>
      <c r="AC47" s="815">
        <v>4.8851690000000003</v>
      </c>
      <c r="AD47" s="815">
        <v>4.9035970000000004</v>
      </c>
      <c r="AE47" s="815">
        <v>4.9108609999999997</v>
      </c>
      <c r="AF47" s="814">
        <v>1.9580000000000001E-3</v>
      </c>
      <c r="AG47" s="802"/>
    </row>
    <row r="48" spans="1:33" ht="12" customHeight="1">
      <c r="A48" s="800" t="s">
        <v>4503</v>
      </c>
      <c r="B48" s="812" t="s">
        <v>4478</v>
      </c>
      <c r="C48" s="815">
        <v>0.12868599999999999</v>
      </c>
      <c r="D48" s="815">
        <v>0.12620100000000001</v>
      </c>
      <c r="E48" s="815">
        <v>0.13105900000000001</v>
      </c>
      <c r="F48" s="815">
        <v>0.12923599999999999</v>
      </c>
      <c r="G48" s="815">
        <v>0.12662499999999999</v>
      </c>
      <c r="H48" s="815">
        <v>0.124706</v>
      </c>
      <c r="I48" s="815">
        <v>0.12347900000000001</v>
      </c>
      <c r="J48" s="815">
        <v>0.122957</v>
      </c>
      <c r="K48" s="815">
        <v>0.12244099999999999</v>
      </c>
      <c r="L48" s="815">
        <v>0.121336</v>
      </c>
      <c r="M48" s="815">
        <v>0.119822</v>
      </c>
      <c r="N48" s="815">
        <v>0.11841500000000001</v>
      </c>
      <c r="O48" s="815">
        <v>0.116579</v>
      </c>
      <c r="P48" s="815">
        <v>0.11473800000000001</v>
      </c>
      <c r="Q48" s="815">
        <v>0.113236</v>
      </c>
      <c r="R48" s="815">
        <v>0.111628</v>
      </c>
      <c r="S48" s="815">
        <v>0.11036700000000001</v>
      </c>
      <c r="T48" s="815">
        <v>0.108846</v>
      </c>
      <c r="U48" s="815">
        <v>0.107029</v>
      </c>
      <c r="V48" s="815">
        <v>0.105479</v>
      </c>
      <c r="W48" s="815">
        <v>0.10410700000000001</v>
      </c>
      <c r="X48" s="815">
        <v>0.102774</v>
      </c>
      <c r="Y48" s="815">
        <v>0.101726</v>
      </c>
      <c r="Z48" s="815">
        <v>0.10080799999999999</v>
      </c>
      <c r="AA48" s="815">
        <v>9.9464999999999998E-2</v>
      </c>
      <c r="AB48" s="815">
        <v>9.7965999999999998E-2</v>
      </c>
      <c r="AC48" s="815">
        <v>9.7108E-2</v>
      </c>
      <c r="AD48" s="815">
        <v>9.5902000000000001E-2</v>
      </c>
      <c r="AE48" s="815">
        <v>9.4004000000000004E-2</v>
      </c>
      <c r="AF48" s="814">
        <v>-1.1153E-2</v>
      </c>
      <c r="AG48" s="802"/>
    </row>
    <row r="49" spans="1:33" ht="12" customHeight="1">
      <c r="A49" s="800" t="s">
        <v>4504</v>
      </c>
      <c r="B49" s="812" t="s">
        <v>4480</v>
      </c>
      <c r="C49" s="815">
        <v>1.4E-5</v>
      </c>
      <c r="D49" s="815">
        <v>1.5E-5</v>
      </c>
      <c r="E49" s="815">
        <v>1.5E-5</v>
      </c>
      <c r="F49" s="815">
        <v>1.5E-5</v>
      </c>
      <c r="G49" s="815">
        <v>1.4E-5</v>
      </c>
      <c r="H49" s="815">
        <v>1.4E-5</v>
      </c>
      <c r="I49" s="815">
        <v>1.4E-5</v>
      </c>
      <c r="J49" s="815">
        <v>1.4E-5</v>
      </c>
      <c r="K49" s="815">
        <v>1.4E-5</v>
      </c>
      <c r="L49" s="815">
        <v>1.2999999999999999E-5</v>
      </c>
      <c r="M49" s="815">
        <v>1.2999999999999999E-5</v>
      </c>
      <c r="N49" s="815">
        <v>1.2999999999999999E-5</v>
      </c>
      <c r="O49" s="815">
        <v>1.2999999999999999E-5</v>
      </c>
      <c r="P49" s="815">
        <v>1.2E-5</v>
      </c>
      <c r="Q49" s="815">
        <v>1.2E-5</v>
      </c>
      <c r="R49" s="815">
        <v>1.2E-5</v>
      </c>
      <c r="S49" s="815">
        <v>1.2E-5</v>
      </c>
      <c r="T49" s="815">
        <v>1.2E-5</v>
      </c>
      <c r="U49" s="815">
        <v>1.2E-5</v>
      </c>
      <c r="V49" s="815">
        <v>1.2E-5</v>
      </c>
      <c r="W49" s="815">
        <v>1.1E-5</v>
      </c>
      <c r="X49" s="815">
        <v>1.1E-5</v>
      </c>
      <c r="Y49" s="815">
        <v>1.1E-5</v>
      </c>
      <c r="Z49" s="815">
        <v>1.1E-5</v>
      </c>
      <c r="AA49" s="815">
        <v>1.1E-5</v>
      </c>
      <c r="AB49" s="815">
        <v>1.1E-5</v>
      </c>
      <c r="AC49" s="815">
        <v>1.1E-5</v>
      </c>
      <c r="AD49" s="815">
        <v>1.1E-5</v>
      </c>
      <c r="AE49" s="815">
        <v>1.0000000000000001E-5</v>
      </c>
      <c r="AF49" s="814">
        <v>-1.1136E-2</v>
      </c>
      <c r="AG49" s="802"/>
    </row>
    <row r="50" spans="1:33" ht="15" customHeight="1">
      <c r="A50" s="800" t="s">
        <v>4505</v>
      </c>
      <c r="B50" s="812" t="s">
        <v>4301</v>
      </c>
      <c r="C50" s="815">
        <v>0.82926100000000003</v>
      </c>
      <c r="D50" s="815">
        <v>0.86348199999999997</v>
      </c>
      <c r="E50" s="815">
        <v>0.86909000000000003</v>
      </c>
      <c r="F50" s="815">
        <v>0.86486799999999997</v>
      </c>
      <c r="G50" s="815">
        <v>0.85818899999999998</v>
      </c>
      <c r="H50" s="815">
        <v>0.85390500000000003</v>
      </c>
      <c r="I50" s="815">
        <v>0.84828700000000001</v>
      </c>
      <c r="J50" s="815">
        <v>0.84057499999999996</v>
      </c>
      <c r="K50" s="815">
        <v>0.83180100000000001</v>
      </c>
      <c r="L50" s="815">
        <v>0.82372000000000001</v>
      </c>
      <c r="M50" s="815">
        <v>0.81601199999999996</v>
      </c>
      <c r="N50" s="815">
        <v>0.807141</v>
      </c>
      <c r="O50" s="815">
        <v>0.79974800000000001</v>
      </c>
      <c r="P50" s="815">
        <v>0.79250200000000004</v>
      </c>
      <c r="Q50" s="815">
        <v>0.78298999999999996</v>
      </c>
      <c r="R50" s="815">
        <v>0.77380099999999996</v>
      </c>
      <c r="S50" s="815">
        <v>0.76341199999999998</v>
      </c>
      <c r="T50" s="815">
        <v>0.75328600000000001</v>
      </c>
      <c r="U50" s="815">
        <v>0.74492700000000001</v>
      </c>
      <c r="V50" s="815">
        <v>0.735792</v>
      </c>
      <c r="W50" s="815">
        <v>0.72580999999999996</v>
      </c>
      <c r="X50" s="815">
        <v>0.71570999999999996</v>
      </c>
      <c r="Y50" s="815">
        <v>0.70482900000000004</v>
      </c>
      <c r="Z50" s="815">
        <v>0.69399200000000005</v>
      </c>
      <c r="AA50" s="815">
        <v>0.68803000000000003</v>
      </c>
      <c r="AB50" s="815">
        <v>0.67940599999999995</v>
      </c>
      <c r="AC50" s="815">
        <v>0.66891599999999996</v>
      </c>
      <c r="AD50" s="815">
        <v>0.65912599999999999</v>
      </c>
      <c r="AE50" s="815">
        <v>0.65220400000000001</v>
      </c>
      <c r="AF50" s="814">
        <v>-8.541E-3</v>
      </c>
      <c r="AG50" s="802"/>
    </row>
    <row r="51" spans="1:33" ht="15" customHeight="1">
      <c r="A51" s="800" t="s">
        <v>4506</v>
      </c>
      <c r="B51" s="812" t="s">
        <v>4483</v>
      </c>
      <c r="C51" s="815">
        <v>6.4120619999999997</v>
      </c>
      <c r="D51" s="815">
        <v>6.0466350000000002</v>
      </c>
      <c r="E51" s="815">
        <v>6.1520890000000001</v>
      </c>
      <c r="F51" s="815">
        <v>6.1732680000000002</v>
      </c>
      <c r="G51" s="815">
        <v>6.1880249999999997</v>
      </c>
      <c r="H51" s="815">
        <v>6.1826749999999997</v>
      </c>
      <c r="I51" s="815">
        <v>6.171932</v>
      </c>
      <c r="J51" s="815">
        <v>6.161009</v>
      </c>
      <c r="K51" s="815">
        <v>6.1486260000000001</v>
      </c>
      <c r="L51" s="815">
        <v>6.1339410000000001</v>
      </c>
      <c r="M51" s="815">
        <v>6.1190730000000002</v>
      </c>
      <c r="N51" s="815">
        <v>6.1096959999999996</v>
      </c>
      <c r="O51" s="815">
        <v>6.1009010000000004</v>
      </c>
      <c r="P51" s="815">
        <v>6.0938439999999998</v>
      </c>
      <c r="Q51" s="815">
        <v>6.0883370000000001</v>
      </c>
      <c r="R51" s="815">
        <v>6.0823140000000002</v>
      </c>
      <c r="S51" s="815">
        <v>6.0791959999999996</v>
      </c>
      <c r="T51" s="815">
        <v>6.0744579999999999</v>
      </c>
      <c r="U51" s="815">
        <v>6.0701580000000002</v>
      </c>
      <c r="V51" s="815">
        <v>6.0686179999999998</v>
      </c>
      <c r="W51" s="815">
        <v>6.0662630000000002</v>
      </c>
      <c r="X51" s="815">
        <v>6.0632020000000004</v>
      </c>
      <c r="Y51" s="815">
        <v>6.062881</v>
      </c>
      <c r="Z51" s="815">
        <v>6.0639539999999998</v>
      </c>
      <c r="AA51" s="815">
        <v>6.0656600000000003</v>
      </c>
      <c r="AB51" s="815">
        <v>6.0629239999999998</v>
      </c>
      <c r="AC51" s="815">
        <v>6.0642040000000001</v>
      </c>
      <c r="AD51" s="815">
        <v>6.0634949999999996</v>
      </c>
      <c r="AE51" s="815">
        <v>6.059501</v>
      </c>
      <c r="AF51" s="814">
        <v>-2.0179999999999998E-3</v>
      </c>
      <c r="AG51" s="802"/>
    </row>
    <row r="52" spans="1:33" ht="15" customHeight="1">
      <c r="B52" s="808" t="s">
        <v>4484</v>
      </c>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row>
    <row r="53" spans="1:33" ht="15" customHeight="1">
      <c r="A53" s="800" t="s">
        <v>4507</v>
      </c>
      <c r="B53" s="812" t="s">
        <v>4486</v>
      </c>
      <c r="C53" s="815">
        <v>7.7387059999999996</v>
      </c>
      <c r="D53" s="815">
        <v>8.3521400000000003</v>
      </c>
      <c r="E53" s="815">
        <v>8.3229330000000008</v>
      </c>
      <c r="F53" s="815">
        <v>8.2933629999999994</v>
      </c>
      <c r="G53" s="815">
        <v>8.2593779999999999</v>
      </c>
      <c r="H53" s="815">
        <v>8.2077989999999996</v>
      </c>
      <c r="I53" s="815">
        <v>8.1611960000000003</v>
      </c>
      <c r="J53" s="815">
        <v>8.1234029999999997</v>
      </c>
      <c r="K53" s="815">
        <v>8.0843690000000006</v>
      </c>
      <c r="L53" s="815">
        <v>8.0466999999999995</v>
      </c>
      <c r="M53" s="815">
        <v>8.0102150000000005</v>
      </c>
      <c r="N53" s="815">
        <v>7.9731139999999998</v>
      </c>
      <c r="O53" s="815">
        <v>7.9332539999999998</v>
      </c>
      <c r="P53" s="815">
        <v>7.8846869999999996</v>
      </c>
      <c r="Q53" s="815">
        <v>7.8485170000000002</v>
      </c>
      <c r="R53" s="815">
        <v>7.8139060000000002</v>
      </c>
      <c r="S53" s="815">
        <v>7.7777180000000001</v>
      </c>
      <c r="T53" s="815">
        <v>7.7558680000000004</v>
      </c>
      <c r="U53" s="815">
        <v>7.7279260000000001</v>
      </c>
      <c r="V53" s="815">
        <v>7.699452</v>
      </c>
      <c r="W53" s="815">
        <v>7.6718109999999999</v>
      </c>
      <c r="X53" s="815">
        <v>7.6569229999999999</v>
      </c>
      <c r="Y53" s="815">
        <v>7.6420669999999999</v>
      </c>
      <c r="Z53" s="815">
        <v>7.6288080000000003</v>
      </c>
      <c r="AA53" s="815">
        <v>7.6089120000000001</v>
      </c>
      <c r="AB53" s="815">
        <v>7.5937039999999998</v>
      </c>
      <c r="AC53" s="815">
        <v>7.5781970000000003</v>
      </c>
      <c r="AD53" s="815">
        <v>7.5565499999999997</v>
      </c>
      <c r="AE53" s="815">
        <v>7.539612</v>
      </c>
      <c r="AF53" s="814">
        <v>-9.3000000000000005E-4</v>
      </c>
      <c r="AG53" s="802"/>
    </row>
    <row r="54" spans="1:33" ht="15" customHeight="1">
      <c r="A54" s="800" t="s">
        <v>4508</v>
      </c>
      <c r="B54" s="812" t="s">
        <v>4490</v>
      </c>
      <c r="C54" s="815">
        <v>1.1060080000000001</v>
      </c>
      <c r="D54" s="815">
        <v>1.314262</v>
      </c>
      <c r="E54" s="815">
        <v>1.2465889999999999</v>
      </c>
      <c r="F54" s="815">
        <v>1.2134769999999999</v>
      </c>
      <c r="G54" s="815">
        <v>1.174336</v>
      </c>
      <c r="H54" s="815">
        <v>1.1434519999999999</v>
      </c>
      <c r="I54" s="815">
        <v>1.120681</v>
      </c>
      <c r="J54" s="815">
        <v>1.106006</v>
      </c>
      <c r="K54" s="815">
        <v>1.0929960000000001</v>
      </c>
      <c r="L54" s="815">
        <v>1.0763180000000001</v>
      </c>
      <c r="M54" s="815">
        <v>1.0577019999999999</v>
      </c>
      <c r="N54" s="815">
        <v>1.0417920000000001</v>
      </c>
      <c r="O54" s="815">
        <v>1.0238080000000001</v>
      </c>
      <c r="P54" s="815">
        <v>1.007466</v>
      </c>
      <c r="Q54" s="815">
        <v>0.99502900000000005</v>
      </c>
      <c r="R54" s="815">
        <v>0.98163599999999995</v>
      </c>
      <c r="S54" s="815">
        <v>0.97140300000000002</v>
      </c>
      <c r="T54" s="815">
        <v>0.95877199999999996</v>
      </c>
      <c r="U54" s="815">
        <v>0.94340000000000002</v>
      </c>
      <c r="V54" s="815">
        <v>0.93043900000000002</v>
      </c>
      <c r="W54" s="815">
        <v>0.91905099999999995</v>
      </c>
      <c r="X54" s="815">
        <v>0.90802799999999995</v>
      </c>
      <c r="Y54" s="815">
        <v>0.89954400000000001</v>
      </c>
      <c r="Z54" s="815">
        <v>0.89224800000000004</v>
      </c>
      <c r="AA54" s="815">
        <v>0.881027</v>
      </c>
      <c r="AB54" s="815">
        <v>0.86836800000000003</v>
      </c>
      <c r="AC54" s="815">
        <v>0.86155999999999999</v>
      </c>
      <c r="AD54" s="815">
        <v>0.85153500000000004</v>
      </c>
      <c r="AE54" s="815">
        <v>0.83512900000000001</v>
      </c>
      <c r="AF54" s="814">
        <v>-9.9830000000000006E-3</v>
      </c>
      <c r="AG54" s="802"/>
    </row>
    <row r="55" spans="1:33" ht="15" customHeight="1">
      <c r="A55" s="800" t="s">
        <v>4509</v>
      </c>
      <c r="B55" s="812" t="s">
        <v>4297</v>
      </c>
      <c r="C55" s="815">
        <v>2.3333200000000001</v>
      </c>
      <c r="D55" s="815">
        <v>2.4413339999999999</v>
      </c>
      <c r="E55" s="815">
        <v>2.4864929999999998</v>
      </c>
      <c r="F55" s="815">
        <v>2.4850509999999999</v>
      </c>
      <c r="G55" s="815">
        <v>2.478513</v>
      </c>
      <c r="H55" s="815">
        <v>2.4680970000000002</v>
      </c>
      <c r="I55" s="815">
        <v>2.455686</v>
      </c>
      <c r="J55" s="815">
        <v>2.4508610000000002</v>
      </c>
      <c r="K55" s="815">
        <v>2.444137</v>
      </c>
      <c r="L55" s="815">
        <v>2.4358420000000001</v>
      </c>
      <c r="M55" s="815">
        <v>2.4402949999999999</v>
      </c>
      <c r="N55" s="815">
        <v>2.4304939999999999</v>
      </c>
      <c r="O55" s="815">
        <v>2.422104</v>
      </c>
      <c r="P55" s="815">
        <v>2.4133490000000002</v>
      </c>
      <c r="Q55" s="815">
        <v>2.4076430000000002</v>
      </c>
      <c r="R55" s="815">
        <v>2.3992279999999999</v>
      </c>
      <c r="S55" s="815">
        <v>2.395308</v>
      </c>
      <c r="T55" s="815">
        <v>2.379337</v>
      </c>
      <c r="U55" s="815">
        <v>2.3601779999999999</v>
      </c>
      <c r="V55" s="815">
        <v>2.3465850000000001</v>
      </c>
      <c r="W55" s="815">
        <v>2.3291110000000002</v>
      </c>
      <c r="X55" s="815">
        <v>2.306654</v>
      </c>
      <c r="Y55" s="815">
        <v>2.2840370000000001</v>
      </c>
      <c r="Z55" s="815">
        <v>2.2614260000000002</v>
      </c>
      <c r="AA55" s="815">
        <v>2.239452</v>
      </c>
      <c r="AB55" s="815">
        <v>2.2203300000000001</v>
      </c>
      <c r="AC55" s="815">
        <v>2.2032759999999998</v>
      </c>
      <c r="AD55" s="815">
        <v>2.1841179999999998</v>
      </c>
      <c r="AE55" s="815">
        <v>2.1640609999999998</v>
      </c>
      <c r="AF55" s="814">
        <v>-2.686E-3</v>
      </c>
      <c r="AG55" s="802"/>
    </row>
    <row r="56" spans="1:33" ht="15" customHeight="1">
      <c r="A56" s="800" t="s">
        <v>4510</v>
      </c>
      <c r="B56" s="812" t="s">
        <v>4493</v>
      </c>
      <c r="C56" s="815">
        <v>11.178032999999999</v>
      </c>
      <c r="D56" s="815">
        <v>12.107737</v>
      </c>
      <c r="E56" s="815">
        <v>12.056015</v>
      </c>
      <c r="F56" s="815">
        <v>11.991891000000001</v>
      </c>
      <c r="G56" s="815">
        <v>11.912227</v>
      </c>
      <c r="H56" s="815">
        <v>11.819347</v>
      </c>
      <c r="I56" s="815">
        <v>11.737563</v>
      </c>
      <c r="J56" s="815">
        <v>11.680268999999999</v>
      </c>
      <c r="K56" s="815">
        <v>11.621502</v>
      </c>
      <c r="L56" s="815">
        <v>11.558859</v>
      </c>
      <c r="M56" s="815">
        <v>11.508212</v>
      </c>
      <c r="N56" s="815">
        <v>11.445399</v>
      </c>
      <c r="O56" s="815">
        <v>11.379167000000001</v>
      </c>
      <c r="P56" s="815">
        <v>11.305502000000001</v>
      </c>
      <c r="Q56" s="815">
        <v>11.251189</v>
      </c>
      <c r="R56" s="815">
        <v>11.19477</v>
      </c>
      <c r="S56" s="815">
        <v>11.144429000000001</v>
      </c>
      <c r="T56" s="815">
        <v>11.093977000000001</v>
      </c>
      <c r="U56" s="815">
        <v>11.031504999999999</v>
      </c>
      <c r="V56" s="815">
        <v>10.976476999999999</v>
      </c>
      <c r="W56" s="815">
        <v>10.919973000000001</v>
      </c>
      <c r="X56" s="815">
        <v>10.871605000000001</v>
      </c>
      <c r="Y56" s="815">
        <v>10.825649</v>
      </c>
      <c r="Z56" s="815">
        <v>10.782484</v>
      </c>
      <c r="AA56" s="815">
        <v>10.729391</v>
      </c>
      <c r="AB56" s="815">
        <v>10.682403000000001</v>
      </c>
      <c r="AC56" s="815">
        <v>10.643034</v>
      </c>
      <c r="AD56" s="815">
        <v>10.592204000000001</v>
      </c>
      <c r="AE56" s="815">
        <v>10.538802</v>
      </c>
      <c r="AF56" s="814">
        <v>-2.101E-3</v>
      </c>
      <c r="AG56" s="802"/>
    </row>
    <row r="57" spans="1:33" ht="15" customHeight="1">
      <c r="A57" s="800" t="s">
        <v>4511</v>
      </c>
      <c r="B57" s="808" t="s">
        <v>4495</v>
      </c>
      <c r="C57" s="816">
        <v>17.590095999999999</v>
      </c>
      <c r="D57" s="816">
        <v>18.154371000000001</v>
      </c>
      <c r="E57" s="816">
        <v>18.208103000000001</v>
      </c>
      <c r="F57" s="816">
        <v>18.165158999999999</v>
      </c>
      <c r="G57" s="816">
        <v>18.100249999999999</v>
      </c>
      <c r="H57" s="816">
        <v>18.002022</v>
      </c>
      <c r="I57" s="816">
        <v>17.909496000000001</v>
      </c>
      <c r="J57" s="816">
        <v>17.841277999999999</v>
      </c>
      <c r="K57" s="816">
        <v>17.770128</v>
      </c>
      <c r="L57" s="816">
        <v>17.692800999999999</v>
      </c>
      <c r="M57" s="816">
        <v>17.627285000000001</v>
      </c>
      <c r="N57" s="816">
        <v>17.555095999999999</v>
      </c>
      <c r="O57" s="816">
        <v>17.480067999999999</v>
      </c>
      <c r="P57" s="816">
        <v>17.399345</v>
      </c>
      <c r="Q57" s="816">
        <v>17.339527</v>
      </c>
      <c r="R57" s="816">
        <v>17.277083999999999</v>
      </c>
      <c r="S57" s="816">
        <v>17.223624999999998</v>
      </c>
      <c r="T57" s="816">
        <v>17.168434000000001</v>
      </c>
      <c r="U57" s="816">
        <v>17.101662000000001</v>
      </c>
      <c r="V57" s="816">
        <v>17.045093999999999</v>
      </c>
      <c r="W57" s="816">
        <v>16.986236999999999</v>
      </c>
      <c r="X57" s="816">
        <v>16.934806999999999</v>
      </c>
      <c r="Y57" s="816">
        <v>16.888531</v>
      </c>
      <c r="Z57" s="816">
        <v>16.846437000000002</v>
      </c>
      <c r="AA57" s="816">
        <v>16.795051999999998</v>
      </c>
      <c r="AB57" s="816">
        <v>16.745327</v>
      </c>
      <c r="AC57" s="816">
        <v>16.707236999999999</v>
      </c>
      <c r="AD57" s="816">
        <v>16.655698999999998</v>
      </c>
      <c r="AE57" s="816">
        <v>16.598303000000001</v>
      </c>
      <c r="AF57" s="810">
        <v>-2.0709999999999999E-3</v>
      </c>
      <c r="AG57" s="802"/>
    </row>
    <row r="58" spans="1:33" ht="15" customHeight="1">
      <c r="B58" s="802"/>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s="802"/>
      <c r="AG58" s="802"/>
    </row>
    <row r="59" spans="1:33" ht="15" customHeight="1">
      <c r="B59" s="808" t="s">
        <v>4512</v>
      </c>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row>
    <row r="60" spans="1:33" ht="15" customHeight="1">
      <c r="A60" s="800" t="s">
        <v>4513</v>
      </c>
      <c r="B60" s="808" t="s">
        <v>4279</v>
      </c>
      <c r="C60" s="809">
        <v>275.049622</v>
      </c>
      <c r="D60" s="809">
        <v>259.91110200000003</v>
      </c>
      <c r="E60" s="809">
        <v>255.09707599999999</v>
      </c>
      <c r="F60" s="809">
        <v>258.60723899999999</v>
      </c>
      <c r="G60" s="809">
        <v>261.93515000000002</v>
      </c>
      <c r="H60" s="809">
        <v>263.57397500000002</v>
      </c>
      <c r="I60" s="809">
        <v>263.88476600000001</v>
      </c>
      <c r="J60" s="809">
        <v>263.59893799999998</v>
      </c>
      <c r="K60" s="809">
        <v>263.64227299999999</v>
      </c>
      <c r="L60" s="809">
        <v>265.76580799999999</v>
      </c>
      <c r="M60" s="809">
        <v>268.868652</v>
      </c>
      <c r="N60" s="809">
        <v>272.02340700000002</v>
      </c>
      <c r="O60" s="809">
        <v>275.25650000000002</v>
      </c>
      <c r="P60" s="809">
        <v>278.54202299999997</v>
      </c>
      <c r="Q60" s="809">
        <v>281.17938199999998</v>
      </c>
      <c r="R60" s="809">
        <v>283.96948200000003</v>
      </c>
      <c r="S60" s="809">
        <v>285.96252399999997</v>
      </c>
      <c r="T60" s="809">
        <v>288.76400799999999</v>
      </c>
      <c r="U60" s="809">
        <v>292.41830399999998</v>
      </c>
      <c r="V60" s="809">
        <v>295.83108499999997</v>
      </c>
      <c r="W60" s="809">
        <v>298.749664</v>
      </c>
      <c r="X60" s="809">
        <v>301.41570999999999</v>
      </c>
      <c r="Y60" s="809">
        <v>303.24932899999999</v>
      </c>
      <c r="Z60" s="809">
        <v>304.80865499999999</v>
      </c>
      <c r="AA60" s="809">
        <v>307.52786300000002</v>
      </c>
      <c r="AB60" s="809">
        <v>311.04901100000001</v>
      </c>
      <c r="AC60" s="809">
        <v>312.75692700000002</v>
      </c>
      <c r="AD60" s="809">
        <v>315.54788200000002</v>
      </c>
      <c r="AE60" s="809">
        <v>320.43817100000001</v>
      </c>
      <c r="AF60" s="810">
        <v>5.47E-3</v>
      </c>
      <c r="AG60" s="802"/>
    </row>
    <row r="61" spans="1:33" ht="15" customHeight="1">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row>
    <row r="62" spans="1:33" ht="15" customHeight="1">
      <c r="B62" s="808" t="s">
        <v>4514</v>
      </c>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row>
    <row r="63" spans="1:33" ht="15" customHeight="1">
      <c r="B63" s="808" t="s">
        <v>4321</v>
      </c>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row>
    <row r="64" spans="1:33" ht="15" customHeight="1">
      <c r="A64" s="800" t="s">
        <v>4515</v>
      </c>
      <c r="B64" s="812" t="s">
        <v>4323</v>
      </c>
      <c r="C64" s="815">
        <v>2.5100000000000001E-2</v>
      </c>
      <c r="D64" s="815">
        <v>2.5100000000000001E-2</v>
      </c>
      <c r="E64" s="815">
        <v>2.5100000000000001E-2</v>
      </c>
      <c r="F64" s="815">
        <v>2.5100000000000001E-2</v>
      </c>
      <c r="G64" s="815">
        <v>2.5100000000000001E-2</v>
      </c>
      <c r="H64" s="815">
        <v>2.5100000000000001E-2</v>
      </c>
      <c r="I64" s="815">
        <v>2.5100000000000001E-2</v>
      </c>
      <c r="J64" s="815">
        <v>2.5100000000000001E-2</v>
      </c>
      <c r="K64" s="815">
        <v>2.5100000000000001E-2</v>
      </c>
      <c r="L64" s="815">
        <v>2.5100000000000001E-2</v>
      </c>
      <c r="M64" s="815">
        <v>2.5100000000000001E-2</v>
      </c>
      <c r="N64" s="815">
        <v>2.5100000000000001E-2</v>
      </c>
      <c r="O64" s="815">
        <v>2.5100000000000001E-2</v>
      </c>
      <c r="P64" s="815">
        <v>2.5100000000000001E-2</v>
      </c>
      <c r="Q64" s="815">
        <v>2.5100000000000001E-2</v>
      </c>
      <c r="R64" s="815">
        <v>2.5100000000000001E-2</v>
      </c>
      <c r="S64" s="815">
        <v>2.5100000000000001E-2</v>
      </c>
      <c r="T64" s="815">
        <v>2.5100000000000001E-2</v>
      </c>
      <c r="U64" s="815">
        <v>2.5100000000000001E-2</v>
      </c>
      <c r="V64" s="815">
        <v>2.5100000000000001E-2</v>
      </c>
      <c r="W64" s="815">
        <v>2.5100000000000001E-2</v>
      </c>
      <c r="X64" s="815">
        <v>2.5100000000000001E-2</v>
      </c>
      <c r="Y64" s="815">
        <v>2.5100000000000001E-2</v>
      </c>
      <c r="Z64" s="815">
        <v>2.5100000000000001E-2</v>
      </c>
      <c r="AA64" s="815">
        <v>2.5100000000000001E-2</v>
      </c>
      <c r="AB64" s="815">
        <v>2.5100000000000001E-2</v>
      </c>
      <c r="AC64" s="815">
        <v>2.5100000000000001E-2</v>
      </c>
      <c r="AD64" s="815">
        <v>2.5100000000000001E-2</v>
      </c>
      <c r="AE64" s="815">
        <v>2.5100000000000001E-2</v>
      </c>
      <c r="AF64" s="814">
        <v>0</v>
      </c>
      <c r="AG64" s="802"/>
    </row>
    <row r="65" spans="1:34" ht="15" customHeight="1">
      <c r="A65" s="800" t="s">
        <v>4516</v>
      </c>
      <c r="B65" s="812" t="s">
        <v>4297</v>
      </c>
      <c r="C65" s="815">
        <v>9.2624340000000007</v>
      </c>
      <c r="D65" s="815">
        <v>9.4699460000000002</v>
      </c>
      <c r="E65" s="815">
        <v>9.6338760000000008</v>
      </c>
      <c r="F65" s="815">
        <v>9.7591669999999997</v>
      </c>
      <c r="G65" s="815">
        <v>9.9534490000000009</v>
      </c>
      <c r="H65" s="815">
        <v>10.082336</v>
      </c>
      <c r="I65" s="815">
        <v>10.214668</v>
      </c>
      <c r="J65" s="815">
        <v>10.350142999999999</v>
      </c>
      <c r="K65" s="815">
        <v>10.489678</v>
      </c>
      <c r="L65" s="815">
        <v>10.635315</v>
      </c>
      <c r="M65" s="815">
        <v>10.789342</v>
      </c>
      <c r="N65" s="815">
        <v>10.955030000000001</v>
      </c>
      <c r="O65" s="815">
        <v>11.134840000000001</v>
      </c>
      <c r="P65" s="815">
        <v>11.326506</v>
      </c>
      <c r="Q65" s="815">
        <v>11.5313</v>
      </c>
      <c r="R65" s="815">
        <v>11.748602</v>
      </c>
      <c r="S65" s="815">
        <v>11.978249999999999</v>
      </c>
      <c r="T65" s="815">
        <v>12.220848</v>
      </c>
      <c r="U65" s="815">
        <v>12.477651</v>
      </c>
      <c r="V65" s="815">
        <v>12.747342</v>
      </c>
      <c r="W65" s="815">
        <v>13.028176999999999</v>
      </c>
      <c r="X65" s="815">
        <v>13.320328</v>
      </c>
      <c r="Y65" s="815">
        <v>13.622496999999999</v>
      </c>
      <c r="Z65" s="815">
        <v>13.930263999999999</v>
      </c>
      <c r="AA65" s="815">
        <v>14.207323000000001</v>
      </c>
      <c r="AB65" s="815">
        <v>14.494267000000001</v>
      </c>
      <c r="AC65" s="815">
        <v>14.790022</v>
      </c>
      <c r="AD65" s="815">
        <v>15.096121999999999</v>
      </c>
      <c r="AE65" s="815">
        <v>15.417707</v>
      </c>
      <c r="AF65" s="814">
        <v>1.8364999999999999E-2</v>
      </c>
      <c r="AG65" s="802"/>
    </row>
    <row r="66" spans="1:34" ht="15" customHeight="1">
      <c r="A66" s="800" t="s">
        <v>4517</v>
      </c>
      <c r="B66" s="812" t="s">
        <v>4326</v>
      </c>
      <c r="C66" s="815">
        <v>0.21829999999999999</v>
      </c>
      <c r="D66" s="815">
        <v>0.21829999999999999</v>
      </c>
      <c r="E66" s="815">
        <v>0.21829999999999999</v>
      </c>
      <c r="F66" s="815">
        <v>0.21829999999999999</v>
      </c>
      <c r="G66" s="815">
        <v>0.21829999999999999</v>
      </c>
      <c r="H66" s="815">
        <v>0.21829999999999999</v>
      </c>
      <c r="I66" s="815">
        <v>0.21829999999999999</v>
      </c>
      <c r="J66" s="815">
        <v>0.21829999999999999</v>
      </c>
      <c r="K66" s="815">
        <v>0.21829999999999999</v>
      </c>
      <c r="L66" s="815">
        <v>0.21829999999999999</v>
      </c>
      <c r="M66" s="815">
        <v>0.21829999999999999</v>
      </c>
      <c r="N66" s="815">
        <v>0.21829999999999999</v>
      </c>
      <c r="O66" s="815">
        <v>0.21829999999999999</v>
      </c>
      <c r="P66" s="815">
        <v>0.21829999999999999</v>
      </c>
      <c r="Q66" s="815">
        <v>0.21829999999999999</v>
      </c>
      <c r="R66" s="815">
        <v>0.21829999999999999</v>
      </c>
      <c r="S66" s="815">
        <v>0.21829999999999999</v>
      </c>
      <c r="T66" s="815">
        <v>0.21829999999999999</v>
      </c>
      <c r="U66" s="815">
        <v>0.21829999999999999</v>
      </c>
      <c r="V66" s="815">
        <v>0.21829999999999999</v>
      </c>
      <c r="W66" s="815">
        <v>0.21829999999999999</v>
      </c>
      <c r="X66" s="815">
        <v>0.21829999999999999</v>
      </c>
      <c r="Y66" s="815">
        <v>0.21829999999999999</v>
      </c>
      <c r="Z66" s="815">
        <v>0.21829999999999999</v>
      </c>
      <c r="AA66" s="815">
        <v>0.21829999999999999</v>
      </c>
      <c r="AB66" s="815">
        <v>0.21829999999999999</v>
      </c>
      <c r="AC66" s="815">
        <v>0.21829999999999999</v>
      </c>
      <c r="AD66" s="815">
        <v>0.21829999999999999</v>
      </c>
      <c r="AE66" s="815">
        <v>0.21829999999999999</v>
      </c>
      <c r="AF66" s="814">
        <v>0</v>
      </c>
      <c r="AG66" s="802"/>
    </row>
    <row r="67" spans="1:34" ht="12" customHeight="1">
      <c r="A67" s="800" t="s">
        <v>4518</v>
      </c>
      <c r="B67" s="812" t="s">
        <v>4328</v>
      </c>
      <c r="C67" s="815">
        <v>0.82330000000000003</v>
      </c>
      <c r="D67" s="815">
        <v>0.84919999999999995</v>
      </c>
      <c r="E67" s="815">
        <v>0.84919999999999995</v>
      </c>
      <c r="F67" s="815">
        <v>0.84919999999999995</v>
      </c>
      <c r="G67" s="815">
        <v>0.8992</v>
      </c>
      <c r="H67" s="815">
        <v>0.8992</v>
      </c>
      <c r="I67" s="815">
        <v>0.8992</v>
      </c>
      <c r="J67" s="815">
        <v>0.8992</v>
      </c>
      <c r="K67" s="815">
        <v>0.8992</v>
      </c>
      <c r="L67" s="815">
        <v>0.8992</v>
      </c>
      <c r="M67" s="815">
        <v>0.8992</v>
      </c>
      <c r="N67" s="815">
        <v>0.8992</v>
      </c>
      <c r="O67" s="815">
        <v>0.8992</v>
      </c>
      <c r="P67" s="815">
        <v>0.8992</v>
      </c>
      <c r="Q67" s="815">
        <v>0.8992</v>
      </c>
      <c r="R67" s="815">
        <v>0.8992</v>
      </c>
      <c r="S67" s="815">
        <v>0.8992</v>
      </c>
      <c r="T67" s="815">
        <v>0.8992</v>
      </c>
      <c r="U67" s="815">
        <v>0.8992</v>
      </c>
      <c r="V67" s="815">
        <v>0.8992</v>
      </c>
      <c r="W67" s="815">
        <v>0.8992</v>
      </c>
      <c r="X67" s="815">
        <v>0.8992</v>
      </c>
      <c r="Y67" s="815">
        <v>0.8992</v>
      </c>
      <c r="Z67" s="815">
        <v>0.8992</v>
      </c>
      <c r="AA67" s="815">
        <v>0.8992</v>
      </c>
      <c r="AB67" s="815">
        <v>0.8992</v>
      </c>
      <c r="AC67" s="815">
        <v>0.8992</v>
      </c>
      <c r="AD67" s="815">
        <v>0.8992</v>
      </c>
      <c r="AE67" s="815">
        <v>0.8992</v>
      </c>
      <c r="AF67" s="814">
        <v>3.1540000000000001E-3</v>
      </c>
      <c r="AG67" s="802"/>
    </row>
    <row r="68" spans="1:34" ht="15" customHeight="1">
      <c r="A68" s="800" t="s">
        <v>4519</v>
      </c>
      <c r="B68" s="808" t="s">
        <v>4303</v>
      </c>
      <c r="C68" s="816">
        <v>10.329133000000001</v>
      </c>
      <c r="D68" s="816">
        <v>10.562548</v>
      </c>
      <c r="E68" s="816">
        <v>10.726475000000001</v>
      </c>
      <c r="F68" s="816">
        <v>10.851768</v>
      </c>
      <c r="G68" s="816">
        <v>11.096049000000001</v>
      </c>
      <c r="H68" s="816">
        <v>11.224937000000001</v>
      </c>
      <c r="I68" s="816">
        <v>11.357267</v>
      </c>
      <c r="J68" s="816">
        <v>11.492742</v>
      </c>
      <c r="K68" s="816">
        <v>11.632277</v>
      </c>
      <c r="L68" s="816">
        <v>11.777915</v>
      </c>
      <c r="M68" s="816">
        <v>11.931941999999999</v>
      </c>
      <c r="N68" s="816">
        <v>12.097630000000001</v>
      </c>
      <c r="O68" s="816">
        <v>12.277441</v>
      </c>
      <c r="P68" s="816">
        <v>12.469104</v>
      </c>
      <c r="Q68" s="816">
        <v>12.673899</v>
      </c>
      <c r="R68" s="816">
        <v>12.891202</v>
      </c>
      <c r="S68" s="816">
        <v>13.120849</v>
      </c>
      <c r="T68" s="816">
        <v>13.363448</v>
      </c>
      <c r="U68" s="816">
        <v>13.620253</v>
      </c>
      <c r="V68" s="816">
        <v>13.889941</v>
      </c>
      <c r="W68" s="816">
        <v>14.170778</v>
      </c>
      <c r="X68" s="816">
        <v>14.462927000000001</v>
      </c>
      <c r="Y68" s="816">
        <v>14.765097000000001</v>
      </c>
      <c r="Z68" s="816">
        <v>15.072863999999999</v>
      </c>
      <c r="AA68" s="816">
        <v>15.349921999999999</v>
      </c>
      <c r="AB68" s="816">
        <v>15.636865999999999</v>
      </c>
      <c r="AC68" s="816">
        <v>15.932622</v>
      </c>
      <c r="AD68" s="816">
        <v>16.238721999999999</v>
      </c>
      <c r="AE68" s="816">
        <v>16.560305</v>
      </c>
      <c r="AF68" s="810">
        <v>1.7002E-2</v>
      </c>
      <c r="AG68" s="802"/>
    </row>
    <row r="69" spans="1:34" ht="15" customHeight="1">
      <c r="B69" s="808" t="s">
        <v>4330</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1:34" ht="15" customHeight="1">
      <c r="A70" s="800" t="s">
        <v>4520</v>
      </c>
      <c r="B70" s="812" t="s">
        <v>4323</v>
      </c>
      <c r="C70" s="815">
        <v>8.2030000000000002E-3</v>
      </c>
      <c r="D70" s="815">
        <v>8.2030000000000002E-3</v>
      </c>
      <c r="E70" s="815">
        <v>8.2030000000000002E-3</v>
      </c>
      <c r="F70" s="815">
        <v>8.2030000000000002E-3</v>
      </c>
      <c r="G70" s="815">
        <v>8.2030000000000002E-3</v>
      </c>
      <c r="H70" s="815">
        <v>8.2030000000000002E-3</v>
      </c>
      <c r="I70" s="815">
        <v>8.2030000000000002E-3</v>
      </c>
      <c r="J70" s="815">
        <v>8.2030000000000002E-3</v>
      </c>
      <c r="K70" s="815">
        <v>8.2030000000000002E-3</v>
      </c>
      <c r="L70" s="815">
        <v>8.2030000000000002E-3</v>
      </c>
      <c r="M70" s="815">
        <v>8.2030000000000002E-3</v>
      </c>
      <c r="N70" s="815">
        <v>8.2030000000000002E-3</v>
      </c>
      <c r="O70" s="815">
        <v>8.2030000000000002E-3</v>
      </c>
      <c r="P70" s="815">
        <v>8.2030000000000002E-3</v>
      </c>
      <c r="Q70" s="815">
        <v>8.2030000000000002E-3</v>
      </c>
      <c r="R70" s="815">
        <v>8.2030000000000002E-3</v>
      </c>
      <c r="S70" s="815">
        <v>8.2030000000000002E-3</v>
      </c>
      <c r="T70" s="815">
        <v>8.2030000000000002E-3</v>
      </c>
      <c r="U70" s="815">
        <v>8.2030000000000002E-3</v>
      </c>
      <c r="V70" s="815">
        <v>8.2030000000000002E-3</v>
      </c>
      <c r="W70" s="815">
        <v>8.2030000000000002E-3</v>
      </c>
      <c r="X70" s="815">
        <v>8.2030000000000002E-3</v>
      </c>
      <c r="Y70" s="815">
        <v>8.2030000000000002E-3</v>
      </c>
      <c r="Z70" s="815">
        <v>8.2030000000000002E-3</v>
      </c>
      <c r="AA70" s="815">
        <v>8.2030000000000002E-3</v>
      </c>
      <c r="AB70" s="815">
        <v>8.2030000000000002E-3</v>
      </c>
      <c r="AC70" s="815">
        <v>8.2030000000000002E-3</v>
      </c>
      <c r="AD70" s="815">
        <v>8.2030000000000002E-3</v>
      </c>
      <c r="AE70" s="815">
        <v>8.2030000000000002E-3</v>
      </c>
      <c r="AF70" s="814">
        <v>0</v>
      </c>
      <c r="AG70" s="802"/>
    </row>
    <row r="71" spans="1:34" ht="15" customHeight="1">
      <c r="A71" s="800" t="s">
        <v>4521</v>
      </c>
      <c r="B71" s="812" t="s">
        <v>4297</v>
      </c>
      <c r="C71" s="815">
        <v>52.744202000000001</v>
      </c>
      <c r="D71" s="815">
        <v>53.769900999999997</v>
      </c>
      <c r="E71" s="815">
        <v>54.586342000000002</v>
      </c>
      <c r="F71" s="815">
        <v>55.212851999999998</v>
      </c>
      <c r="G71" s="815">
        <v>56.233822000000004</v>
      </c>
      <c r="H71" s="815">
        <v>56.881141999999997</v>
      </c>
      <c r="I71" s="815">
        <v>57.547604</v>
      </c>
      <c r="J71" s="815">
        <v>58.233142999999998</v>
      </c>
      <c r="K71" s="815">
        <v>58.942722000000003</v>
      </c>
      <c r="L71" s="815">
        <v>59.687064999999997</v>
      </c>
      <c r="M71" s="815">
        <v>60.479033999999999</v>
      </c>
      <c r="N71" s="815">
        <v>61.336536000000002</v>
      </c>
      <c r="O71" s="815">
        <v>62.270947</v>
      </c>
      <c r="P71" s="815">
        <v>63.270668000000001</v>
      </c>
      <c r="Q71" s="815">
        <v>64.341781999999995</v>
      </c>
      <c r="R71" s="815">
        <v>65.481857000000005</v>
      </c>
      <c r="S71" s="815">
        <v>66.690346000000005</v>
      </c>
      <c r="T71" s="815">
        <v>67.971526999999995</v>
      </c>
      <c r="U71" s="815">
        <v>69.331856000000002</v>
      </c>
      <c r="V71" s="815">
        <v>70.764824000000004</v>
      </c>
      <c r="W71" s="815">
        <v>72.261520000000004</v>
      </c>
      <c r="X71" s="815">
        <v>73.822631999999999</v>
      </c>
      <c r="Y71" s="815">
        <v>75.441993999999994</v>
      </c>
      <c r="Z71" s="815">
        <v>77.097290000000001</v>
      </c>
      <c r="AA71" s="815">
        <v>78.616446999999994</v>
      </c>
      <c r="AB71" s="815">
        <v>80.195571999999999</v>
      </c>
      <c r="AC71" s="815">
        <v>81.828063999999998</v>
      </c>
      <c r="AD71" s="815">
        <v>83.523444999999995</v>
      </c>
      <c r="AE71" s="815">
        <v>85.309119999999993</v>
      </c>
      <c r="AF71" s="814">
        <v>1.7321E-2</v>
      </c>
      <c r="AG71" s="802"/>
    </row>
    <row r="72" spans="1:34" ht="15" customHeight="1">
      <c r="A72" s="800" t="s">
        <v>4522</v>
      </c>
      <c r="B72" s="812" t="s">
        <v>4326</v>
      </c>
      <c r="C72" s="815">
        <v>0.870699</v>
      </c>
      <c r="D72" s="815">
        <v>0.870699</v>
      </c>
      <c r="E72" s="815">
        <v>0.870699</v>
      </c>
      <c r="F72" s="815">
        <v>0.870699</v>
      </c>
      <c r="G72" s="815">
        <v>0.870699</v>
      </c>
      <c r="H72" s="815">
        <v>0.870699</v>
      </c>
      <c r="I72" s="815">
        <v>0.870699</v>
      </c>
      <c r="J72" s="815">
        <v>0.870699</v>
      </c>
      <c r="K72" s="815">
        <v>0.870699</v>
      </c>
      <c r="L72" s="815">
        <v>0.870699</v>
      </c>
      <c r="M72" s="815">
        <v>0.870699</v>
      </c>
      <c r="N72" s="815">
        <v>0.870699</v>
      </c>
      <c r="O72" s="815">
        <v>0.870699</v>
      </c>
      <c r="P72" s="815">
        <v>0.870699</v>
      </c>
      <c r="Q72" s="815">
        <v>0.870699</v>
      </c>
      <c r="R72" s="815">
        <v>0.870699</v>
      </c>
      <c r="S72" s="815">
        <v>0.870699</v>
      </c>
      <c r="T72" s="815">
        <v>0.870699</v>
      </c>
      <c r="U72" s="815">
        <v>0.870699</v>
      </c>
      <c r="V72" s="815">
        <v>0.870699</v>
      </c>
      <c r="W72" s="815">
        <v>0.870699</v>
      </c>
      <c r="X72" s="815">
        <v>0.870699</v>
      </c>
      <c r="Y72" s="815">
        <v>0.870699</v>
      </c>
      <c r="Z72" s="815">
        <v>0.870699</v>
      </c>
      <c r="AA72" s="815">
        <v>0.870699</v>
      </c>
      <c r="AB72" s="815">
        <v>0.870699</v>
      </c>
      <c r="AC72" s="815">
        <v>0.870699</v>
      </c>
      <c r="AD72" s="815">
        <v>0.870699</v>
      </c>
      <c r="AE72" s="815">
        <v>0.870699</v>
      </c>
      <c r="AF72" s="814">
        <v>0</v>
      </c>
      <c r="AG72" s="802"/>
    </row>
    <row r="73" spans="1:34" ht="15" customHeight="1">
      <c r="A73" s="800" t="s">
        <v>4523</v>
      </c>
      <c r="B73" s="812" t="s">
        <v>4328</v>
      </c>
      <c r="C73" s="815">
        <v>3.0337450000000001</v>
      </c>
      <c r="D73" s="815">
        <v>3.170839</v>
      </c>
      <c r="E73" s="815">
        <v>3.170839</v>
      </c>
      <c r="F73" s="815">
        <v>3.170839</v>
      </c>
      <c r="G73" s="815">
        <v>3.4599190000000002</v>
      </c>
      <c r="H73" s="815">
        <v>3.4599190000000002</v>
      </c>
      <c r="I73" s="815">
        <v>3.4599190000000002</v>
      </c>
      <c r="J73" s="815">
        <v>3.4599190000000002</v>
      </c>
      <c r="K73" s="815">
        <v>3.4599190000000002</v>
      </c>
      <c r="L73" s="815">
        <v>3.4599190000000002</v>
      </c>
      <c r="M73" s="815">
        <v>3.4599190000000002</v>
      </c>
      <c r="N73" s="815">
        <v>3.4599190000000002</v>
      </c>
      <c r="O73" s="815">
        <v>3.4599190000000002</v>
      </c>
      <c r="P73" s="815">
        <v>3.4599190000000002</v>
      </c>
      <c r="Q73" s="815">
        <v>3.4599190000000002</v>
      </c>
      <c r="R73" s="815">
        <v>3.4599190000000002</v>
      </c>
      <c r="S73" s="815">
        <v>3.4599190000000002</v>
      </c>
      <c r="T73" s="815">
        <v>3.4599190000000002</v>
      </c>
      <c r="U73" s="815">
        <v>3.4599190000000002</v>
      </c>
      <c r="V73" s="815">
        <v>3.4599190000000002</v>
      </c>
      <c r="W73" s="815">
        <v>3.4599190000000002</v>
      </c>
      <c r="X73" s="815">
        <v>3.4599190000000002</v>
      </c>
      <c r="Y73" s="815">
        <v>3.4599190000000002</v>
      </c>
      <c r="Z73" s="815">
        <v>3.4599190000000002</v>
      </c>
      <c r="AA73" s="815">
        <v>3.4599190000000002</v>
      </c>
      <c r="AB73" s="815">
        <v>3.4599190000000002</v>
      </c>
      <c r="AC73" s="815">
        <v>3.4599190000000002</v>
      </c>
      <c r="AD73" s="815">
        <v>3.4599190000000002</v>
      </c>
      <c r="AE73" s="815">
        <v>3.4599190000000002</v>
      </c>
      <c r="AF73" s="814">
        <v>4.7060000000000001E-3</v>
      </c>
      <c r="AG73" s="802"/>
    </row>
    <row r="74" spans="1:34" ht="15" customHeight="1">
      <c r="A74" s="800" t="s">
        <v>4524</v>
      </c>
      <c r="B74" s="808" t="s">
        <v>4303</v>
      </c>
      <c r="C74" s="816">
        <v>56.656844999999997</v>
      </c>
      <c r="D74" s="816">
        <v>57.819640999999997</v>
      </c>
      <c r="E74" s="816">
        <v>58.636082000000002</v>
      </c>
      <c r="F74" s="816">
        <v>59.262596000000002</v>
      </c>
      <c r="G74" s="816">
        <v>60.572642999999999</v>
      </c>
      <c r="H74" s="816">
        <v>61.219963</v>
      </c>
      <c r="I74" s="816">
        <v>61.886425000000003</v>
      </c>
      <c r="J74" s="816">
        <v>62.571964000000001</v>
      </c>
      <c r="K74" s="816">
        <v>63.281543999999997</v>
      </c>
      <c r="L74" s="816">
        <v>64.025886999999997</v>
      </c>
      <c r="M74" s="816">
        <v>64.817856000000006</v>
      </c>
      <c r="N74" s="816">
        <v>65.675362000000007</v>
      </c>
      <c r="O74" s="816">
        <v>66.609772000000007</v>
      </c>
      <c r="P74" s="816">
        <v>67.609482</v>
      </c>
      <c r="Q74" s="816">
        <v>68.680603000000005</v>
      </c>
      <c r="R74" s="816">
        <v>69.820678999999998</v>
      </c>
      <c r="S74" s="816">
        <v>71.029174999999995</v>
      </c>
      <c r="T74" s="816">
        <v>72.310349000000002</v>
      </c>
      <c r="U74" s="816">
        <v>73.670676999999998</v>
      </c>
      <c r="V74" s="816">
        <v>75.103629999999995</v>
      </c>
      <c r="W74" s="816">
        <v>76.600348999999994</v>
      </c>
      <c r="X74" s="816">
        <v>78.161452999999995</v>
      </c>
      <c r="Y74" s="816">
        <v>79.780822999999998</v>
      </c>
      <c r="Z74" s="816">
        <v>81.436104</v>
      </c>
      <c r="AA74" s="816">
        <v>82.955260999999993</v>
      </c>
      <c r="AB74" s="816">
        <v>84.534385999999998</v>
      </c>
      <c r="AC74" s="816">
        <v>86.166877999999997</v>
      </c>
      <c r="AD74" s="816">
        <v>87.862251000000001</v>
      </c>
      <c r="AE74" s="816">
        <v>89.647948999999997</v>
      </c>
      <c r="AF74" s="810">
        <v>1.6522999999999999E-2</v>
      </c>
      <c r="AG74" s="802"/>
    </row>
    <row r="75" spans="1:34" ht="12" customHeight="1">
      <c r="B75" s="808" t="s">
        <v>4336</v>
      </c>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1:34" ht="15" customHeight="1">
      <c r="A76" s="800" t="s">
        <v>4525</v>
      </c>
      <c r="B76" s="812" t="s">
        <v>4338</v>
      </c>
      <c r="C76" s="815">
        <v>18.449078</v>
      </c>
      <c r="D76" s="815">
        <v>18.768723999999999</v>
      </c>
      <c r="E76" s="815">
        <v>18.985325</v>
      </c>
      <c r="F76" s="815">
        <v>19.151543</v>
      </c>
      <c r="G76" s="815">
        <v>19.454740999999999</v>
      </c>
      <c r="H76" s="815">
        <v>19.626470999999999</v>
      </c>
      <c r="I76" s="815">
        <v>19.803287999999998</v>
      </c>
      <c r="J76" s="815">
        <v>19.985161000000002</v>
      </c>
      <c r="K76" s="815">
        <v>20.173411999999999</v>
      </c>
      <c r="L76" s="815">
        <v>20.370884</v>
      </c>
      <c r="M76" s="815">
        <v>20.580995999999999</v>
      </c>
      <c r="N76" s="815">
        <v>20.808489000000002</v>
      </c>
      <c r="O76" s="815">
        <v>21.056391000000001</v>
      </c>
      <c r="P76" s="815">
        <v>21.321615000000001</v>
      </c>
      <c r="Q76" s="815">
        <v>21.605779999999999</v>
      </c>
      <c r="R76" s="815">
        <v>21.908238999999998</v>
      </c>
      <c r="S76" s="815">
        <v>22.228857000000001</v>
      </c>
      <c r="T76" s="815">
        <v>22.568750000000001</v>
      </c>
      <c r="U76" s="815">
        <v>22.929646999999999</v>
      </c>
      <c r="V76" s="815">
        <v>23.309813999999999</v>
      </c>
      <c r="W76" s="815">
        <v>23.706892</v>
      </c>
      <c r="X76" s="815">
        <v>24.121046</v>
      </c>
      <c r="Y76" s="815">
        <v>24.550667000000001</v>
      </c>
      <c r="Z76" s="815">
        <v>24.989819000000001</v>
      </c>
      <c r="AA76" s="815">
        <v>25.392848999999998</v>
      </c>
      <c r="AB76" s="815">
        <v>25.811792000000001</v>
      </c>
      <c r="AC76" s="815">
        <v>26.244890000000002</v>
      </c>
      <c r="AD76" s="815">
        <v>26.694672000000001</v>
      </c>
      <c r="AE76" s="815">
        <v>27.168413000000001</v>
      </c>
      <c r="AF76" s="814">
        <v>1.3919000000000001E-2</v>
      </c>
      <c r="AG76" s="802"/>
    </row>
    <row r="77" spans="1:34" ht="15" customHeight="1">
      <c r="A77" s="800" t="s">
        <v>4526</v>
      </c>
      <c r="B77" s="812" t="s">
        <v>4340</v>
      </c>
      <c r="C77" s="815">
        <v>38.207766999999997</v>
      </c>
      <c r="D77" s="815">
        <v>39.050919</v>
      </c>
      <c r="E77" s="815">
        <v>39.650753000000002</v>
      </c>
      <c r="F77" s="815">
        <v>40.111052999999998</v>
      </c>
      <c r="G77" s="815">
        <v>41.117901000000003</v>
      </c>
      <c r="H77" s="815">
        <v>41.593491</v>
      </c>
      <c r="I77" s="815">
        <v>42.083137999999998</v>
      </c>
      <c r="J77" s="815">
        <v>42.586803000000003</v>
      </c>
      <c r="K77" s="815">
        <v>43.108128000000001</v>
      </c>
      <c r="L77" s="815">
        <v>43.655003000000001</v>
      </c>
      <c r="M77" s="815">
        <v>44.236857999999998</v>
      </c>
      <c r="N77" s="815">
        <v>44.866871000000003</v>
      </c>
      <c r="O77" s="815">
        <v>45.553382999999997</v>
      </c>
      <c r="P77" s="815">
        <v>46.287868000000003</v>
      </c>
      <c r="Q77" s="815">
        <v>47.074824999999997</v>
      </c>
      <c r="R77" s="815">
        <v>47.912441000000001</v>
      </c>
      <c r="S77" s="815">
        <v>48.800319999999999</v>
      </c>
      <c r="T77" s="815">
        <v>49.741596000000001</v>
      </c>
      <c r="U77" s="815">
        <v>50.741031999999997</v>
      </c>
      <c r="V77" s="815">
        <v>51.793816</v>
      </c>
      <c r="W77" s="815">
        <v>52.893456</v>
      </c>
      <c r="X77" s="815">
        <v>54.040405</v>
      </c>
      <c r="Y77" s="815">
        <v>55.230159999999998</v>
      </c>
      <c r="Z77" s="815">
        <v>56.446285000000003</v>
      </c>
      <c r="AA77" s="815">
        <v>57.562412000000002</v>
      </c>
      <c r="AB77" s="815">
        <v>58.722591000000001</v>
      </c>
      <c r="AC77" s="815">
        <v>59.921989000000004</v>
      </c>
      <c r="AD77" s="815">
        <v>61.167580000000001</v>
      </c>
      <c r="AE77" s="815">
        <v>62.479534000000001</v>
      </c>
      <c r="AF77" s="814">
        <v>1.772E-2</v>
      </c>
      <c r="AG77" s="802"/>
    </row>
    <row r="78" spans="1:34" ht="15" customHeight="1" thickBot="1">
      <c r="B78" s="802"/>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4" ht="15" customHeight="1">
      <c r="B79" s="1258" t="s">
        <v>4417</v>
      </c>
      <c r="C79" s="1259"/>
      <c r="D79" s="1259"/>
      <c r="E79" s="1259"/>
      <c r="F79" s="1259"/>
      <c r="G79" s="1259"/>
      <c r="H79" s="1259"/>
      <c r="I79" s="1259"/>
      <c r="J79" s="1259"/>
      <c r="K79" s="1259"/>
      <c r="L79" s="1259"/>
      <c r="M79" s="1259"/>
      <c r="N79" s="1259"/>
      <c r="O79" s="1259"/>
      <c r="P79" s="1259"/>
      <c r="Q79" s="1259"/>
      <c r="R79" s="1259"/>
      <c r="S79" s="1259"/>
      <c r="T79" s="1259"/>
      <c r="U79" s="1259"/>
      <c r="V79" s="1259"/>
      <c r="W79" s="1259"/>
      <c r="X79" s="1259"/>
      <c r="Y79" s="1259"/>
      <c r="Z79" s="1259"/>
      <c r="AA79" s="1259"/>
      <c r="AB79" s="1259"/>
      <c r="AC79" s="1259"/>
      <c r="AD79" s="1259"/>
      <c r="AE79" s="1259"/>
      <c r="AF79" s="1259"/>
      <c r="AG79" s="1259"/>
      <c r="AH79" s="817"/>
    </row>
    <row r="80" spans="1:34" ht="15" customHeight="1">
      <c r="B80" s="802" t="s">
        <v>4418</v>
      </c>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2:33" ht="15" customHeight="1">
      <c r="B81" s="802" t="s">
        <v>4527</v>
      </c>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t="s">
        <v>4528</v>
      </c>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2" customHeight="1">
      <c r="B83" s="802" t="s">
        <v>4420</v>
      </c>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t="s">
        <v>4529</v>
      </c>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row>
    <row r="85" spans="2:33" ht="15" customHeight="1">
      <c r="B85" s="802" t="s">
        <v>4361</v>
      </c>
      <c r="C85" s="802"/>
      <c r="D85" s="802"/>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2"/>
      <c r="AE85" s="802"/>
      <c r="AF85" s="802"/>
      <c r="AG85" s="802"/>
    </row>
    <row r="86" spans="2:33" ht="15" customHeight="1">
      <c r="B86" s="802" t="s">
        <v>4530</v>
      </c>
      <c r="C86" s="802"/>
      <c r="D86" s="802"/>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row>
    <row r="87" spans="2:33" ht="15" customHeight="1">
      <c r="B87" s="802" t="s">
        <v>4363</v>
      </c>
      <c r="C87" s="802"/>
      <c r="D87" s="802"/>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2"/>
      <c r="AE87" s="802"/>
      <c r="AF87" s="802"/>
      <c r="AG87" s="802"/>
    </row>
    <row r="88" spans="2:33" ht="15" customHeight="1">
      <c r="B88" s="802" t="s">
        <v>4364</v>
      </c>
      <c r="C88" s="802"/>
      <c r="D88" s="802"/>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2"/>
      <c r="AE88" s="802"/>
      <c r="AF88" s="802"/>
      <c r="AG88" s="802"/>
    </row>
    <row r="89" spans="2:33" ht="12" customHeight="1">
      <c r="B89" s="802" t="s">
        <v>4365</v>
      </c>
      <c r="C89" s="802"/>
      <c r="D89" s="802"/>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row>
    <row r="90" spans="2:33" ht="15" customHeight="1">
      <c r="B90" s="802" t="s">
        <v>4366</v>
      </c>
      <c r="C90" s="802"/>
      <c r="D90" s="802"/>
      <c r="E90" s="802"/>
      <c r="F90" s="802"/>
      <c r="G90" s="802"/>
      <c r="H90" s="802"/>
      <c r="I90" s="802"/>
      <c r="J90" s="802"/>
      <c r="K90" s="802"/>
      <c r="L90" s="802"/>
      <c r="M90" s="802"/>
      <c r="N90" s="802"/>
      <c r="O90" s="802"/>
      <c r="P90" s="802"/>
      <c r="Q90" s="802"/>
      <c r="R90" s="802"/>
      <c r="S90" s="802"/>
      <c r="T90" s="802"/>
      <c r="U90" s="802"/>
      <c r="V90" s="802"/>
      <c r="W90" s="802"/>
      <c r="X90" s="802"/>
      <c r="Y90" s="802"/>
      <c r="Z90" s="802"/>
      <c r="AA90" s="802"/>
      <c r="AB90" s="802"/>
      <c r="AC90" s="802"/>
      <c r="AD90" s="802"/>
      <c r="AE90" s="802"/>
      <c r="AF90" s="802"/>
      <c r="AG90" s="802"/>
    </row>
    <row r="91" spans="2:33" ht="15" customHeight="1">
      <c r="B91" s="802" t="s">
        <v>4424</v>
      </c>
      <c r="C91" s="802"/>
      <c r="D91" s="802"/>
      <c r="E91" s="802"/>
      <c r="F91" s="802"/>
      <c r="G91" s="802"/>
      <c r="H91" s="802"/>
      <c r="I91" s="802"/>
      <c r="J91" s="802"/>
      <c r="K91" s="802"/>
      <c r="L91" s="802"/>
      <c r="M91" s="802"/>
      <c r="N91" s="802"/>
      <c r="O91" s="802"/>
      <c r="P91" s="802"/>
      <c r="Q91" s="802"/>
      <c r="R91" s="802"/>
      <c r="S91" s="802"/>
      <c r="T91" s="802"/>
      <c r="U91" s="802"/>
      <c r="V91" s="802"/>
      <c r="W91" s="802"/>
      <c r="X91" s="802"/>
      <c r="Y91" s="802"/>
      <c r="Z91" s="802"/>
      <c r="AA91" s="802"/>
      <c r="AB91" s="802"/>
      <c r="AC91" s="802"/>
      <c r="AD91" s="802"/>
      <c r="AE91" s="802"/>
      <c r="AF91" s="802"/>
      <c r="AG91" s="802"/>
    </row>
    <row r="92" spans="2:33" ht="15" customHeight="1">
      <c r="B92" s="802" t="s">
        <v>4425</v>
      </c>
      <c r="C92" s="802"/>
      <c r="D92" s="802"/>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2"/>
      <c r="AE92" s="802"/>
      <c r="AF92" s="802"/>
      <c r="AG92" s="802"/>
    </row>
    <row r="93" spans="2:33" ht="15" customHeight="1">
      <c r="B93" s="802"/>
      <c r="C93" s="802"/>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row>
    <row r="94" spans="2:33" ht="12" customHeight="1">
      <c r="B94" s="802"/>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2:33" ht="15" customHeight="1">
      <c r="B95" s="802"/>
      <c r="C95" s="802"/>
      <c r="D95" s="802"/>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2"/>
      <c r="AE95" s="802"/>
      <c r="AF95" s="802"/>
      <c r="AG95" s="802"/>
    </row>
    <row r="96" spans="2:33" ht="15" customHeight="1">
      <c r="B96" s="802"/>
      <c r="C96" s="802"/>
      <c r="D96" s="802"/>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2"/>
      <c r="AE96" s="802"/>
      <c r="AF96" s="802"/>
      <c r="AG96" s="802"/>
    </row>
    <row r="97" spans="2:33" ht="15" customHeight="1">
      <c r="B97" s="802"/>
      <c r="C97" s="802"/>
      <c r="D97" s="802"/>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2"/>
      <c r="AE97" s="802"/>
      <c r="AF97" s="802"/>
      <c r="AG97" s="802"/>
    </row>
    <row r="98" spans="2:33" ht="12" customHeight="1">
      <c r="B98" s="802"/>
      <c r="C98" s="802"/>
      <c r="D98" s="802"/>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2"/>
      <c r="AE98" s="802"/>
      <c r="AF98" s="802"/>
      <c r="AG98" s="802"/>
    </row>
    <row r="99" spans="2:33" ht="15" customHeight="1">
      <c r="B99" s="802"/>
      <c r="C99" s="802"/>
      <c r="D99" s="802"/>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2"/>
      <c r="AE99" s="802"/>
      <c r="AF99" s="802"/>
      <c r="AG99" s="802"/>
    </row>
    <row r="100" spans="2:33" ht="15" customHeight="1">
      <c r="B100" s="802"/>
      <c r="C100" s="802"/>
      <c r="D100" s="802"/>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2"/>
      <c r="AE100" s="802"/>
      <c r="AF100" s="802"/>
      <c r="AG100" s="802"/>
    </row>
    <row r="101" spans="2:33" ht="15" customHeight="1">
      <c r="B101" s="802"/>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2:33" ht="15" customHeight="1">
      <c r="B102" s="802"/>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2:33" ht="15" customHeight="1">
      <c r="B103" s="802"/>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2:33" ht="15" customHeight="1">
      <c r="B104" s="802"/>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2:33" ht="15" customHeight="1">
      <c r="B105" s="802"/>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2:33" ht="12" customHeight="1">
      <c r="B106" s="802"/>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2:33" ht="15" customHeight="1">
      <c r="B107" s="802"/>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2:33" ht="15" customHeight="1">
      <c r="B108" s="802"/>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802"/>
      <c r="AG108" s="802"/>
    </row>
    <row r="109" spans="2:33" ht="15" customHeight="1">
      <c r="B109" s="802"/>
      <c r="C109" s="802"/>
      <c r="D109" s="802"/>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2"/>
      <c r="AE109" s="802"/>
      <c r="AF109" s="802" t="s">
        <v>1505</v>
      </c>
      <c r="AG109" s="802"/>
    </row>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79:AG79"/>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C1122-2DDA-4A03-BA0A-B3E636D99446}">
  <dimension ref="A1:AH2828"/>
  <sheetViews>
    <sheetView workbookViewId="0">
      <pane xSplit="2" ySplit="1" topLeftCell="C2" activePane="bottomRight" state="frozen"/>
      <selection pane="bottomRight" activeCell="C15" sqref="C15"/>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4531</v>
      </c>
      <c r="B10" s="801" t="s">
        <v>4532</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4533</v>
      </c>
      <c r="B15" s="808" t="s">
        <v>4242</v>
      </c>
      <c r="C15" s="809">
        <v>23.835207</v>
      </c>
      <c r="D15" s="809">
        <v>22.431635</v>
      </c>
      <c r="E15" s="809">
        <v>22.050007000000001</v>
      </c>
      <c r="F15" s="809">
        <v>22.057528999999999</v>
      </c>
      <c r="G15" s="809">
        <v>22.68103</v>
      </c>
      <c r="H15" s="809">
        <v>23.030569</v>
      </c>
      <c r="I15" s="809">
        <v>23.301846999999999</v>
      </c>
      <c r="J15" s="809">
        <v>23.512806000000001</v>
      </c>
      <c r="K15" s="809">
        <v>23.634198999999999</v>
      </c>
      <c r="L15" s="809">
        <v>23.801591999999999</v>
      </c>
      <c r="M15" s="809">
        <v>24.003617999999999</v>
      </c>
      <c r="N15" s="809">
        <v>24.275005</v>
      </c>
      <c r="O15" s="809">
        <v>24.565556000000001</v>
      </c>
      <c r="P15" s="809">
        <v>24.908245000000001</v>
      </c>
      <c r="Q15" s="809">
        <v>25.079616999999999</v>
      </c>
      <c r="R15" s="809">
        <v>25.316305</v>
      </c>
      <c r="S15" s="809">
        <v>25.550051</v>
      </c>
      <c r="T15" s="809">
        <v>25.968063000000001</v>
      </c>
      <c r="U15" s="809">
        <v>26.382377999999999</v>
      </c>
      <c r="V15" s="809">
        <v>26.675877</v>
      </c>
      <c r="W15" s="809">
        <v>27.04561</v>
      </c>
      <c r="X15" s="809">
        <v>27.182400000000001</v>
      </c>
      <c r="Y15" s="809">
        <v>27.408552</v>
      </c>
      <c r="Z15" s="809">
        <v>27.686163000000001</v>
      </c>
      <c r="AA15" s="809">
        <v>28.096257999999999</v>
      </c>
      <c r="AB15" s="809">
        <v>28.340467</v>
      </c>
      <c r="AC15" s="809">
        <v>28.420309</v>
      </c>
      <c r="AD15" s="809">
        <v>28.615231000000001</v>
      </c>
      <c r="AE15" s="809">
        <v>28.898367</v>
      </c>
      <c r="AF15" s="810">
        <v>6.9030000000000003E-3</v>
      </c>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A18" s="800" t="s">
        <v>4534</v>
      </c>
      <c r="B18" s="812" t="s">
        <v>4248</v>
      </c>
      <c r="C18" s="813">
        <v>0</v>
      </c>
      <c r="D18" s="813">
        <v>0</v>
      </c>
      <c r="E18" s="813">
        <v>0</v>
      </c>
      <c r="F18" s="813">
        <v>0</v>
      </c>
      <c r="G18" s="813">
        <v>0</v>
      </c>
      <c r="H18" s="813">
        <v>0</v>
      </c>
      <c r="I18" s="813">
        <v>0</v>
      </c>
      <c r="J18" s="813">
        <v>0</v>
      </c>
      <c r="K18" s="813">
        <v>0</v>
      </c>
      <c r="L18" s="813">
        <v>0</v>
      </c>
      <c r="M18" s="813">
        <v>0</v>
      </c>
      <c r="N18" s="813">
        <v>0</v>
      </c>
      <c r="O18" s="813">
        <v>0</v>
      </c>
      <c r="P18" s="813">
        <v>0</v>
      </c>
      <c r="Q18" s="813">
        <v>0</v>
      </c>
      <c r="R18" s="813">
        <v>0</v>
      </c>
      <c r="S18" s="813">
        <v>0</v>
      </c>
      <c r="T18" s="813">
        <v>0</v>
      </c>
      <c r="U18" s="813">
        <v>0</v>
      </c>
      <c r="V18" s="813">
        <v>0</v>
      </c>
      <c r="W18" s="813">
        <v>0</v>
      </c>
      <c r="X18" s="813">
        <v>0</v>
      </c>
      <c r="Y18" s="813">
        <v>0</v>
      </c>
      <c r="Z18" s="813">
        <v>0</v>
      </c>
      <c r="AA18" s="813">
        <v>0</v>
      </c>
      <c r="AB18" s="813">
        <v>0</v>
      </c>
      <c r="AC18" s="813">
        <v>0</v>
      </c>
      <c r="AD18" s="813">
        <v>0</v>
      </c>
      <c r="AE18" s="813">
        <v>0</v>
      </c>
      <c r="AF18" s="814" t="s">
        <v>2805</v>
      </c>
      <c r="AG18" s="802"/>
    </row>
    <row r="19" spans="1:33" ht="15" customHeight="1">
      <c r="A19" s="800" t="s">
        <v>4535</v>
      </c>
      <c r="B19" s="812" t="s">
        <v>4250</v>
      </c>
      <c r="C19" s="813">
        <v>0</v>
      </c>
      <c r="D19" s="813">
        <v>0</v>
      </c>
      <c r="E19" s="813">
        <v>0</v>
      </c>
      <c r="F19" s="813">
        <v>0</v>
      </c>
      <c r="G19" s="813">
        <v>0</v>
      </c>
      <c r="H19" s="813">
        <v>0</v>
      </c>
      <c r="I19" s="813">
        <v>0</v>
      </c>
      <c r="J19" s="813">
        <v>0</v>
      </c>
      <c r="K19" s="813">
        <v>0</v>
      </c>
      <c r="L19" s="813">
        <v>0</v>
      </c>
      <c r="M19" s="813">
        <v>0</v>
      </c>
      <c r="N19" s="813">
        <v>0</v>
      </c>
      <c r="O19" s="813">
        <v>0</v>
      </c>
      <c r="P19" s="813">
        <v>0</v>
      </c>
      <c r="Q19" s="813">
        <v>0</v>
      </c>
      <c r="R19" s="813">
        <v>0</v>
      </c>
      <c r="S19" s="813">
        <v>0</v>
      </c>
      <c r="T19" s="813">
        <v>0</v>
      </c>
      <c r="U19" s="813">
        <v>0</v>
      </c>
      <c r="V19" s="813">
        <v>0</v>
      </c>
      <c r="W19" s="813">
        <v>0</v>
      </c>
      <c r="X19" s="813">
        <v>0</v>
      </c>
      <c r="Y19" s="813">
        <v>0</v>
      </c>
      <c r="Z19" s="813">
        <v>0</v>
      </c>
      <c r="AA19" s="813">
        <v>0</v>
      </c>
      <c r="AB19" s="813">
        <v>0</v>
      </c>
      <c r="AC19" s="813">
        <v>0</v>
      </c>
      <c r="AD19" s="813">
        <v>0</v>
      </c>
      <c r="AE19" s="813">
        <v>0</v>
      </c>
      <c r="AF19" s="814" t="s">
        <v>2805</v>
      </c>
      <c r="AG19" s="802"/>
    </row>
    <row r="20" spans="1:33" ht="15" customHeight="1">
      <c r="A20" s="800" t="s">
        <v>4536</v>
      </c>
      <c r="B20" s="812" t="s">
        <v>4377</v>
      </c>
      <c r="C20" s="813">
        <v>0</v>
      </c>
      <c r="D20" s="813">
        <v>0</v>
      </c>
      <c r="E20" s="813">
        <v>0</v>
      </c>
      <c r="F20" s="813">
        <v>0</v>
      </c>
      <c r="G20" s="813">
        <v>0</v>
      </c>
      <c r="H20" s="813">
        <v>0</v>
      </c>
      <c r="I20" s="813">
        <v>0</v>
      </c>
      <c r="J20" s="813">
        <v>0</v>
      </c>
      <c r="K20" s="813">
        <v>0</v>
      </c>
      <c r="L20" s="813">
        <v>0</v>
      </c>
      <c r="M20" s="813">
        <v>0</v>
      </c>
      <c r="N20" s="813">
        <v>0</v>
      </c>
      <c r="O20" s="813">
        <v>0</v>
      </c>
      <c r="P20" s="813">
        <v>0</v>
      </c>
      <c r="Q20" s="813">
        <v>0</v>
      </c>
      <c r="R20" s="813">
        <v>0</v>
      </c>
      <c r="S20" s="813">
        <v>0</v>
      </c>
      <c r="T20" s="813">
        <v>0</v>
      </c>
      <c r="U20" s="813">
        <v>0</v>
      </c>
      <c r="V20" s="813">
        <v>0</v>
      </c>
      <c r="W20" s="813">
        <v>0</v>
      </c>
      <c r="X20" s="813">
        <v>0</v>
      </c>
      <c r="Y20" s="813">
        <v>0</v>
      </c>
      <c r="Z20" s="813">
        <v>0</v>
      </c>
      <c r="AA20" s="813">
        <v>0</v>
      </c>
      <c r="AB20" s="813">
        <v>0</v>
      </c>
      <c r="AC20" s="813">
        <v>0</v>
      </c>
      <c r="AD20" s="813">
        <v>0</v>
      </c>
      <c r="AE20" s="813">
        <v>0</v>
      </c>
      <c r="AF20" s="814" t="s">
        <v>2805</v>
      </c>
      <c r="AG20" s="802"/>
    </row>
    <row r="21" spans="1:33" ht="15" customHeight="1">
      <c r="A21" s="800" t="s">
        <v>4537</v>
      </c>
      <c r="B21" s="812" t="s">
        <v>4260</v>
      </c>
      <c r="C21" s="813">
        <v>0</v>
      </c>
      <c r="D21" s="813">
        <v>0</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5" customHeight="1">
      <c r="A22" s="800" t="s">
        <v>4538</v>
      </c>
      <c r="B22" s="812" t="s">
        <v>4262</v>
      </c>
      <c r="C22" s="813">
        <v>104.14091500000001</v>
      </c>
      <c r="D22" s="813">
        <v>94.444571999999994</v>
      </c>
      <c r="E22" s="813">
        <v>94.815353000000002</v>
      </c>
      <c r="F22" s="813">
        <v>93.321479999999994</v>
      </c>
      <c r="G22" s="813">
        <v>93.478935000000007</v>
      </c>
      <c r="H22" s="813">
        <v>92.314323000000002</v>
      </c>
      <c r="I22" s="813">
        <v>90.719048000000001</v>
      </c>
      <c r="J22" s="813">
        <v>88.915763999999996</v>
      </c>
      <c r="K22" s="813">
        <v>86.793991000000005</v>
      </c>
      <c r="L22" s="813">
        <v>84.603966</v>
      </c>
      <c r="M22" s="813">
        <v>82.535820000000001</v>
      </c>
      <c r="N22" s="813">
        <v>80.982376000000002</v>
      </c>
      <c r="O22" s="813">
        <v>79.718231000000003</v>
      </c>
      <c r="P22" s="813">
        <v>78.730536999999998</v>
      </c>
      <c r="Q22" s="813">
        <v>78.047920000000005</v>
      </c>
      <c r="R22" s="813">
        <v>77.602385999999996</v>
      </c>
      <c r="S22" s="813">
        <v>77.033607000000003</v>
      </c>
      <c r="T22" s="813">
        <v>77.683043999999995</v>
      </c>
      <c r="U22" s="813">
        <v>77.750572000000005</v>
      </c>
      <c r="V22" s="813">
        <v>77.636039999999994</v>
      </c>
      <c r="W22" s="813">
        <v>77.933707999999996</v>
      </c>
      <c r="X22" s="813">
        <v>77.581123000000005</v>
      </c>
      <c r="Y22" s="813">
        <v>77.575951000000003</v>
      </c>
      <c r="Z22" s="813">
        <v>77.691817999999998</v>
      </c>
      <c r="AA22" s="813">
        <v>78.182845999999998</v>
      </c>
      <c r="AB22" s="813">
        <v>78.291801000000007</v>
      </c>
      <c r="AC22" s="813">
        <v>78.017280999999997</v>
      </c>
      <c r="AD22" s="813">
        <v>78.026993000000004</v>
      </c>
      <c r="AE22" s="813">
        <v>78.050781000000001</v>
      </c>
      <c r="AF22" s="814">
        <v>-1.0246999999999999E-2</v>
      </c>
      <c r="AG22" s="802"/>
    </row>
    <row r="23" spans="1:33" ht="15" customHeight="1">
      <c r="A23" s="800" t="s">
        <v>4539</v>
      </c>
      <c r="B23" s="812" t="s">
        <v>4383</v>
      </c>
      <c r="C23" s="813">
        <v>0</v>
      </c>
      <c r="D23" s="813">
        <v>0</v>
      </c>
      <c r="E23" s="813">
        <v>0</v>
      </c>
      <c r="F23" s="813">
        <v>0</v>
      </c>
      <c r="G23" s="813">
        <v>0</v>
      </c>
      <c r="H23" s="813">
        <v>0</v>
      </c>
      <c r="I23" s="813">
        <v>0</v>
      </c>
      <c r="J23" s="813">
        <v>0</v>
      </c>
      <c r="K23" s="813">
        <v>0</v>
      </c>
      <c r="L23" s="813">
        <v>0</v>
      </c>
      <c r="M23" s="813">
        <v>0</v>
      </c>
      <c r="N23" s="813">
        <v>0</v>
      </c>
      <c r="O23" s="813">
        <v>0</v>
      </c>
      <c r="P23" s="813">
        <v>0</v>
      </c>
      <c r="Q23" s="813">
        <v>0</v>
      </c>
      <c r="R23" s="813">
        <v>0</v>
      </c>
      <c r="S23" s="813">
        <v>0</v>
      </c>
      <c r="T23" s="813">
        <v>0</v>
      </c>
      <c r="U23" s="813">
        <v>0</v>
      </c>
      <c r="V23" s="813">
        <v>0</v>
      </c>
      <c r="W23" s="813">
        <v>0</v>
      </c>
      <c r="X23" s="813">
        <v>0</v>
      </c>
      <c r="Y23" s="813">
        <v>0</v>
      </c>
      <c r="Z23" s="813">
        <v>0</v>
      </c>
      <c r="AA23" s="813">
        <v>0</v>
      </c>
      <c r="AB23" s="813">
        <v>0</v>
      </c>
      <c r="AC23" s="813">
        <v>0</v>
      </c>
      <c r="AD23" s="813">
        <v>0</v>
      </c>
      <c r="AE23" s="813">
        <v>0</v>
      </c>
      <c r="AF23" s="814" t="s">
        <v>2805</v>
      </c>
      <c r="AG23" s="802"/>
    </row>
    <row r="24" spans="1:33" ht="15" customHeight="1">
      <c r="A24" s="800" t="s">
        <v>4540</v>
      </c>
      <c r="B24" s="812" t="s">
        <v>4274</v>
      </c>
      <c r="C24" s="813">
        <v>51.022025999999997</v>
      </c>
      <c r="D24" s="813">
        <v>44.848545000000001</v>
      </c>
      <c r="E24" s="813">
        <v>43.341197999999999</v>
      </c>
      <c r="F24" s="813">
        <v>42.911842</v>
      </c>
      <c r="G24" s="813">
        <v>43.394942999999998</v>
      </c>
      <c r="H24" s="813">
        <v>43.543540999999998</v>
      </c>
      <c r="I24" s="813">
        <v>43.604778000000003</v>
      </c>
      <c r="J24" s="813">
        <v>43.575175999999999</v>
      </c>
      <c r="K24" s="813">
        <v>43.366973999999999</v>
      </c>
      <c r="L24" s="813">
        <v>43.216763</v>
      </c>
      <c r="M24" s="813">
        <v>43.139434999999999</v>
      </c>
      <c r="N24" s="813">
        <v>43.079971</v>
      </c>
      <c r="O24" s="813">
        <v>43.219352999999998</v>
      </c>
      <c r="P24" s="813">
        <v>43.569015999999998</v>
      </c>
      <c r="Q24" s="813">
        <v>43.450080999999997</v>
      </c>
      <c r="R24" s="813">
        <v>43.464737</v>
      </c>
      <c r="S24" s="813">
        <v>43.507511000000001</v>
      </c>
      <c r="T24" s="813">
        <v>43.677757</v>
      </c>
      <c r="U24" s="813">
        <v>44.002913999999997</v>
      </c>
      <c r="V24" s="813">
        <v>44.119888000000003</v>
      </c>
      <c r="W24" s="813">
        <v>44.353081000000003</v>
      </c>
      <c r="X24" s="813">
        <v>44.198005999999999</v>
      </c>
      <c r="Y24" s="813">
        <v>44.210048999999998</v>
      </c>
      <c r="Z24" s="813">
        <v>44.397880999999998</v>
      </c>
      <c r="AA24" s="813">
        <v>44.787787999999999</v>
      </c>
      <c r="AB24" s="813">
        <v>44.936363</v>
      </c>
      <c r="AC24" s="813">
        <v>44.839652999999998</v>
      </c>
      <c r="AD24" s="813">
        <v>44.918320000000001</v>
      </c>
      <c r="AE24" s="813">
        <v>45.116104</v>
      </c>
      <c r="AF24" s="814">
        <v>-4.3839999999999999E-3</v>
      </c>
      <c r="AG24" s="802"/>
    </row>
    <row r="25" spans="1:33" ht="15" customHeight="1">
      <c r="A25" s="800" t="s">
        <v>4541</v>
      </c>
      <c r="B25" s="808" t="s">
        <v>4276</v>
      </c>
      <c r="C25" s="811">
        <v>155.16293300000001</v>
      </c>
      <c r="D25" s="811">
        <v>139.29312100000001</v>
      </c>
      <c r="E25" s="811">
        <v>138.156555</v>
      </c>
      <c r="F25" s="811">
        <v>136.23332199999999</v>
      </c>
      <c r="G25" s="811">
        <v>136.87387100000001</v>
      </c>
      <c r="H25" s="811">
        <v>135.85786400000001</v>
      </c>
      <c r="I25" s="811">
        <v>134.32382200000001</v>
      </c>
      <c r="J25" s="811">
        <v>132.490936</v>
      </c>
      <c r="K25" s="811">
        <v>130.160965</v>
      </c>
      <c r="L25" s="811">
        <v>127.820724</v>
      </c>
      <c r="M25" s="811">
        <v>125.67525500000001</v>
      </c>
      <c r="N25" s="811">
        <v>124.062347</v>
      </c>
      <c r="O25" s="811">
        <v>122.937584</v>
      </c>
      <c r="P25" s="811">
        <v>122.299553</v>
      </c>
      <c r="Q25" s="811">
        <v>121.498001</v>
      </c>
      <c r="R25" s="811">
        <v>121.067123</v>
      </c>
      <c r="S25" s="811">
        <v>120.541122</v>
      </c>
      <c r="T25" s="811">
        <v>121.36080200000001</v>
      </c>
      <c r="U25" s="811">
        <v>121.75348700000001</v>
      </c>
      <c r="V25" s="811">
        <v>121.755928</v>
      </c>
      <c r="W25" s="811">
        <v>122.286789</v>
      </c>
      <c r="X25" s="811">
        <v>121.779129</v>
      </c>
      <c r="Y25" s="811">
        <v>121.785995</v>
      </c>
      <c r="Z25" s="811">
        <v>122.089699</v>
      </c>
      <c r="AA25" s="811">
        <v>122.970634</v>
      </c>
      <c r="AB25" s="811">
        <v>123.228165</v>
      </c>
      <c r="AC25" s="811">
        <v>122.856934</v>
      </c>
      <c r="AD25" s="811">
        <v>122.945312</v>
      </c>
      <c r="AE25" s="811">
        <v>123.16688499999999</v>
      </c>
      <c r="AF25" s="810">
        <v>-8.2140000000000008E-3</v>
      </c>
      <c r="AG25" s="802"/>
    </row>
    <row r="26" spans="1:33" ht="15" customHeight="1">
      <c r="B26" s="802"/>
      <c r="C26" s="802"/>
      <c r="D26" s="802"/>
      <c r="E26" s="802"/>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802"/>
    </row>
    <row r="27" spans="1:33" ht="15" customHeight="1">
      <c r="B27" s="808" t="s">
        <v>4388</v>
      </c>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c r="AE27" s="802"/>
      <c r="AF27" s="802"/>
      <c r="AG27" s="802"/>
    </row>
    <row r="28" spans="1:33" ht="15" customHeight="1">
      <c r="B28" s="808" t="s">
        <v>4389</v>
      </c>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row>
    <row r="29" spans="1:33" ht="15" customHeight="1">
      <c r="A29" s="800" t="s">
        <v>4542</v>
      </c>
      <c r="B29" s="812" t="s">
        <v>4248</v>
      </c>
      <c r="C29" s="815">
        <v>0</v>
      </c>
      <c r="D29" s="815">
        <v>0</v>
      </c>
      <c r="E29" s="815">
        <v>0</v>
      </c>
      <c r="F29" s="815">
        <v>0</v>
      </c>
      <c r="G29" s="815">
        <v>0</v>
      </c>
      <c r="H29" s="815">
        <v>0</v>
      </c>
      <c r="I29" s="815">
        <v>0</v>
      </c>
      <c r="J29" s="815">
        <v>0</v>
      </c>
      <c r="K29" s="815">
        <v>0</v>
      </c>
      <c r="L29" s="815">
        <v>0</v>
      </c>
      <c r="M29" s="815">
        <v>0</v>
      </c>
      <c r="N29" s="815">
        <v>0</v>
      </c>
      <c r="O29" s="815">
        <v>0</v>
      </c>
      <c r="P29" s="815">
        <v>0</v>
      </c>
      <c r="Q29" s="815">
        <v>0</v>
      </c>
      <c r="R29" s="815">
        <v>0</v>
      </c>
      <c r="S29" s="815">
        <v>0</v>
      </c>
      <c r="T29" s="815">
        <v>0</v>
      </c>
      <c r="U29" s="815">
        <v>0</v>
      </c>
      <c r="V29" s="815">
        <v>0</v>
      </c>
      <c r="W29" s="815">
        <v>0</v>
      </c>
      <c r="X29" s="815">
        <v>0</v>
      </c>
      <c r="Y29" s="815">
        <v>0</v>
      </c>
      <c r="Z29" s="815">
        <v>0</v>
      </c>
      <c r="AA29" s="815">
        <v>0</v>
      </c>
      <c r="AB29" s="815">
        <v>0</v>
      </c>
      <c r="AC29" s="815">
        <v>0</v>
      </c>
      <c r="AD29" s="815">
        <v>0</v>
      </c>
      <c r="AE29" s="815">
        <v>0</v>
      </c>
      <c r="AF29" s="814" t="s">
        <v>2805</v>
      </c>
      <c r="AG29" s="802"/>
    </row>
    <row r="30" spans="1:33" ht="15" customHeight="1">
      <c r="A30" s="800" t="s">
        <v>4543</v>
      </c>
      <c r="B30" s="812" t="s">
        <v>4250</v>
      </c>
      <c r="C30" s="815">
        <v>0</v>
      </c>
      <c r="D30" s="815">
        <v>0</v>
      </c>
      <c r="E30" s="815">
        <v>0</v>
      </c>
      <c r="F30" s="815">
        <v>0</v>
      </c>
      <c r="G30" s="815">
        <v>0</v>
      </c>
      <c r="H30" s="815">
        <v>0</v>
      </c>
      <c r="I30" s="815">
        <v>0</v>
      </c>
      <c r="J30" s="815">
        <v>0</v>
      </c>
      <c r="K30" s="815">
        <v>0</v>
      </c>
      <c r="L30" s="815">
        <v>0</v>
      </c>
      <c r="M30" s="815">
        <v>0</v>
      </c>
      <c r="N30" s="815">
        <v>0</v>
      </c>
      <c r="O30" s="815">
        <v>0</v>
      </c>
      <c r="P30" s="815">
        <v>0</v>
      </c>
      <c r="Q30" s="815">
        <v>0</v>
      </c>
      <c r="R30" s="815">
        <v>0</v>
      </c>
      <c r="S30" s="815">
        <v>0</v>
      </c>
      <c r="T30" s="815">
        <v>0</v>
      </c>
      <c r="U30" s="815">
        <v>0</v>
      </c>
      <c r="V30" s="815">
        <v>0</v>
      </c>
      <c r="W30" s="815">
        <v>0</v>
      </c>
      <c r="X30" s="815">
        <v>0</v>
      </c>
      <c r="Y30" s="815">
        <v>0</v>
      </c>
      <c r="Z30" s="815">
        <v>0</v>
      </c>
      <c r="AA30" s="815">
        <v>0</v>
      </c>
      <c r="AB30" s="815">
        <v>0</v>
      </c>
      <c r="AC30" s="815">
        <v>0</v>
      </c>
      <c r="AD30" s="815">
        <v>0</v>
      </c>
      <c r="AE30" s="815">
        <v>0</v>
      </c>
      <c r="AF30" s="814" t="s">
        <v>2805</v>
      </c>
      <c r="AG30" s="802"/>
    </row>
    <row r="31" spans="1:33" ht="15" customHeight="1">
      <c r="A31" s="800" t="s">
        <v>4544</v>
      </c>
      <c r="B31" s="812" t="s">
        <v>4377</v>
      </c>
      <c r="C31" s="815">
        <v>0</v>
      </c>
      <c r="D31" s="815">
        <v>0</v>
      </c>
      <c r="E31" s="815">
        <v>0</v>
      </c>
      <c r="F31" s="815">
        <v>0</v>
      </c>
      <c r="G31" s="815">
        <v>0</v>
      </c>
      <c r="H31" s="815">
        <v>0</v>
      </c>
      <c r="I31" s="815">
        <v>0</v>
      </c>
      <c r="J31" s="815">
        <v>0</v>
      </c>
      <c r="K31" s="815">
        <v>0</v>
      </c>
      <c r="L31" s="815">
        <v>0</v>
      </c>
      <c r="M31" s="815">
        <v>0</v>
      </c>
      <c r="N31" s="815">
        <v>0</v>
      </c>
      <c r="O31" s="815">
        <v>0</v>
      </c>
      <c r="P31" s="815">
        <v>0</v>
      </c>
      <c r="Q31" s="815">
        <v>0</v>
      </c>
      <c r="R31" s="815">
        <v>0</v>
      </c>
      <c r="S31" s="815">
        <v>0</v>
      </c>
      <c r="T31" s="815">
        <v>0</v>
      </c>
      <c r="U31" s="815">
        <v>0</v>
      </c>
      <c r="V31" s="815">
        <v>0</v>
      </c>
      <c r="W31" s="815">
        <v>0</v>
      </c>
      <c r="X31" s="815">
        <v>0</v>
      </c>
      <c r="Y31" s="815">
        <v>0</v>
      </c>
      <c r="Z31" s="815">
        <v>0</v>
      </c>
      <c r="AA31" s="815">
        <v>0</v>
      </c>
      <c r="AB31" s="815">
        <v>0</v>
      </c>
      <c r="AC31" s="815">
        <v>0</v>
      </c>
      <c r="AD31" s="815">
        <v>0</v>
      </c>
      <c r="AE31" s="815">
        <v>0</v>
      </c>
      <c r="AF31" s="814" t="s">
        <v>2805</v>
      </c>
      <c r="AG31" s="802"/>
    </row>
    <row r="32" spans="1:33" ht="15" customHeight="1">
      <c r="A32" s="800" t="s">
        <v>4545</v>
      </c>
      <c r="B32" s="812" t="s">
        <v>4260</v>
      </c>
      <c r="C32" s="815">
        <v>0</v>
      </c>
      <c r="D32" s="815">
        <v>0</v>
      </c>
      <c r="E32" s="815">
        <v>0</v>
      </c>
      <c r="F32" s="815">
        <v>0</v>
      </c>
      <c r="G32" s="815">
        <v>0</v>
      </c>
      <c r="H32" s="815">
        <v>0</v>
      </c>
      <c r="I32" s="815">
        <v>0</v>
      </c>
      <c r="J32" s="815">
        <v>0</v>
      </c>
      <c r="K32" s="815">
        <v>0</v>
      </c>
      <c r="L32" s="815">
        <v>0</v>
      </c>
      <c r="M32" s="815">
        <v>0</v>
      </c>
      <c r="N32" s="815">
        <v>0</v>
      </c>
      <c r="O32" s="815">
        <v>0</v>
      </c>
      <c r="P32" s="815">
        <v>0</v>
      </c>
      <c r="Q32" s="815">
        <v>0</v>
      </c>
      <c r="R32" s="815">
        <v>0</v>
      </c>
      <c r="S32" s="815">
        <v>0</v>
      </c>
      <c r="T32" s="815">
        <v>0</v>
      </c>
      <c r="U32" s="815">
        <v>0</v>
      </c>
      <c r="V32" s="815">
        <v>0</v>
      </c>
      <c r="W32" s="815">
        <v>0</v>
      </c>
      <c r="X32" s="815">
        <v>0</v>
      </c>
      <c r="Y32" s="815">
        <v>0</v>
      </c>
      <c r="Z32" s="815">
        <v>0</v>
      </c>
      <c r="AA32" s="815">
        <v>0</v>
      </c>
      <c r="AB32" s="815">
        <v>0</v>
      </c>
      <c r="AC32" s="815">
        <v>0</v>
      </c>
      <c r="AD32" s="815">
        <v>0</v>
      </c>
      <c r="AE32" s="815">
        <v>0</v>
      </c>
      <c r="AF32" s="814" t="s">
        <v>2805</v>
      </c>
      <c r="AG32" s="802"/>
    </row>
    <row r="33" spans="1:33" ht="15" customHeight="1">
      <c r="A33" s="800" t="s">
        <v>4546</v>
      </c>
      <c r="B33" s="812" t="s">
        <v>4262</v>
      </c>
      <c r="C33" s="815">
        <v>4.369205</v>
      </c>
      <c r="D33" s="815">
        <v>4.2103299999999999</v>
      </c>
      <c r="E33" s="815">
        <v>4.300014</v>
      </c>
      <c r="F33" s="815">
        <v>4.2308219999999999</v>
      </c>
      <c r="G33" s="815">
        <v>4.1214589999999998</v>
      </c>
      <c r="H33" s="815">
        <v>4.0083390000000003</v>
      </c>
      <c r="I33" s="815">
        <v>3.8932129999999998</v>
      </c>
      <c r="J33" s="815">
        <v>3.7815889999999999</v>
      </c>
      <c r="K33" s="815">
        <v>3.67239</v>
      </c>
      <c r="L33" s="815">
        <v>3.554551</v>
      </c>
      <c r="M33" s="815">
        <v>3.4384739999999998</v>
      </c>
      <c r="N33" s="815">
        <v>3.3360400000000001</v>
      </c>
      <c r="O33" s="815">
        <v>3.2451219999999998</v>
      </c>
      <c r="P33" s="815">
        <v>3.160822</v>
      </c>
      <c r="Q33" s="815">
        <v>3.112006</v>
      </c>
      <c r="R33" s="815">
        <v>3.065312</v>
      </c>
      <c r="S33" s="815">
        <v>3.0150079999999999</v>
      </c>
      <c r="T33" s="815">
        <v>2.9914839999999998</v>
      </c>
      <c r="U33" s="815">
        <v>2.9470649999999998</v>
      </c>
      <c r="V33" s="815">
        <v>2.9103460000000001</v>
      </c>
      <c r="W33" s="815">
        <v>2.8815659999999998</v>
      </c>
      <c r="X33" s="815">
        <v>2.8540939999999999</v>
      </c>
      <c r="Y33" s="815">
        <v>2.8303560000000001</v>
      </c>
      <c r="Z33" s="815">
        <v>2.8061600000000002</v>
      </c>
      <c r="AA33" s="815">
        <v>2.7826780000000002</v>
      </c>
      <c r="AB33" s="815">
        <v>2.7625440000000001</v>
      </c>
      <c r="AC33" s="815">
        <v>2.7451240000000001</v>
      </c>
      <c r="AD33" s="815">
        <v>2.7267640000000002</v>
      </c>
      <c r="AE33" s="815">
        <v>2.7008719999999999</v>
      </c>
      <c r="AF33" s="814">
        <v>-1.7031999999999999E-2</v>
      </c>
      <c r="AG33" s="802"/>
    </row>
    <row r="34" spans="1:33" ht="12" customHeight="1">
      <c r="A34" s="800" t="s">
        <v>4547</v>
      </c>
      <c r="B34" s="812" t="s">
        <v>4383</v>
      </c>
      <c r="C34" s="815">
        <v>0</v>
      </c>
      <c r="D34" s="815">
        <v>0</v>
      </c>
      <c r="E34" s="815">
        <v>0</v>
      </c>
      <c r="F34" s="815">
        <v>0</v>
      </c>
      <c r="G34" s="815">
        <v>0</v>
      </c>
      <c r="H34" s="815">
        <v>0</v>
      </c>
      <c r="I34" s="815">
        <v>0</v>
      </c>
      <c r="J34" s="815">
        <v>0</v>
      </c>
      <c r="K34" s="815">
        <v>0</v>
      </c>
      <c r="L34" s="815">
        <v>0</v>
      </c>
      <c r="M34" s="815">
        <v>0</v>
      </c>
      <c r="N34" s="815">
        <v>0</v>
      </c>
      <c r="O34" s="815">
        <v>0</v>
      </c>
      <c r="P34" s="815">
        <v>0</v>
      </c>
      <c r="Q34" s="815">
        <v>0</v>
      </c>
      <c r="R34" s="815">
        <v>0</v>
      </c>
      <c r="S34" s="815">
        <v>0</v>
      </c>
      <c r="T34" s="815">
        <v>0</v>
      </c>
      <c r="U34" s="815">
        <v>0</v>
      </c>
      <c r="V34" s="815">
        <v>0</v>
      </c>
      <c r="W34" s="815">
        <v>0</v>
      </c>
      <c r="X34" s="815">
        <v>0</v>
      </c>
      <c r="Y34" s="815">
        <v>0</v>
      </c>
      <c r="Z34" s="815">
        <v>0</v>
      </c>
      <c r="AA34" s="815">
        <v>0</v>
      </c>
      <c r="AB34" s="815">
        <v>0</v>
      </c>
      <c r="AC34" s="815">
        <v>0</v>
      </c>
      <c r="AD34" s="815">
        <v>0</v>
      </c>
      <c r="AE34" s="815">
        <v>0</v>
      </c>
      <c r="AF34" s="814" t="s">
        <v>2805</v>
      </c>
      <c r="AG34" s="802"/>
    </row>
    <row r="35" spans="1:33" ht="12" customHeight="1">
      <c r="A35" s="800" t="s">
        <v>4548</v>
      </c>
      <c r="B35" s="812" t="s">
        <v>4274</v>
      </c>
      <c r="C35" s="815">
        <v>2.1406160000000001</v>
      </c>
      <c r="D35" s="815">
        <v>1.999344</v>
      </c>
      <c r="E35" s="815">
        <v>1.965587</v>
      </c>
      <c r="F35" s="815">
        <v>1.945451</v>
      </c>
      <c r="G35" s="815">
        <v>1.91327</v>
      </c>
      <c r="H35" s="815">
        <v>1.890684</v>
      </c>
      <c r="I35" s="815">
        <v>1.8713010000000001</v>
      </c>
      <c r="J35" s="815">
        <v>1.853253</v>
      </c>
      <c r="K35" s="815">
        <v>1.8349249999999999</v>
      </c>
      <c r="L35" s="815">
        <v>1.815709</v>
      </c>
      <c r="M35" s="815">
        <v>1.7972049999999999</v>
      </c>
      <c r="N35" s="815">
        <v>1.774664</v>
      </c>
      <c r="O35" s="815">
        <v>1.7593479999999999</v>
      </c>
      <c r="P35" s="815">
        <v>1.74918</v>
      </c>
      <c r="Q35" s="815">
        <v>1.732486</v>
      </c>
      <c r="R35" s="815">
        <v>1.7168669999999999</v>
      </c>
      <c r="S35" s="815">
        <v>1.7028350000000001</v>
      </c>
      <c r="T35" s="815">
        <v>1.68198</v>
      </c>
      <c r="U35" s="815">
        <v>1.6678900000000001</v>
      </c>
      <c r="V35" s="815">
        <v>1.6539250000000001</v>
      </c>
      <c r="W35" s="815">
        <v>1.6399360000000001</v>
      </c>
      <c r="X35" s="815">
        <v>1.6259790000000001</v>
      </c>
      <c r="Y35" s="815">
        <v>1.613002</v>
      </c>
      <c r="Z35" s="815">
        <v>1.603613</v>
      </c>
      <c r="AA35" s="815">
        <v>1.5940840000000001</v>
      </c>
      <c r="AB35" s="815">
        <v>1.5855900000000001</v>
      </c>
      <c r="AC35" s="815">
        <v>1.5777330000000001</v>
      </c>
      <c r="AD35" s="815">
        <v>1.5697350000000001</v>
      </c>
      <c r="AE35" s="815">
        <v>1.561199</v>
      </c>
      <c r="AF35" s="814">
        <v>-1.1209999999999999E-2</v>
      </c>
      <c r="AG35" s="802"/>
    </row>
    <row r="36" spans="1:33" ht="12" customHeight="1">
      <c r="A36" s="800" t="s">
        <v>4549</v>
      </c>
      <c r="B36" s="808" t="s">
        <v>4276</v>
      </c>
      <c r="C36" s="816">
        <v>6.5098209999999996</v>
      </c>
      <c r="D36" s="816">
        <v>6.2096730000000004</v>
      </c>
      <c r="E36" s="816">
        <v>6.2656010000000002</v>
      </c>
      <c r="F36" s="816">
        <v>6.1762730000000001</v>
      </c>
      <c r="G36" s="816">
        <v>6.0347289999999996</v>
      </c>
      <c r="H36" s="816">
        <v>5.8990239999999998</v>
      </c>
      <c r="I36" s="816">
        <v>5.7645140000000001</v>
      </c>
      <c r="J36" s="816">
        <v>5.6348419999999999</v>
      </c>
      <c r="K36" s="816">
        <v>5.507314</v>
      </c>
      <c r="L36" s="816">
        <v>5.3702589999999999</v>
      </c>
      <c r="M36" s="816">
        <v>5.2356800000000003</v>
      </c>
      <c r="N36" s="816">
        <v>5.110703</v>
      </c>
      <c r="O36" s="816">
        <v>5.0044700000000004</v>
      </c>
      <c r="P36" s="816">
        <v>4.9100029999999997</v>
      </c>
      <c r="Q36" s="816">
        <v>4.8444919999999998</v>
      </c>
      <c r="R36" s="816">
        <v>4.7821800000000003</v>
      </c>
      <c r="S36" s="816">
        <v>4.7178430000000002</v>
      </c>
      <c r="T36" s="816">
        <v>4.6734640000000001</v>
      </c>
      <c r="U36" s="816">
        <v>4.6149550000000001</v>
      </c>
      <c r="V36" s="816">
        <v>4.5642709999999997</v>
      </c>
      <c r="W36" s="816">
        <v>4.5215019999999999</v>
      </c>
      <c r="X36" s="816">
        <v>4.480073</v>
      </c>
      <c r="Y36" s="816">
        <v>4.4433569999999998</v>
      </c>
      <c r="Z36" s="816">
        <v>4.4097730000000004</v>
      </c>
      <c r="AA36" s="816">
        <v>4.3767620000000003</v>
      </c>
      <c r="AB36" s="816">
        <v>4.3481350000000001</v>
      </c>
      <c r="AC36" s="816">
        <v>4.3228569999999999</v>
      </c>
      <c r="AD36" s="816">
        <v>4.2964989999999998</v>
      </c>
      <c r="AE36" s="816">
        <v>4.2620709999999997</v>
      </c>
      <c r="AF36" s="810">
        <v>-1.5013E-2</v>
      </c>
      <c r="AG36" s="802"/>
    </row>
    <row r="37" spans="1:33" ht="12" customHeight="1">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row>
    <row r="38" spans="1:33" ht="12" customHeight="1">
      <c r="B38" s="808" t="s">
        <v>4550</v>
      </c>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row>
    <row r="39" spans="1:33" ht="12" customHeight="1">
      <c r="A39" s="800" t="s">
        <v>4551</v>
      </c>
      <c r="B39" s="808" t="s">
        <v>4279</v>
      </c>
      <c r="C39" s="809">
        <v>11.4559</v>
      </c>
      <c r="D39" s="809">
        <v>9.8998849999999994</v>
      </c>
      <c r="E39" s="809">
        <v>9.6952700000000007</v>
      </c>
      <c r="F39" s="809">
        <v>9.2166359999999994</v>
      </c>
      <c r="G39" s="809">
        <v>8.7763720000000003</v>
      </c>
      <c r="H39" s="809">
        <v>8.261806</v>
      </c>
      <c r="I39" s="809">
        <v>7.7759929999999997</v>
      </c>
      <c r="J39" s="809">
        <v>7.3864770000000002</v>
      </c>
      <c r="K39" s="809">
        <v>7.0476200000000002</v>
      </c>
      <c r="L39" s="809">
        <v>6.8279129999999997</v>
      </c>
      <c r="M39" s="809">
        <v>6.6485139999999996</v>
      </c>
      <c r="N39" s="809">
        <v>6.553668</v>
      </c>
      <c r="O39" s="809">
        <v>6.441433</v>
      </c>
      <c r="P39" s="809">
        <v>6.3846550000000004</v>
      </c>
      <c r="Q39" s="809">
        <v>6.3239609999999997</v>
      </c>
      <c r="R39" s="809">
        <v>6.2699540000000002</v>
      </c>
      <c r="S39" s="809">
        <v>6.2019399999999996</v>
      </c>
      <c r="T39" s="809">
        <v>6.2208319999999997</v>
      </c>
      <c r="U39" s="809">
        <v>6.2263570000000001</v>
      </c>
      <c r="V39" s="809">
        <v>6.2294020000000003</v>
      </c>
      <c r="W39" s="809">
        <v>6.2543569999999997</v>
      </c>
      <c r="X39" s="809">
        <v>6.2067509999999997</v>
      </c>
      <c r="Y39" s="809">
        <v>6.1647829999999999</v>
      </c>
      <c r="Z39" s="809">
        <v>6.143993</v>
      </c>
      <c r="AA39" s="809">
        <v>6.1407049999999996</v>
      </c>
      <c r="AB39" s="809">
        <v>6.1297699999999997</v>
      </c>
      <c r="AC39" s="809">
        <v>6.0800419999999997</v>
      </c>
      <c r="AD39" s="809">
        <v>6.0635469999999998</v>
      </c>
      <c r="AE39" s="809">
        <v>6.0369549999999998</v>
      </c>
      <c r="AF39" s="810">
        <v>-2.2619E-2</v>
      </c>
      <c r="AG39" s="802"/>
    </row>
    <row r="40" spans="1:33" ht="12" customHeight="1">
      <c r="B40" s="802"/>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row>
    <row r="41" spans="1:33" ht="12" customHeight="1">
      <c r="B41" s="808" t="s">
        <v>4552</v>
      </c>
      <c r="C41" s="802"/>
      <c r="D41" s="802"/>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row>
    <row r="42" spans="1:33" ht="12" customHeight="1">
      <c r="B42" s="808" t="s">
        <v>4553</v>
      </c>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row>
    <row r="43" spans="1:33" ht="12" customHeight="1">
      <c r="A43" s="800" t="s">
        <v>4554</v>
      </c>
      <c r="B43" s="812" t="s">
        <v>4323</v>
      </c>
      <c r="C43" s="815">
        <v>0</v>
      </c>
      <c r="D43" s="815">
        <v>0</v>
      </c>
      <c r="E43" s="815">
        <v>0</v>
      </c>
      <c r="F43" s="815">
        <v>0</v>
      </c>
      <c r="G43" s="815">
        <v>0</v>
      </c>
      <c r="H43" s="815">
        <v>0</v>
      </c>
      <c r="I43" s="815">
        <v>0</v>
      </c>
      <c r="J43" s="815">
        <v>0</v>
      </c>
      <c r="K43" s="815">
        <v>0</v>
      </c>
      <c r="L43" s="815">
        <v>0</v>
      </c>
      <c r="M43" s="815">
        <v>0</v>
      </c>
      <c r="N43" s="815">
        <v>0</v>
      </c>
      <c r="O43" s="815">
        <v>0</v>
      </c>
      <c r="P43" s="815">
        <v>0</v>
      </c>
      <c r="Q43" s="815">
        <v>0</v>
      </c>
      <c r="R43" s="815">
        <v>0</v>
      </c>
      <c r="S43" s="815">
        <v>0</v>
      </c>
      <c r="T43" s="815">
        <v>0</v>
      </c>
      <c r="U43" s="815">
        <v>0</v>
      </c>
      <c r="V43" s="815">
        <v>0</v>
      </c>
      <c r="W43" s="815">
        <v>0</v>
      </c>
      <c r="X43" s="815">
        <v>0</v>
      </c>
      <c r="Y43" s="815">
        <v>0</v>
      </c>
      <c r="Z43" s="815">
        <v>0</v>
      </c>
      <c r="AA43" s="815">
        <v>0</v>
      </c>
      <c r="AB43" s="815">
        <v>0</v>
      </c>
      <c r="AC43" s="815">
        <v>0</v>
      </c>
      <c r="AD43" s="815">
        <v>0</v>
      </c>
      <c r="AE43" s="815">
        <v>0</v>
      </c>
      <c r="AF43" s="814" t="s">
        <v>2805</v>
      </c>
      <c r="AG43" s="802"/>
    </row>
    <row r="44" spans="1:33" ht="12" customHeight="1">
      <c r="A44" s="800" t="s">
        <v>4555</v>
      </c>
      <c r="B44" s="812" t="s">
        <v>4297</v>
      </c>
      <c r="C44" s="815">
        <v>0</v>
      </c>
      <c r="D44" s="815">
        <v>0</v>
      </c>
      <c r="E44" s="815">
        <v>0</v>
      </c>
      <c r="F44" s="815">
        <v>0</v>
      </c>
      <c r="G44" s="815">
        <v>0</v>
      </c>
      <c r="H44" s="815">
        <v>0</v>
      </c>
      <c r="I44" s="815">
        <v>0</v>
      </c>
      <c r="J44" s="815">
        <v>0</v>
      </c>
      <c r="K44" s="815">
        <v>0</v>
      </c>
      <c r="L44" s="815">
        <v>0</v>
      </c>
      <c r="M44" s="815">
        <v>0</v>
      </c>
      <c r="N44" s="815">
        <v>0</v>
      </c>
      <c r="O44" s="815">
        <v>0</v>
      </c>
      <c r="P44" s="815">
        <v>0</v>
      </c>
      <c r="Q44" s="815">
        <v>0</v>
      </c>
      <c r="R44" s="815">
        <v>0</v>
      </c>
      <c r="S44" s="815">
        <v>0</v>
      </c>
      <c r="T44" s="815">
        <v>0</v>
      </c>
      <c r="U44" s="815">
        <v>0</v>
      </c>
      <c r="V44" s="815">
        <v>0</v>
      </c>
      <c r="W44" s="815">
        <v>0</v>
      </c>
      <c r="X44" s="815">
        <v>0</v>
      </c>
      <c r="Y44" s="815">
        <v>0</v>
      </c>
      <c r="Z44" s="815">
        <v>0</v>
      </c>
      <c r="AA44" s="815">
        <v>0</v>
      </c>
      <c r="AB44" s="815">
        <v>0</v>
      </c>
      <c r="AC44" s="815">
        <v>0</v>
      </c>
      <c r="AD44" s="815">
        <v>0</v>
      </c>
      <c r="AE44" s="815">
        <v>0</v>
      </c>
      <c r="AF44" s="814" t="s">
        <v>2805</v>
      </c>
      <c r="AG44" s="802"/>
    </row>
    <row r="45" spans="1:33" ht="12" customHeight="1">
      <c r="A45" s="800" t="s">
        <v>4556</v>
      </c>
      <c r="B45" s="812" t="s">
        <v>4326</v>
      </c>
      <c r="C45" s="815">
        <v>0</v>
      </c>
      <c r="D45" s="815">
        <v>0</v>
      </c>
      <c r="E45" s="815">
        <v>0</v>
      </c>
      <c r="F45" s="815">
        <v>0</v>
      </c>
      <c r="G45" s="815">
        <v>0</v>
      </c>
      <c r="H45" s="815">
        <v>0</v>
      </c>
      <c r="I45" s="815">
        <v>0</v>
      </c>
      <c r="J45" s="815">
        <v>0</v>
      </c>
      <c r="K45" s="815">
        <v>0</v>
      </c>
      <c r="L45" s="815">
        <v>0</v>
      </c>
      <c r="M45" s="815">
        <v>0</v>
      </c>
      <c r="N45" s="815">
        <v>0</v>
      </c>
      <c r="O45" s="815">
        <v>0</v>
      </c>
      <c r="P45" s="815">
        <v>0</v>
      </c>
      <c r="Q45" s="815">
        <v>0</v>
      </c>
      <c r="R45" s="815">
        <v>0</v>
      </c>
      <c r="S45" s="815">
        <v>0</v>
      </c>
      <c r="T45" s="815">
        <v>0</v>
      </c>
      <c r="U45" s="815">
        <v>0</v>
      </c>
      <c r="V45" s="815">
        <v>0</v>
      </c>
      <c r="W45" s="815">
        <v>0</v>
      </c>
      <c r="X45" s="815">
        <v>0</v>
      </c>
      <c r="Y45" s="815">
        <v>0</v>
      </c>
      <c r="Z45" s="815">
        <v>0</v>
      </c>
      <c r="AA45" s="815">
        <v>0</v>
      </c>
      <c r="AB45" s="815">
        <v>0</v>
      </c>
      <c r="AC45" s="815">
        <v>0</v>
      </c>
      <c r="AD45" s="815">
        <v>0</v>
      </c>
      <c r="AE45" s="815">
        <v>0</v>
      </c>
      <c r="AF45" s="814" t="s">
        <v>2805</v>
      </c>
      <c r="AG45" s="802"/>
    </row>
    <row r="46" spans="1:33" ht="12" customHeight="1">
      <c r="A46" s="800" t="s">
        <v>4557</v>
      </c>
      <c r="B46" s="812" t="s">
        <v>4558</v>
      </c>
      <c r="C46" s="815">
        <v>0</v>
      </c>
      <c r="D46" s="815">
        <v>0</v>
      </c>
      <c r="E46" s="815">
        <v>0</v>
      </c>
      <c r="F46" s="815">
        <v>0</v>
      </c>
      <c r="G46" s="815">
        <v>0</v>
      </c>
      <c r="H46" s="815">
        <v>0</v>
      </c>
      <c r="I46" s="815">
        <v>0</v>
      </c>
      <c r="J46" s="815">
        <v>0</v>
      </c>
      <c r="K46" s="815">
        <v>0</v>
      </c>
      <c r="L46" s="815">
        <v>0</v>
      </c>
      <c r="M46" s="815">
        <v>0</v>
      </c>
      <c r="N46" s="815">
        <v>0</v>
      </c>
      <c r="O46" s="815">
        <v>0</v>
      </c>
      <c r="P46" s="815">
        <v>0</v>
      </c>
      <c r="Q46" s="815">
        <v>0</v>
      </c>
      <c r="R46" s="815">
        <v>0</v>
      </c>
      <c r="S46" s="815">
        <v>0</v>
      </c>
      <c r="T46" s="815">
        <v>0</v>
      </c>
      <c r="U46" s="815">
        <v>0</v>
      </c>
      <c r="V46" s="815">
        <v>0</v>
      </c>
      <c r="W46" s="815">
        <v>0</v>
      </c>
      <c r="X46" s="815">
        <v>0</v>
      </c>
      <c r="Y46" s="815">
        <v>0</v>
      </c>
      <c r="Z46" s="815">
        <v>0</v>
      </c>
      <c r="AA46" s="815">
        <v>0</v>
      </c>
      <c r="AB46" s="815">
        <v>0</v>
      </c>
      <c r="AC46" s="815">
        <v>0</v>
      </c>
      <c r="AD46" s="815">
        <v>0</v>
      </c>
      <c r="AE46" s="815">
        <v>0</v>
      </c>
      <c r="AF46" s="814" t="s">
        <v>2805</v>
      </c>
      <c r="AG46" s="802"/>
    </row>
    <row r="47" spans="1:33" ht="12" customHeight="1">
      <c r="A47" s="800" t="s">
        <v>4559</v>
      </c>
      <c r="B47" s="808" t="s">
        <v>4303</v>
      </c>
      <c r="C47" s="816">
        <v>0</v>
      </c>
      <c r="D47" s="816">
        <v>0</v>
      </c>
      <c r="E47" s="816">
        <v>0</v>
      </c>
      <c r="F47" s="816">
        <v>0</v>
      </c>
      <c r="G47" s="816">
        <v>0</v>
      </c>
      <c r="H47" s="816">
        <v>0</v>
      </c>
      <c r="I47" s="816">
        <v>0</v>
      </c>
      <c r="J47" s="816">
        <v>0</v>
      </c>
      <c r="K47" s="816">
        <v>0</v>
      </c>
      <c r="L47" s="816">
        <v>0</v>
      </c>
      <c r="M47" s="816">
        <v>0</v>
      </c>
      <c r="N47" s="816">
        <v>0</v>
      </c>
      <c r="O47" s="816">
        <v>0</v>
      </c>
      <c r="P47" s="816">
        <v>0</v>
      </c>
      <c r="Q47" s="816">
        <v>0</v>
      </c>
      <c r="R47" s="816">
        <v>0</v>
      </c>
      <c r="S47" s="816">
        <v>0</v>
      </c>
      <c r="T47" s="816">
        <v>0</v>
      </c>
      <c r="U47" s="816">
        <v>0</v>
      </c>
      <c r="V47" s="816">
        <v>0</v>
      </c>
      <c r="W47" s="816">
        <v>0</v>
      </c>
      <c r="X47" s="816">
        <v>0</v>
      </c>
      <c r="Y47" s="816">
        <v>0</v>
      </c>
      <c r="Z47" s="816">
        <v>0</v>
      </c>
      <c r="AA47" s="816">
        <v>0</v>
      </c>
      <c r="AB47" s="816">
        <v>0</v>
      </c>
      <c r="AC47" s="816">
        <v>0</v>
      </c>
      <c r="AD47" s="816">
        <v>0</v>
      </c>
      <c r="AE47" s="816">
        <v>0</v>
      </c>
      <c r="AF47" s="810" t="s">
        <v>2805</v>
      </c>
      <c r="AG47" s="802"/>
    </row>
    <row r="48" spans="1:33" ht="12" customHeight="1">
      <c r="B48" s="808" t="s">
        <v>4330</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row>
    <row r="49" spans="1:34" ht="12" customHeight="1">
      <c r="A49" s="800" t="s">
        <v>4560</v>
      </c>
      <c r="B49" s="812" t="s">
        <v>4323</v>
      </c>
      <c r="C49" s="815">
        <v>0</v>
      </c>
      <c r="D49" s="815">
        <v>0</v>
      </c>
      <c r="E49" s="815">
        <v>0</v>
      </c>
      <c r="F49" s="815">
        <v>0</v>
      </c>
      <c r="G49" s="815">
        <v>0</v>
      </c>
      <c r="H49" s="815">
        <v>0</v>
      </c>
      <c r="I49" s="815">
        <v>0</v>
      </c>
      <c r="J49" s="815">
        <v>0</v>
      </c>
      <c r="K49" s="815">
        <v>0</v>
      </c>
      <c r="L49" s="815">
        <v>0</v>
      </c>
      <c r="M49" s="815">
        <v>0</v>
      </c>
      <c r="N49" s="815">
        <v>0</v>
      </c>
      <c r="O49" s="815">
        <v>0</v>
      </c>
      <c r="P49" s="815">
        <v>0</v>
      </c>
      <c r="Q49" s="815">
        <v>0</v>
      </c>
      <c r="R49" s="815">
        <v>0</v>
      </c>
      <c r="S49" s="815">
        <v>0</v>
      </c>
      <c r="T49" s="815">
        <v>0</v>
      </c>
      <c r="U49" s="815">
        <v>0</v>
      </c>
      <c r="V49" s="815">
        <v>0</v>
      </c>
      <c r="W49" s="815">
        <v>0</v>
      </c>
      <c r="X49" s="815">
        <v>0</v>
      </c>
      <c r="Y49" s="815">
        <v>0</v>
      </c>
      <c r="Z49" s="815">
        <v>0</v>
      </c>
      <c r="AA49" s="815">
        <v>0</v>
      </c>
      <c r="AB49" s="815">
        <v>0</v>
      </c>
      <c r="AC49" s="815">
        <v>0</v>
      </c>
      <c r="AD49" s="815">
        <v>0</v>
      </c>
      <c r="AE49" s="815">
        <v>0</v>
      </c>
      <c r="AF49" s="814" t="s">
        <v>2805</v>
      </c>
      <c r="AG49" s="802"/>
    </row>
    <row r="50" spans="1:34" ht="15" customHeight="1">
      <c r="A50" s="800" t="s">
        <v>4561</v>
      </c>
      <c r="B50" s="812" t="s">
        <v>4297</v>
      </c>
      <c r="C50" s="815">
        <v>0</v>
      </c>
      <c r="D50" s="815">
        <v>0</v>
      </c>
      <c r="E50" s="815">
        <v>0</v>
      </c>
      <c r="F50" s="815">
        <v>0</v>
      </c>
      <c r="G50" s="815">
        <v>0</v>
      </c>
      <c r="H50" s="815">
        <v>0</v>
      </c>
      <c r="I50" s="815">
        <v>0</v>
      </c>
      <c r="J50" s="815">
        <v>0</v>
      </c>
      <c r="K50" s="815">
        <v>0</v>
      </c>
      <c r="L50" s="815">
        <v>0</v>
      </c>
      <c r="M50" s="815">
        <v>0</v>
      </c>
      <c r="N50" s="815">
        <v>0</v>
      </c>
      <c r="O50" s="815">
        <v>0</v>
      </c>
      <c r="P50" s="815">
        <v>0</v>
      </c>
      <c r="Q50" s="815">
        <v>0</v>
      </c>
      <c r="R50" s="815">
        <v>0</v>
      </c>
      <c r="S50" s="815">
        <v>0</v>
      </c>
      <c r="T50" s="815">
        <v>0</v>
      </c>
      <c r="U50" s="815">
        <v>0</v>
      </c>
      <c r="V50" s="815">
        <v>0</v>
      </c>
      <c r="W50" s="815">
        <v>0</v>
      </c>
      <c r="X50" s="815">
        <v>0</v>
      </c>
      <c r="Y50" s="815">
        <v>0</v>
      </c>
      <c r="Z50" s="815">
        <v>0</v>
      </c>
      <c r="AA50" s="815">
        <v>0</v>
      </c>
      <c r="AB50" s="815">
        <v>0</v>
      </c>
      <c r="AC50" s="815">
        <v>0</v>
      </c>
      <c r="AD50" s="815">
        <v>0</v>
      </c>
      <c r="AE50" s="815">
        <v>0</v>
      </c>
      <c r="AF50" s="814" t="s">
        <v>2805</v>
      </c>
      <c r="AG50" s="802"/>
    </row>
    <row r="51" spans="1:34" ht="15" customHeight="1">
      <c r="A51" s="800" t="s">
        <v>4562</v>
      </c>
      <c r="B51" s="812" t="s">
        <v>4326</v>
      </c>
      <c r="C51" s="815">
        <v>0</v>
      </c>
      <c r="D51" s="815">
        <v>0</v>
      </c>
      <c r="E51" s="815">
        <v>0</v>
      </c>
      <c r="F51" s="815">
        <v>0</v>
      </c>
      <c r="G51" s="815">
        <v>0</v>
      </c>
      <c r="H51" s="815">
        <v>0</v>
      </c>
      <c r="I51" s="815">
        <v>0</v>
      </c>
      <c r="J51" s="815">
        <v>0</v>
      </c>
      <c r="K51" s="815">
        <v>0</v>
      </c>
      <c r="L51" s="815">
        <v>0</v>
      </c>
      <c r="M51" s="815">
        <v>0</v>
      </c>
      <c r="N51" s="815">
        <v>0</v>
      </c>
      <c r="O51" s="815">
        <v>0</v>
      </c>
      <c r="P51" s="815">
        <v>0</v>
      </c>
      <c r="Q51" s="815">
        <v>0</v>
      </c>
      <c r="R51" s="815">
        <v>0</v>
      </c>
      <c r="S51" s="815">
        <v>0</v>
      </c>
      <c r="T51" s="815">
        <v>0</v>
      </c>
      <c r="U51" s="815">
        <v>0</v>
      </c>
      <c r="V51" s="815">
        <v>0</v>
      </c>
      <c r="W51" s="815">
        <v>0</v>
      </c>
      <c r="X51" s="815">
        <v>0</v>
      </c>
      <c r="Y51" s="815">
        <v>0</v>
      </c>
      <c r="Z51" s="815">
        <v>0</v>
      </c>
      <c r="AA51" s="815">
        <v>0</v>
      </c>
      <c r="AB51" s="815">
        <v>0</v>
      </c>
      <c r="AC51" s="815">
        <v>0</v>
      </c>
      <c r="AD51" s="815">
        <v>0</v>
      </c>
      <c r="AE51" s="815">
        <v>0</v>
      </c>
      <c r="AF51" s="814" t="s">
        <v>2805</v>
      </c>
      <c r="AG51" s="802"/>
    </row>
    <row r="52" spans="1:34" ht="15" customHeight="1">
      <c r="A52" s="800" t="s">
        <v>4563</v>
      </c>
      <c r="B52" s="812" t="s">
        <v>4558</v>
      </c>
      <c r="C52" s="815">
        <v>0</v>
      </c>
      <c r="D52" s="815">
        <v>0</v>
      </c>
      <c r="E52" s="815">
        <v>0</v>
      </c>
      <c r="F52" s="815">
        <v>0</v>
      </c>
      <c r="G52" s="815">
        <v>0</v>
      </c>
      <c r="H52" s="815">
        <v>0</v>
      </c>
      <c r="I52" s="815">
        <v>0</v>
      </c>
      <c r="J52" s="815">
        <v>0</v>
      </c>
      <c r="K52" s="815">
        <v>0</v>
      </c>
      <c r="L52" s="815">
        <v>0</v>
      </c>
      <c r="M52" s="815">
        <v>0</v>
      </c>
      <c r="N52" s="815">
        <v>0</v>
      </c>
      <c r="O52" s="815">
        <v>0</v>
      </c>
      <c r="P52" s="815">
        <v>0</v>
      </c>
      <c r="Q52" s="815">
        <v>0</v>
      </c>
      <c r="R52" s="815">
        <v>0</v>
      </c>
      <c r="S52" s="815">
        <v>0</v>
      </c>
      <c r="T52" s="815">
        <v>0</v>
      </c>
      <c r="U52" s="815">
        <v>0</v>
      </c>
      <c r="V52" s="815">
        <v>0</v>
      </c>
      <c r="W52" s="815">
        <v>0</v>
      </c>
      <c r="X52" s="815">
        <v>0</v>
      </c>
      <c r="Y52" s="815">
        <v>0</v>
      </c>
      <c r="Z52" s="815">
        <v>0</v>
      </c>
      <c r="AA52" s="815">
        <v>0</v>
      </c>
      <c r="AB52" s="815">
        <v>0</v>
      </c>
      <c r="AC52" s="815">
        <v>0</v>
      </c>
      <c r="AD52" s="815">
        <v>0</v>
      </c>
      <c r="AE52" s="815">
        <v>0</v>
      </c>
      <c r="AF52" s="814" t="s">
        <v>2805</v>
      </c>
      <c r="AG52" s="802"/>
    </row>
    <row r="53" spans="1:34" ht="15" customHeight="1">
      <c r="A53" s="800" t="s">
        <v>4564</v>
      </c>
      <c r="B53" s="808" t="s">
        <v>4303</v>
      </c>
      <c r="C53" s="816">
        <v>0</v>
      </c>
      <c r="D53" s="816">
        <v>0</v>
      </c>
      <c r="E53" s="816">
        <v>0</v>
      </c>
      <c r="F53" s="816">
        <v>0</v>
      </c>
      <c r="G53" s="816">
        <v>0</v>
      </c>
      <c r="H53" s="816">
        <v>0</v>
      </c>
      <c r="I53" s="816">
        <v>0</v>
      </c>
      <c r="J53" s="816">
        <v>0</v>
      </c>
      <c r="K53" s="816">
        <v>0</v>
      </c>
      <c r="L53" s="816">
        <v>0</v>
      </c>
      <c r="M53" s="816">
        <v>0</v>
      </c>
      <c r="N53" s="816">
        <v>0</v>
      </c>
      <c r="O53" s="816">
        <v>0</v>
      </c>
      <c r="P53" s="816">
        <v>0</v>
      </c>
      <c r="Q53" s="816">
        <v>0</v>
      </c>
      <c r="R53" s="816">
        <v>0</v>
      </c>
      <c r="S53" s="816">
        <v>0</v>
      </c>
      <c r="T53" s="816">
        <v>0</v>
      </c>
      <c r="U53" s="816">
        <v>0</v>
      </c>
      <c r="V53" s="816">
        <v>0</v>
      </c>
      <c r="W53" s="816">
        <v>0</v>
      </c>
      <c r="X53" s="816">
        <v>0</v>
      </c>
      <c r="Y53" s="816">
        <v>0</v>
      </c>
      <c r="Z53" s="816">
        <v>0</v>
      </c>
      <c r="AA53" s="816">
        <v>0</v>
      </c>
      <c r="AB53" s="816">
        <v>0</v>
      </c>
      <c r="AC53" s="816">
        <v>0</v>
      </c>
      <c r="AD53" s="816">
        <v>0</v>
      </c>
      <c r="AE53" s="816">
        <v>0</v>
      </c>
      <c r="AF53" s="810" t="s">
        <v>2805</v>
      </c>
      <c r="AG53" s="802"/>
    </row>
    <row r="54" spans="1:34" ht="15" customHeight="1">
      <c r="B54" s="808" t="s">
        <v>4336</v>
      </c>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2"/>
    </row>
    <row r="55" spans="1:34" ht="15" customHeight="1">
      <c r="A55" s="800" t="s">
        <v>4565</v>
      </c>
      <c r="B55" s="812" t="s">
        <v>4338</v>
      </c>
      <c r="C55" s="815">
        <v>0</v>
      </c>
      <c r="D55" s="815">
        <v>0</v>
      </c>
      <c r="E55" s="815">
        <v>0</v>
      </c>
      <c r="F55" s="815">
        <v>0</v>
      </c>
      <c r="G55" s="815">
        <v>0</v>
      </c>
      <c r="H55" s="815">
        <v>0</v>
      </c>
      <c r="I55" s="815">
        <v>0</v>
      </c>
      <c r="J55" s="815">
        <v>0</v>
      </c>
      <c r="K55" s="815">
        <v>0</v>
      </c>
      <c r="L55" s="815">
        <v>0</v>
      </c>
      <c r="M55" s="815">
        <v>0</v>
      </c>
      <c r="N55" s="815">
        <v>0</v>
      </c>
      <c r="O55" s="815">
        <v>0</v>
      </c>
      <c r="P55" s="815">
        <v>0</v>
      </c>
      <c r="Q55" s="815">
        <v>0</v>
      </c>
      <c r="R55" s="815">
        <v>0</v>
      </c>
      <c r="S55" s="815">
        <v>0</v>
      </c>
      <c r="T55" s="815">
        <v>0</v>
      </c>
      <c r="U55" s="815">
        <v>0</v>
      </c>
      <c r="V55" s="815">
        <v>0</v>
      </c>
      <c r="W55" s="815">
        <v>0</v>
      </c>
      <c r="X55" s="815">
        <v>0</v>
      </c>
      <c r="Y55" s="815">
        <v>0</v>
      </c>
      <c r="Z55" s="815">
        <v>0</v>
      </c>
      <c r="AA55" s="815">
        <v>0</v>
      </c>
      <c r="AB55" s="815">
        <v>0</v>
      </c>
      <c r="AC55" s="815">
        <v>0</v>
      </c>
      <c r="AD55" s="815">
        <v>0</v>
      </c>
      <c r="AE55" s="815">
        <v>0</v>
      </c>
      <c r="AF55" s="814" t="s">
        <v>2805</v>
      </c>
      <c r="AG55" s="802"/>
    </row>
    <row r="56" spans="1:34" ht="15" customHeight="1" thickBot="1">
      <c r="A56" s="800" t="s">
        <v>4566</v>
      </c>
      <c r="B56" s="812" t="s">
        <v>4340</v>
      </c>
      <c r="C56" s="815">
        <v>0</v>
      </c>
      <c r="D56" s="815">
        <v>0</v>
      </c>
      <c r="E56" s="815">
        <v>0</v>
      </c>
      <c r="F56" s="815">
        <v>0</v>
      </c>
      <c r="G56" s="815">
        <v>0</v>
      </c>
      <c r="H56" s="815">
        <v>0</v>
      </c>
      <c r="I56" s="815">
        <v>0</v>
      </c>
      <c r="J56" s="815">
        <v>0</v>
      </c>
      <c r="K56" s="815">
        <v>0</v>
      </c>
      <c r="L56" s="815">
        <v>0</v>
      </c>
      <c r="M56" s="815">
        <v>0</v>
      </c>
      <c r="N56" s="815">
        <v>0</v>
      </c>
      <c r="O56" s="815">
        <v>0</v>
      </c>
      <c r="P56" s="815">
        <v>0</v>
      </c>
      <c r="Q56" s="815">
        <v>0</v>
      </c>
      <c r="R56" s="815">
        <v>0</v>
      </c>
      <c r="S56" s="815">
        <v>0</v>
      </c>
      <c r="T56" s="815">
        <v>0</v>
      </c>
      <c r="U56" s="815">
        <v>0</v>
      </c>
      <c r="V56" s="815">
        <v>0</v>
      </c>
      <c r="W56" s="815">
        <v>0</v>
      </c>
      <c r="X56" s="815">
        <v>0</v>
      </c>
      <c r="Y56" s="815">
        <v>0</v>
      </c>
      <c r="Z56" s="815">
        <v>0</v>
      </c>
      <c r="AA56" s="815">
        <v>0</v>
      </c>
      <c r="AB56" s="815">
        <v>0</v>
      </c>
      <c r="AC56" s="815">
        <v>0</v>
      </c>
      <c r="AD56" s="815">
        <v>0</v>
      </c>
      <c r="AE56" s="815">
        <v>0</v>
      </c>
      <c r="AF56" s="814" t="s">
        <v>2805</v>
      </c>
      <c r="AG56" s="802"/>
    </row>
    <row r="57" spans="1:34" ht="15" customHeight="1">
      <c r="B57" s="1258" t="s">
        <v>4417</v>
      </c>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817"/>
    </row>
    <row r="58" spans="1:34" ht="15" customHeight="1">
      <c r="B58" s="802" t="s">
        <v>4567</v>
      </c>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s="802"/>
      <c r="AG58" s="802"/>
    </row>
    <row r="59" spans="1:34" ht="15" customHeight="1">
      <c r="B59" s="802" t="s">
        <v>4420</v>
      </c>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row>
    <row r="60" spans="1:34" ht="15" customHeight="1">
      <c r="B60" s="802" t="s">
        <v>4568</v>
      </c>
      <c r="C60" s="802"/>
      <c r="D60" s="802"/>
      <c r="E60" s="802"/>
      <c r="F60" s="802"/>
      <c r="G60" s="802"/>
      <c r="H60" s="802"/>
      <c r="I60" s="802"/>
      <c r="J60" s="802"/>
      <c r="K60" s="802"/>
      <c r="L60" s="802"/>
      <c r="M60" s="802"/>
      <c r="N60" s="802"/>
      <c r="O60" s="802"/>
      <c r="P60" s="802"/>
      <c r="Q60" s="802"/>
      <c r="R60" s="802"/>
      <c r="S60" s="802"/>
      <c r="T60" s="802"/>
      <c r="U60" s="802"/>
      <c r="V60" s="802"/>
      <c r="W60" s="802"/>
      <c r="X60" s="802"/>
      <c r="Y60" s="802"/>
      <c r="Z60" s="802"/>
      <c r="AA60" s="802"/>
      <c r="AB60" s="802"/>
      <c r="AC60" s="802"/>
      <c r="AD60" s="802"/>
      <c r="AE60" s="802"/>
      <c r="AF60" s="802"/>
      <c r="AG60" s="802"/>
    </row>
    <row r="61" spans="1:34" ht="15" customHeight="1">
      <c r="B61" s="802" t="s">
        <v>4569</v>
      </c>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row>
    <row r="62" spans="1:34" ht="15" customHeight="1">
      <c r="B62" s="802" t="s">
        <v>4570</v>
      </c>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row>
    <row r="63" spans="1:34" ht="15" customHeight="1">
      <c r="B63" s="802" t="s">
        <v>4363</v>
      </c>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row>
    <row r="64" spans="1:34" ht="15" customHeight="1">
      <c r="B64" s="802" t="s">
        <v>4364</v>
      </c>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row>
    <row r="65" spans="2:33" ht="15" customHeight="1">
      <c r="B65" s="802" t="s">
        <v>4365</v>
      </c>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2:33" ht="15" customHeight="1">
      <c r="B66" s="802" t="s">
        <v>4366</v>
      </c>
      <c r="C66" s="802"/>
      <c r="D66" s="802"/>
      <c r="E66" s="802"/>
      <c r="F66" s="802"/>
      <c r="G66" s="802"/>
      <c r="H66" s="802"/>
      <c r="I66" s="802"/>
      <c r="J66" s="802"/>
      <c r="K66" s="802"/>
      <c r="L66" s="802"/>
      <c r="M66" s="802"/>
      <c r="N66" s="802"/>
      <c r="O66" s="802"/>
      <c r="P66" s="802"/>
      <c r="Q66" s="802"/>
      <c r="R66" s="802"/>
      <c r="S66" s="802"/>
      <c r="T66" s="802"/>
      <c r="U66" s="802"/>
      <c r="V66" s="802"/>
      <c r="W66" s="802"/>
      <c r="X66" s="802"/>
      <c r="Y66" s="802"/>
      <c r="Z66" s="802"/>
      <c r="AA66" s="802"/>
      <c r="AB66" s="802"/>
      <c r="AC66" s="802"/>
      <c r="AD66" s="802"/>
      <c r="AE66" s="802"/>
      <c r="AF66" s="802"/>
      <c r="AG66" s="802"/>
    </row>
    <row r="67" spans="2:33" ht="12" customHeight="1">
      <c r="B67" s="802" t="s">
        <v>4424</v>
      </c>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row>
    <row r="68" spans="2:33" ht="15" customHeight="1">
      <c r="B68" s="802" t="s">
        <v>4425</v>
      </c>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row>
    <row r="69" spans="2:33" ht="15" customHeight="1">
      <c r="B69" s="802"/>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2:33" ht="15" customHeight="1">
      <c r="B70" s="802"/>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2:33" ht="15" customHeight="1">
      <c r="B71" s="802"/>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2:33" ht="15" customHeight="1">
      <c r="B72" s="802"/>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2:33" ht="15" customHeight="1">
      <c r="B73" s="802"/>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2:33" ht="15" customHeight="1">
      <c r="B74" s="802"/>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2:33" ht="12" customHeight="1">
      <c r="B75" s="802"/>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2:33" ht="15" customHeight="1">
      <c r="B76" s="802"/>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2:33" ht="15" customHeight="1">
      <c r="B77" s="802"/>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2:33" ht="15" customHeight="1">
      <c r="B78" s="802"/>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2:33" ht="15" customHeight="1">
      <c r="B79" s="802"/>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2:33" ht="15" customHeight="1">
      <c r="B80" s="802"/>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2:33" ht="15" customHeight="1">
      <c r="B81" s="802"/>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2" customHeight="1">
      <c r="B83" s="802"/>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t="s">
        <v>1505</v>
      </c>
      <c r="AG84" s="802"/>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57:AG57"/>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53102-FC51-405D-956B-D455B1F01A54}">
  <dimension ref="A1:AH2828"/>
  <sheetViews>
    <sheetView workbookViewId="0">
      <pane xSplit="2" ySplit="1" topLeftCell="D2" activePane="bottomRight" state="frozen"/>
      <selection pane="bottomRight" activeCell="T49" sqref="T49"/>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4571</v>
      </c>
      <c r="B10" s="801" t="s">
        <v>4572</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4573</v>
      </c>
      <c r="B15" s="808" t="s">
        <v>4242</v>
      </c>
      <c r="C15" s="809">
        <v>16.081751000000001</v>
      </c>
      <c r="D15" s="809">
        <v>15.364241</v>
      </c>
      <c r="E15" s="809">
        <v>15.174519</v>
      </c>
      <c r="F15" s="809">
        <v>15.420743999999999</v>
      </c>
      <c r="G15" s="809">
        <v>15.655219000000001</v>
      </c>
      <c r="H15" s="809">
        <v>15.807650000000001</v>
      </c>
      <c r="I15" s="809">
        <v>15.951729</v>
      </c>
      <c r="J15" s="809">
        <v>16.142638999999999</v>
      </c>
      <c r="K15" s="809">
        <v>16.343665999999999</v>
      </c>
      <c r="L15" s="809">
        <v>16.538471000000001</v>
      </c>
      <c r="M15" s="809">
        <v>16.67625</v>
      </c>
      <c r="N15" s="809">
        <v>16.739432999999998</v>
      </c>
      <c r="O15" s="809">
        <v>16.852367000000001</v>
      </c>
      <c r="P15" s="809">
        <v>17.106045000000002</v>
      </c>
      <c r="Q15" s="809">
        <v>17.312027</v>
      </c>
      <c r="R15" s="809">
        <v>17.484805999999999</v>
      </c>
      <c r="S15" s="809">
        <v>17.670828</v>
      </c>
      <c r="T15" s="809">
        <v>17.814067999999999</v>
      </c>
      <c r="U15" s="809">
        <v>18.006584</v>
      </c>
      <c r="V15" s="809">
        <v>18.220645999999999</v>
      </c>
      <c r="W15" s="809">
        <v>18.389344999999999</v>
      </c>
      <c r="X15" s="809">
        <v>18.476151000000002</v>
      </c>
      <c r="Y15" s="809">
        <v>18.683886999999999</v>
      </c>
      <c r="Z15" s="809">
        <v>18.925754999999999</v>
      </c>
      <c r="AA15" s="809">
        <v>19.120739</v>
      </c>
      <c r="AB15" s="809">
        <v>19.317871</v>
      </c>
      <c r="AC15" s="809">
        <v>19.466255</v>
      </c>
      <c r="AD15" s="809">
        <v>19.601412</v>
      </c>
      <c r="AE15" s="809">
        <v>19.775444</v>
      </c>
      <c r="AF15" s="810">
        <v>7.4110000000000001E-3</v>
      </c>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A18" s="800" t="s">
        <v>4574</v>
      </c>
      <c r="B18" s="812" t="s">
        <v>4250</v>
      </c>
      <c r="C18" s="813">
        <v>2.4295840000000002</v>
      </c>
      <c r="D18" s="813">
        <v>2.778753</v>
      </c>
      <c r="E18" s="813">
        <v>2.7035979999999999</v>
      </c>
      <c r="F18" s="813">
        <v>2.77176</v>
      </c>
      <c r="G18" s="813">
        <v>2.7324280000000001</v>
      </c>
      <c r="H18" s="813">
        <v>2.6619069999999998</v>
      </c>
      <c r="I18" s="813">
        <v>2.564324</v>
      </c>
      <c r="J18" s="813">
        <v>2.5294530000000002</v>
      </c>
      <c r="K18" s="813">
        <v>2.489001</v>
      </c>
      <c r="L18" s="813">
        <v>2.4437139999999999</v>
      </c>
      <c r="M18" s="813">
        <v>2.3982389999999998</v>
      </c>
      <c r="N18" s="813">
        <v>2.3427820000000001</v>
      </c>
      <c r="O18" s="813">
        <v>2.293085</v>
      </c>
      <c r="P18" s="813">
        <v>2.2605650000000002</v>
      </c>
      <c r="Q18" s="813">
        <v>2.2315559999999999</v>
      </c>
      <c r="R18" s="813">
        <v>2.1926649999999999</v>
      </c>
      <c r="S18" s="813">
        <v>2.1525729999999998</v>
      </c>
      <c r="T18" s="813">
        <v>2.1287120000000002</v>
      </c>
      <c r="U18" s="813">
        <v>2.1180850000000002</v>
      </c>
      <c r="V18" s="813">
        <v>2.1012680000000001</v>
      </c>
      <c r="W18" s="813">
        <v>2.085852</v>
      </c>
      <c r="X18" s="813">
        <v>2.0464289999999998</v>
      </c>
      <c r="Y18" s="813">
        <v>2.0183759999999999</v>
      </c>
      <c r="Z18" s="813">
        <v>1.997134</v>
      </c>
      <c r="AA18" s="813">
        <v>1.9587049999999999</v>
      </c>
      <c r="AB18" s="813">
        <v>1.937432</v>
      </c>
      <c r="AC18" s="813">
        <v>1.9027959999999999</v>
      </c>
      <c r="AD18" s="813">
        <v>1.8671059999999999</v>
      </c>
      <c r="AE18" s="813">
        <v>1.8336509999999999</v>
      </c>
      <c r="AF18" s="814">
        <v>-0.01</v>
      </c>
      <c r="AG18" s="802"/>
    </row>
    <row r="19" spans="1:33" ht="15" customHeight="1">
      <c r="A19" s="800" t="s">
        <v>4575</v>
      </c>
      <c r="B19" s="812" t="s">
        <v>4248</v>
      </c>
      <c r="C19" s="813">
        <v>0</v>
      </c>
      <c r="D19" s="813">
        <v>0</v>
      </c>
      <c r="E19" s="813">
        <v>0</v>
      </c>
      <c r="F19" s="813">
        <v>0</v>
      </c>
      <c r="G19" s="813">
        <v>0</v>
      </c>
      <c r="H19" s="813">
        <v>0</v>
      </c>
      <c r="I19" s="813">
        <v>0</v>
      </c>
      <c r="J19" s="813">
        <v>0</v>
      </c>
      <c r="K19" s="813">
        <v>0</v>
      </c>
      <c r="L19" s="813">
        <v>0</v>
      </c>
      <c r="M19" s="813">
        <v>0</v>
      </c>
      <c r="N19" s="813">
        <v>0</v>
      </c>
      <c r="O19" s="813">
        <v>0</v>
      </c>
      <c r="P19" s="813">
        <v>0</v>
      </c>
      <c r="Q19" s="813">
        <v>0</v>
      </c>
      <c r="R19" s="813">
        <v>0</v>
      </c>
      <c r="S19" s="813">
        <v>0</v>
      </c>
      <c r="T19" s="813">
        <v>0</v>
      </c>
      <c r="U19" s="813">
        <v>0</v>
      </c>
      <c r="V19" s="813">
        <v>0</v>
      </c>
      <c r="W19" s="813">
        <v>0</v>
      </c>
      <c r="X19" s="813">
        <v>0</v>
      </c>
      <c r="Y19" s="813">
        <v>0</v>
      </c>
      <c r="Z19" s="813">
        <v>0</v>
      </c>
      <c r="AA19" s="813">
        <v>0</v>
      </c>
      <c r="AB19" s="813">
        <v>0</v>
      </c>
      <c r="AC19" s="813">
        <v>0</v>
      </c>
      <c r="AD19" s="813">
        <v>0</v>
      </c>
      <c r="AE19" s="813">
        <v>0</v>
      </c>
      <c r="AF19" s="814" t="s">
        <v>2805</v>
      </c>
      <c r="AG19" s="802"/>
    </row>
    <row r="20" spans="1:33" ht="15" customHeight="1">
      <c r="A20" s="800" t="s">
        <v>4576</v>
      </c>
      <c r="B20" s="812" t="s">
        <v>4377</v>
      </c>
      <c r="C20" s="813">
        <v>0</v>
      </c>
      <c r="D20" s="813">
        <v>0</v>
      </c>
      <c r="E20" s="813">
        <v>0</v>
      </c>
      <c r="F20" s="813">
        <v>0</v>
      </c>
      <c r="G20" s="813">
        <v>0</v>
      </c>
      <c r="H20" s="813">
        <v>0</v>
      </c>
      <c r="I20" s="813">
        <v>0</v>
      </c>
      <c r="J20" s="813">
        <v>0</v>
      </c>
      <c r="K20" s="813">
        <v>0</v>
      </c>
      <c r="L20" s="813">
        <v>0</v>
      </c>
      <c r="M20" s="813">
        <v>0</v>
      </c>
      <c r="N20" s="813">
        <v>0</v>
      </c>
      <c r="O20" s="813">
        <v>0</v>
      </c>
      <c r="P20" s="813">
        <v>0</v>
      </c>
      <c r="Q20" s="813">
        <v>0</v>
      </c>
      <c r="R20" s="813">
        <v>0</v>
      </c>
      <c r="S20" s="813">
        <v>0</v>
      </c>
      <c r="T20" s="813">
        <v>0</v>
      </c>
      <c r="U20" s="813">
        <v>0</v>
      </c>
      <c r="V20" s="813">
        <v>0</v>
      </c>
      <c r="W20" s="813">
        <v>0</v>
      </c>
      <c r="X20" s="813">
        <v>0</v>
      </c>
      <c r="Y20" s="813">
        <v>0</v>
      </c>
      <c r="Z20" s="813">
        <v>0</v>
      </c>
      <c r="AA20" s="813">
        <v>0</v>
      </c>
      <c r="AB20" s="813">
        <v>0</v>
      </c>
      <c r="AC20" s="813">
        <v>0</v>
      </c>
      <c r="AD20" s="813">
        <v>0</v>
      </c>
      <c r="AE20" s="813">
        <v>0</v>
      </c>
      <c r="AF20" s="814" t="s">
        <v>2805</v>
      </c>
      <c r="AG20" s="802"/>
    </row>
    <row r="21" spans="1:33" ht="15" customHeight="1">
      <c r="A21" s="800" t="s">
        <v>4577</v>
      </c>
      <c r="B21" s="812" t="s">
        <v>4254</v>
      </c>
      <c r="C21" s="813">
        <v>73.974922000000007</v>
      </c>
      <c r="D21" s="813">
        <v>42.101661999999997</v>
      </c>
      <c r="E21" s="813">
        <v>45.696629000000001</v>
      </c>
      <c r="F21" s="813">
        <v>50.443024000000001</v>
      </c>
      <c r="G21" s="813">
        <v>55.600883000000003</v>
      </c>
      <c r="H21" s="813">
        <v>60.717193999999999</v>
      </c>
      <c r="I21" s="813">
        <v>65.071251000000004</v>
      </c>
      <c r="J21" s="813">
        <v>66.845329000000007</v>
      </c>
      <c r="K21" s="813">
        <v>68.280852999999993</v>
      </c>
      <c r="L21" s="813">
        <v>69.416961999999998</v>
      </c>
      <c r="M21" s="813">
        <v>69.918457000000004</v>
      </c>
      <c r="N21" s="813">
        <v>69.795563000000001</v>
      </c>
      <c r="O21" s="813">
        <v>69.292327999999998</v>
      </c>
      <c r="P21" s="813">
        <v>68.558075000000002</v>
      </c>
      <c r="Q21" s="813">
        <v>67.428023999999994</v>
      </c>
      <c r="R21" s="813">
        <v>66.005645999999999</v>
      </c>
      <c r="S21" s="813">
        <v>64.577163999999996</v>
      </c>
      <c r="T21" s="813">
        <v>63.955584999999999</v>
      </c>
      <c r="U21" s="813">
        <v>63.743949999999998</v>
      </c>
      <c r="V21" s="813">
        <v>63.417889000000002</v>
      </c>
      <c r="W21" s="813">
        <v>62.643856</v>
      </c>
      <c r="X21" s="813">
        <v>61.460335000000001</v>
      </c>
      <c r="Y21" s="813">
        <v>60.044342</v>
      </c>
      <c r="Z21" s="813">
        <v>59.269652999999998</v>
      </c>
      <c r="AA21" s="813">
        <v>58.334319999999998</v>
      </c>
      <c r="AB21" s="813">
        <v>57.368335999999999</v>
      </c>
      <c r="AC21" s="813">
        <v>56.378365000000002</v>
      </c>
      <c r="AD21" s="813">
        <v>55.215885</v>
      </c>
      <c r="AE21" s="813">
        <v>54.084816000000004</v>
      </c>
      <c r="AF21" s="814">
        <v>-1.1122E-2</v>
      </c>
      <c r="AG21" s="802"/>
    </row>
    <row r="22" spans="1:33" ht="15" customHeight="1">
      <c r="A22" s="800" t="s">
        <v>4578</v>
      </c>
      <c r="B22" s="812" t="s">
        <v>4379</v>
      </c>
      <c r="C22" s="813">
        <v>0</v>
      </c>
      <c r="D22" s="813">
        <v>0</v>
      </c>
      <c r="E22" s="813">
        <v>0</v>
      </c>
      <c r="F22" s="813">
        <v>0</v>
      </c>
      <c r="G22" s="813">
        <v>0</v>
      </c>
      <c r="H22" s="813">
        <v>0</v>
      </c>
      <c r="I22" s="813">
        <v>0</v>
      </c>
      <c r="J22" s="813">
        <v>0</v>
      </c>
      <c r="K22" s="813">
        <v>0</v>
      </c>
      <c r="L22" s="813">
        <v>0</v>
      </c>
      <c r="M22" s="813">
        <v>0</v>
      </c>
      <c r="N22" s="813">
        <v>0</v>
      </c>
      <c r="O22" s="813">
        <v>0</v>
      </c>
      <c r="P22" s="813">
        <v>0</v>
      </c>
      <c r="Q22" s="813">
        <v>0</v>
      </c>
      <c r="R22" s="813">
        <v>0</v>
      </c>
      <c r="S22" s="813">
        <v>0</v>
      </c>
      <c r="T22" s="813">
        <v>0</v>
      </c>
      <c r="U22" s="813">
        <v>0</v>
      </c>
      <c r="V22" s="813">
        <v>0</v>
      </c>
      <c r="W22" s="813">
        <v>0</v>
      </c>
      <c r="X22" s="813">
        <v>0</v>
      </c>
      <c r="Y22" s="813">
        <v>0</v>
      </c>
      <c r="Z22" s="813">
        <v>0</v>
      </c>
      <c r="AA22" s="813">
        <v>0</v>
      </c>
      <c r="AB22" s="813">
        <v>0</v>
      </c>
      <c r="AC22" s="813">
        <v>0</v>
      </c>
      <c r="AD22" s="813">
        <v>0</v>
      </c>
      <c r="AE22" s="813">
        <v>0</v>
      </c>
      <c r="AF22" s="814" t="s">
        <v>2805</v>
      </c>
      <c r="AG22" s="802"/>
    </row>
    <row r="23" spans="1:33" ht="15" customHeight="1">
      <c r="A23" s="800" t="s">
        <v>4579</v>
      </c>
      <c r="B23" s="812" t="s">
        <v>4260</v>
      </c>
      <c r="C23" s="813">
        <v>76.404503000000005</v>
      </c>
      <c r="D23" s="813">
        <v>44.880412999999997</v>
      </c>
      <c r="E23" s="813">
        <v>48.400227000000001</v>
      </c>
      <c r="F23" s="813">
        <v>53.214782999999997</v>
      </c>
      <c r="G23" s="813">
        <v>58.333312999999997</v>
      </c>
      <c r="H23" s="813">
        <v>63.379100999999999</v>
      </c>
      <c r="I23" s="813">
        <v>67.635574000000005</v>
      </c>
      <c r="J23" s="813">
        <v>69.374779000000004</v>
      </c>
      <c r="K23" s="813">
        <v>70.769852</v>
      </c>
      <c r="L23" s="813">
        <v>71.860680000000002</v>
      </c>
      <c r="M23" s="813">
        <v>72.316695999999993</v>
      </c>
      <c r="N23" s="813">
        <v>72.138344000000004</v>
      </c>
      <c r="O23" s="813">
        <v>71.585410999999993</v>
      </c>
      <c r="P23" s="813">
        <v>70.818641999999997</v>
      </c>
      <c r="Q23" s="813">
        <v>69.659583999999995</v>
      </c>
      <c r="R23" s="813">
        <v>68.198311000000004</v>
      </c>
      <c r="S23" s="813">
        <v>66.729736000000003</v>
      </c>
      <c r="T23" s="813">
        <v>66.084297000000007</v>
      </c>
      <c r="U23" s="813">
        <v>65.862037999999998</v>
      </c>
      <c r="V23" s="813">
        <v>65.519157000000007</v>
      </c>
      <c r="W23" s="813">
        <v>64.729705999999993</v>
      </c>
      <c r="X23" s="813">
        <v>63.506762999999999</v>
      </c>
      <c r="Y23" s="813">
        <v>62.062716999999999</v>
      </c>
      <c r="Z23" s="813">
        <v>61.266787999999998</v>
      </c>
      <c r="AA23" s="813">
        <v>60.293025999999998</v>
      </c>
      <c r="AB23" s="813">
        <v>59.305767000000003</v>
      </c>
      <c r="AC23" s="813">
        <v>58.281162000000002</v>
      </c>
      <c r="AD23" s="813">
        <v>57.082993000000002</v>
      </c>
      <c r="AE23" s="813">
        <v>55.918467999999997</v>
      </c>
      <c r="AF23" s="814">
        <v>-1.1086E-2</v>
      </c>
      <c r="AG23" s="802"/>
    </row>
    <row r="24" spans="1:33" ht="15" customHeight="1">
      <c r="A24" s="800" t="s">
        <v>4580</v>
      </c>
      <c r="B24" s="812" t="s">
        <v>4262</v>
      </c>
      <c r="C24" s="813">
        <v>100.848129</v>
      </c>
      <c r="D24" s="813">
        <v>103.210976</v>
      </c>
      <c r="E24" s="813">
        <v>112.318832</v>
      </c>
      <c r="F24" s="813">
        <v>123.462654</v>
      </c>
      <c r="G24" s="813">
        <v>135.442001</v>
      </c>
      <c r="H24" s="813">
        <v>147.003784</v>
      </c>
      <c r="I24" s="813">
        <v>156.64299</v>
      </c>
      <c r="J24" s="813">
        <v>160.690414</v>
      </c>
      <c r="K24" s="813">
        <v>164.360657</v>
      </c>
      <c r="L24" s="813">
        <v>167.51365699999999</v>
      </c>
      <c r="M24" s="813">
        <v>169.83921799999999</v>
      </c>
      <c r="N24" s="813">
        <v>171.154144</v>
      </c>
      <c r="O24" s="813">
        <v>173.12687700000001</v>
      </c>
      <c r="P24" s="813">
        <v>176.022232</v>
      </c>
      <c r="Q24" s="813">
        <v>179.39605700000001</v>
      </c>
      <c r="R24" s="813">
        <v>181.658615</v>
      </c>
      <c r="S24" s="813">
        <v>182.89773600000001</v>
      </c>
      <c r="T24" s="813">
        <v>186.335587</v>
      </c>
      <c r="U24" s="813">
        <v>188.180634</v>
      </c>
      <c r="V24" s="813">
        <v>190.148819</v>
      </c>
      <c r="W24" s="813">
        <v>191.89102199999999</v>
      </c>
      <c r="X24" s="813">
        <v>192.82782</v>
      </c>
      <c r="Y24" s="813">
        <v>192.98405500000001</v>
      </c>
      <c r="Z24" s="813">
        <v>194.25846899999999</v>
      </c>
      <c r="AA24" s="813">
        <v>195.170502</v>
      </c>
      <c r="AB24" s="813">
        <v>195.89494300000001</v>
      </c>
      <c r="AC24" s="813">
        <v>196.329239</v>
      </c>
      <c r="AD24" s="813">
        <v>196.15123</v>
      </c>
      <c r="AE24" s="813">
        <v>195.353195</v>
      </c>
      <c r="AF24" s="814">
        <v>2.3895E-2</v>
      </c>
      <c r="AG24" s="802"/>
    </row>
    <row r="25" spans="1:33" ht="15" customHeight="1">
      <c r="A25" s="800" t="s">
        <v>4581</v>
      </c>
      <c r="B25" s="812" t="s">
        <v>4383</v>
      </c>
      <c r="C25" s="813">
        <v>129.506989</v>
      </c>
      <c r="D25" s="813">
        <v>114.999107</v>
      </c>
      <c r="E25" s="813">
        <v>112.23335299999999</v>
      </c>
      <c r="F25" s="813">
        <v>111.557175</v>
      </c>
      <c r="G25" s="813">
        <v>111.008202</v>
      </c>
      <c r="H25" s="813">
        <v>109.94358800000001</v>
      </c>
      <c r="I25" s="813">
        <v>107.980576</v>
      </c>
      <c r="J25" s="813">
        <v>103.468552</v>
      </c>
      <c r="K25" s="813">
        <v>98.988326999999998</v>
      </c>
      <c r="L25" s="813">
        <v>94.662056000000007</v>
      </c>
      <c r="M25" s="813">
        <v>90.175490999999994</v>
      </c>
      <c r="N25" s="813">
        <v>85.584014999999994</v>
      </c>
      <c r="O25" s="813">
        <v>81.229957999999996</v>
      </c>
      <c r="P25" s="813">
        <v>77.211348999999998</v>
      </c>
      <c r="Q25" s="813">
        <v>73.115020999999999</v>
      </c>
      <c r="R25" s="813">
        <v>68.982651000000004</v>
      </c>
      <c r="S25" s="813">
        <v>65.098808000000005</v>
      </c>
      <c r="T25" s="813">
        <v>62.891998000000001</v>
      </c>
      <c r="U25" s="813">
        <v>61.127392</v>
      </c>
      <c r="V25" s="813">
        <v>59.409309</v>
      </c>
      <c r="W25" s="813">
        <v>57.491580999999996</v>
      </c>
      <c r="X25" s="813">
        <v>55.392539999999997</v>
      </c>
      <c r="Y25" s="813">
        <v>53.294220000000003</v>
      </c>
      <c r="Z25" s="813">
        <v>51.700512000000003</v>
      </c>
      <c r="AA25" s="813">
        <v>50.074767999999999</v>
      </c>
      <c r="AB25" s="813">
        <v>48.494079999999997</v>
      </c>
      <c r="AC25" s="813">
        <v>46.947510000000001</v>
      </c>
      <c r="AD25" s="813">
        <v>45.391232000000002</v>
      </c>
      <c r="AE25" s="813">
        <v>43.900664999999996</v>
      </c>
      <c r="AF25" s="814">
        <v>-3.7899000000000002E-2</v>
      </c>
      <c r="AG25" s="802"/>
    </row>
    <row r="26" spans="1:33" ht="15" customHeight="1">
      <c r="A26" s="800" t="s">
        <v>4582</v>
      </c>
      <c r="B26" s="812" t="s">
        <v>4583</v>
      </c>
      <c r="C26" s="813">
        <v>0</v>
      </c>
      <c r="D26" s="813">
        <v>0</v>
      </c>
      <c r="E26" s="813">
        <v>0</v>
      </c>
      <c r="F26" s="813">
        <v>0</v>
      </c>
      <c r="G26" s="813">
        <v>0</v>
      </c>
      <c r="H26" s="813">
        <v>0</v>
      </c>
      <c r="I26" s="813">
        <v>0</v>
      </c>
      <c r="J26" s="813">
        <v>0</v>
      </c>
      <c r="K26" s="813">
        <v>0</v>
      </c>
      <c r="L26" s="813">
        <v>0</v>
      </c>
      <c r="M26" s="813">
        <v>0</v>
      </c>
      <c r="N26" s="813">
        <v>0</v>
      </c>
      <c r="O26" s="813">
        <v>0</v>
      </c>
      <c r="P26" s="813">
        <v>0</v>
      </c>
      <c r="Q26" s="813">
        <v>0</v>
      </c>
      <c r="R26" s="813">
        <v>0</v>
      </c>
      <c r="S26" s="813">
        <v>0</v>
      </c>
      <c r="T26" s="813">
        <v>0</v>
      </c>
      <c r="U26" s="813">
        <v>0</v>
      </c>
      <c r="V26" s="813">
        <v>0</v>
      </c>
      <c r="W26" s="813">
        <v>0</v>
      </c>
      <c r="X26" s="813">
        <v>0</v>
      </c>
      <c r="Y26" s="813">
        <v>0</v>
      </c>
      <c r="Z26" s="813">
        <v>0</v>
      </c>
      <c r="AA26" s="813">
        <v>0</v>
      </c>
      <c r="AB26" s="813">
        <v>0</v>
      </c>
      <c r="AC26" s="813">
        <v>0</v>
      </c>
      <c r="AD26" s="813">
        <v>0</v>
      </c>
      <c r="AE26" s="813">
        <v>0</v>
      </c>
      <c r="AF26" s="814" t="s">
        <v>2805</v>
      </c>
      <c r="AG26" s="802"/>
    </row>
    <row r="27" spans="1:33" ht="15" customHeight="1">
      <c r="A27" s="800" t="s">
        <v>4584</v>
      </c>
      <c r="B27" s="812" t="s">
        <v>4585</v>
      </c>
      <c r="C27" s="813">
        <v>129.506989</v>
      </c>
      <c r="D27" s="813">
        <v>114.999107</v>
      </c>
      <c r="E27" s="813">
        <v>112.23335299999999</v>
      </c>
      <c r="F27" s="813">
        <v>111.557175</v>
      </c>
      <c r="G27" s="813">
        <v>111.008202</v>
      </c>
      <c r="H27" s="813">
        <v>109.94358800000001</v>
      </c>
      <c r="I27" s="813">
        <v>107.980576</v>
      </c>
      <c r="J27" s="813">
        <v>103.468552</v>
      </c>
      <c r="K27" s="813">
        <v>98.988326999999998</v>
      </c>
      <c r="L27" s="813">
        <v>94.662056000000007</v>
      </c>
      <c r="M27" s="813">
        <v>90.175490999999994</v>
      </c>
      <c r="N27" s="813">
        <v>85.584014999999994</v>
      </c>
      <c r="O27" s="813">
        <v>81.229957999999996</v>
      </c>
      <c r="P27" s="813">
        <v>77.211348999999998</v>
      </c>
      <c r="Q27" s="813">
        <v>73.115020999999999</v>
      </c>
      <c r="R27" s="813">
        <v>68.982651000000004</v>
      </c>
      <c r="S27" s="813">
        <v>65.098808000000005</v>
      </c>
      <c r="T27" s="813">
        <v>62.891998000000001</v>
      </c>
      <c r="U27" s="813">
        <v>61.127392</v>
      </c>
      <c r="V27" s="813">
        <v>59.409309</v>
      </c>
      <c r="W27" s="813">
        <v>57.491580999999996</v>
      </c>
      <c r="X27" s="813">
        <v>55.392539999999997</v>
      </c>
      <c r="Y27" s="813">
        <v>53.294220000000003</v>
      </c>
      <c r="Z27" s="813">
        <v>51.700512000000003</v>
      </c>
      <c r="AA27" s="813">
        <v>50.074767999999999</v>
      </c>
      <c r="AB27" s="813">
        <v>48.494079999999997</v>
      </c>
      <c r="AC27" s="813">
        <v>46.947510000000001</v>
      </c>
      <c r="AD27" s="813">
        <v>45.391232000000002</v>
      </c>
      <c r="AE27" s="813">
        <v>43.900664999999996</v>
      </c>
      <c r="AF27" s="814">
        <v>-3.7899000000000002E-2</v>
      </c>
      <c r="AG27" s="802"/>
    </row>
    <row r="28" spans="1:33" ht="15" customHeight="1">
      <c r="A28" s="800" t="s">
        <v>4586</v>
      </c>
      <c r="B28" s="812" t="s">
        <v>4385</v>
      </c>
      <c r="C28" s="813">
        <v>47.745392000000002</v>
      </c>
      <c r="D28" s="813">
        <v>45.753166</v>
      </c>
      <c r="E28" s="813">
        <v>45.086005999999998</v>
      </c>
      <c r="F28" s="813">
        <v>45.600932999999998</v>
      </c>
      <c r="G28" s="813">
        <v>46.270781999999997</v>
      </c>
      <c r="H28" s="813">
        <v>46.699936000000001</v>
      </c>
      <c r="I28" s="813">
        <v>46.504925</v>
      </c>
      <c r="J28" s="813">
        <v>44.541308999999998</v>
      </c>
      <c r="K28" s="813">
        <v>42.712924999999998</v>
      </c>
      <c r="L28" s="813">
        <v>41.011524000000001</v>
      </c>
      <c r="M28" s="813">
        <v>39.203518000000003</v>
      </c>
      <c r="N28" s="813">
        <v>37.411448999999998</v>
      </c>
      <c r="O28" s="813">
        <v>35.764473000000002</v>
      </c>
      <c r="P28" s="813">
        <v>34.251193999999998</v>
      </c>
      <c r="Q28" s="813">
        <v>32.640968000000001</v>
      </c>
      <c r="R28" s="813">
        <v>30.947254000000001</v>
      </c>
      <c r="S28" s="813">
        <v>29.341141</v>
      </c>
      <c r="T28" s="813">
        <v>28.763016</v>
      </c>
      <c r="U28" s="813">
        <v>28.381231</v>
      </c>
      <c r="V28" s="813">
        <v>27.973917</v>
      </c>
      <c r="W28" s="813">
        <v>27.390049000000001</v>
      </c>
      <c r="X28" s="813">
        <v>26.6465</v>
      </c>
      <c r="Y28" s="813">
        <v>25.827397999999999</v>
      </c>
      <c r="Z28" s="813">
        <v>25.347525000000001</v>
      </c>
      <c r="AA28" s="813">
        <v>24.812138000000001</v>
      </c>
      <c r="AB28" s="813">
        <v>24.281094</v>
      </c>
      <c r="AC28" s="813">
        <v>23.761776000000001</v>
      </c>
      <c r="AD28" s="813">
        <v>23.188782</v>
      </c>
      <c r="AE28" s="813">
        <v>22.645282999999999</v>
      </c>
      <c r="AF28" s="814">
        <v>-2.6289E-2</v>
      </c>
      <c r="AG28" s="802"/>
    </row>
    <row r="29" spans="1:33" ht="15" customHeight="1">
      <c r="A29" s="800" t="s">
        <v>4587</v>
      </c>
      <c r="B29" s="812" t="s">
        <v>4274</v>
      </c>
      <c r="C29" s="813">
        <v>52.381343999999999</v>
      </c>
      <c r="D29" s="813">
        <v>51.058193000000003</v>
      </c>
      <c r="E29" s="813">
        <v>49.865845</v>
      </c>
      <c r="F29" s="813">
        <v>50.008628999999999</v>
      </c>
      <c r="G29" s="813">
        <v>50.511768000000004</v>
      </c>
      <c r="H29" s="813">
        <v>50.562660000000001</v>
      </c>
      <c r="I29" s="813">
        <v>50.166378000000002</v>
      </c>
      <c r="J29" s="813">
        <v>49.191352999999999</v>
      </c>
      <c r="K29" s="813">
        <v>48.55809</v>
      </c>
      <c r="L29" s="813">
        <v>48.078823</v>
      </c>
      <c r="M29" s="813">
        <v>47.382553000000001</v>
      </c>
      <c r="N29" s="813">
        <v>46.650351999999998</v>
      </c>
      <c r="O29" s="813">
        <v>46.199593</v>
      </c>
      <c r="P29" s="813">
        <v>46.044510000000002</v>
      </c>
      <c r="Q29" s="813">
        <v>45.738522000000003</v>
      </c>
      <c r="R29" s="813">
        <v>45.224280999999998</v>
      </c>
      <c r="S29" s="813">
        <v>44.784084</v>
      </c>
      <c r="T29" s="813">
        <v>44.268566</v>
      </c>
      <c r="U29" s="813">
        <v>43.932827000000003</v>
      </c>
      <c r="V29" s="813">
        <v>43.600273000000001</v>
      </c>
      <c r="W29" s="813">
        <v>43.178818</v>
      </c>
      <c r="X29" s="813">
        <v>42.588230000000003</v>
      </c>
      <c r="Y29" s="813">
        <v>42.131782999999999</v>
      </c>
      <c r="Z29" s="813">
        <v>41.85331</v>
      </c>
      <c r="AA29" s="813">
        <v>41.464354999999998</v>
      </c>
      <c r="AB29" s="813">
        <v>41.152144999999997</v>
      </c>
      <c r="AC29" s="813">
        <v>40.821987</v>
      </c>
      <c r="AD29" s="813">
        <v>40.441913999999997</v>
      </c>
      <c r="AE29" s="813">
        <v>40.120643999999999</v>
      </c>
      <c r="AF29" s="814">
        <v>-9.4780000000000003E-3</v>
      </c>
      <c r="AG29" s="802"/>
    </row>
    <row r="30" spans="1:33" ht="15" customHeight="1">
      <c r="A30" s="800" t="s">
        <v>4588</v>
      </c>
      <c r="B30" s="808" t="s">
        <v>4276</v>
      </c>
      <c r="C30" s="811">
        <v>406.88635299999999</v>
      </c>
      <c r="D30" s="811">
        <v>359.90185500000001</v>
      </c>
      <c r="E30" s="811">
        <v>367.90423600000003</v>
      </c>
      <c r="F30" s="811">
        <v>383.844177</v>
      </c>
      <c r="G30" s="811">
        <v>401.56607100000002</v>
      </c>
      <c r="H30" s="811">
        <v>417.58904999999999</v>
      </c>
      <c r="I30" s="811">
        <v>428.93045000000001</v>
      </c>
      <c r="J30" s="811">
        <v>427.26641799999999</v>
      </c>
      <c r="K30" s="811">
        <v>425.38986199999999</v>
      </c>
      <c r="L30" s="811">
        <v>423.12673999999998</v>
      </c>
      <c r="M30" s="811">
        <v>418.91751099999999</v>
      </c>
      <c r="N30" s="811">
        <v>412.93829299999999</v>
      </c>
      <c r="O30" s="811">
        <v>407.90628099999998</v>
      </c>
      <c r="P30" s="811">
        <v>404.34793100000002</v>
      </c>
      <c r="Q30" s="811">
        <v>400.55014</v>
      </c>
      <c r="R30" s="811">
        <v>395.01113900000001</v>
      </c>
      <c r="S30" s="811">
        <v>388.85150099999998</v>
      </c>
      <c r="T30" s="811">
        <v>388.34344499999997</v>
      </c>
      <c r="U30" s="811">
        <v>387.48410000000001</v>
      </c>
      <c r="V30" s="811">
        <v>386.65145899999999</v>
      </c>
      <c r="W30" s="811">
        <v>384.68118299999998</v>
      </c>
      <c r="X30" s="811">
        <v>380.96185300000002</v>
      </c>
      <c r="Y30" s="811">
        <v>376.30017099999998</v>
      </c>
      <c r="Z30" s="811">
        <v>374.426605</v>
      </c>
      <c r="AA30" s="811">
        <v>371.81478900000002</v>
      </c>
      <c r="AB30" s="811">
        <v>369.12802099999999</v>
      </c>
      <c r="AC30" s="811">
        <v>366.14169299999998</v>
      </c>
      <c r="AD30" s="811">
        <v>362.25616500000001</v>
      </c>
      <c r="AE30" s="811">
        <v>357.93826300000001</v>
      </c>
      <c r="AF30" s="810">
        <v>-4.5669999999999999E-3</v>
      </c>
      <c r="AG30" s="802"/>
    </row>
    <row r="31" spans="1:33" ht="15" customHeight="1">
      <c r="B31" s="802"/>
      <c r="C31" s="802"/>
      <c r="D31" s="802"/>
      <c r="E31" s="802"/>
      <c r="F31" s="802"/>
      <c r="G31" s="802"/>
      <c r="H31" s="802"/>
      <c r="I31" s="802"/>
      <c r="J31" s="802"/>
      <c r="K31" s="802"/>
      <c r="L31" s="802"/>
      <c r="M31" s="802"/>
      <c r="N31" s="802"/>
      <c r="O31" s="802"/>
      <c r="P31" s="802"/>
      <c r="Q31" s="802"/>
      <c r="R31" s="802"/>
      <c r="S31" s="802"/>
      <c r="T31" s="802"/>
      <c r="U31" s="802"/>
      <c r="V31" s="802"/>
      <c r="W31" s="802"/>
      <c r="X31" s="802"/>
      <c r="Y31" s="802"/>
      <c r="Z31" s="802"/>
      <c r="AA31" s="802"/>
      <c r="AB31" s="802"/>
      <c r="AC31" s="802"/>
      <c r="AD31" s="802"/>
      <c r="AE31" s="802"/>
      <c r="AF31" s="802"/>
      <c r="AG31" s="802"/>
    </row>
    <row r="32" spans="1:33" ht="15" customHeight="1">
      <c r="B32" s="808" t="s">
        <v>4388</v>
      </c>
      <c r="C32" s="802"/>
      <c r="D32" s="802"/>
      <c r="E32" s="802"/>
      <c r="F32" s="80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2"/>
      <c r="AF32" s="802"/>
      <c r="AG32" s="802"/>
    </row>
    <row r="33" spans="1:33" ht="15" customHeight="1">
      <c r="B33" s="808" t="s">
        <v>4389</v>
      </c>
      <c r="C33" s="802"/>
      <c r="D33" s="802"/>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row>
    <row r="34" spans="1:33" ht="12" customHeight="1">
      <c r="A34" s="800" t="s">
        <v>4589</v>
      </c>
      <c r="B34" s="812" t="s">
        <v>4250</v>
      </c>
      <c r="C34" s="815">
        <v>0.15107699999999999</v>
      </c>
      <c r="D34" s="815">
        <v>0.18085799999999999</v>
      </c>
      <c r="E34" s="815">
        <v>0.17816699999999999</v>
      </c>
      <c r="F34" s="815">
        <v>0.17974200000000001</v>
      </c>
      <c r="G34" s="815">
        <v>0.174538</v>
      </c>
      <c r="H34" s="815">
        <v>0.16839399999999999</v>
      </c>
      <c r="I34" s="815">
        <v>0.16075500000000001</v>
      </c>
      <c r="J34" s="815">
        <v>0.156694</v>
      </c>
      <c r="K34" s="815">
        <v>0.15229100000000001</v>
      </c>
      <c r="L34" s="815">
        <v>0.147759</v>
      </c>
      <c r="M34" s="815">
        <v>0.143812</v>
      </c>
      <c r="N34" s="815">
        <v>0.139956</v>
      </c>
      <c r="O34" s="815">
        <v>0.136069</v>
      </c>
      <c r="P34" s="815">
        <v>0.13214999999999999</v>
      </c>
      <c r="Q34" s="815">
        <v>0.12890199999999999</v>
      </c>
      <c r="R34" s="815">
        <v>0.12540399999999999</v>
      </c>
      <c r="S34" s="815">
        <v>0.12181500000000001</v>
      </c>
      <c r="T34" s="815">
        <v>0.119496</v>
      </c>
      <c r="U34" s="815">
        <v>0.117628</v>
      </c>
      <c r="V34" s="815">
        <v>0.11532299999999999</v>
      </c>
      <c r="W34" s="815">
        <v>0.113427</v>
      </c>
      <c r="X34" s="815">
        <v>0.110761</v>
      </c>
      <c r="Y34" s="815">
        <v>0.108028</v>
      </c>
      <c r="Z34" s="815">
        <v>0.10552499999999999</v>
      </c>
      <c r="AA34" s="815">
        <v>0.102439</v>
      </c>
      <c r="AB34" s="815">
        <v>0.10029200000000001</v>
      </c>
      <c r="AC34" s="815">
        <v>9.7748000000000002E-2</v>
      </c>
      <c r="AD34" s="815">
        <v>9.5254000000000005E-2</v>
      </c>
      <c r="AE34" s="815">
        <v>9.2724000000000001E-2</v>
      </c>
      <c r="AF34" s="814">
        <v>-1.7283E-2</v>
      </c>
      <c r="AG34" s="802"/>
    </row>
    <row r="35" spans="1:33" ht="12" customHeight="1">
      <c r="A35" s="800" t="s">
        <v>4590</v>
      </c>
      <c r="B35" s="812" t="s">
        <v>4248</v>
      </c>
      <c r="C35" s="815">
        <v>0</v>
      </c>
      <c r="D35" s="815">
        <v>0</v>
      </c>
      <c r="E35" s="815">
        <v>0</v>
      </c>
      <c r="F35" s="815">
        <v>0</v>
      </c>
      <c r="G35" s="815">
        <v>0</v>
      </c>
      <c r="H35" s="815">
        <v>0</v>
      </c>
      <c r="I35" s="815">
        <v>0</v>
      </c>
      <c r="J35" s="815">
        <v>0</v>
      </c>
      <c r="K35" s="815">
        <v>0</v>
      </c>
      <c r="L35" s="815">
        <v>0</v>
      </c>
      <c r="M35" s="815">
        <v>0</v>
      </c>
      <c r="N35" s="815">
        <v>0</v>
      </c>
      <c r="O35" s="815">
        <v>0</v>
      </c>
      <c r="P35" s="815">
        <v>0</v>
      </c>
      <c r="Q35" s="815">
        <v>0</v>
      </c>
      <c r="R35" s="815">
        <v>0</v>
      </c>
      <c r="S35" s="815">
        <v>0</v>
      </c>
      <c r="T35" s="815">
        <v>0</v>
      </c>
      <c r="U35" s="815">
        <v>0</v>
      </c>
      <c r="V35" s="815">
        <v>0</v>
      </c>
      <c r="W35" s="815">
        <v>0</v>
      </c>
      <c r="X35" s="815">
        <v>0</v>
      </c>
      <c r="Y35" s="815">
        <v>0</v>
      </c>
      <c r="Z35" s="815">
        <v>0</v>
      </c>
      <c r="AA35" s="815">
        <v>0</v>
      </c>
      <c r="AB35" s="815">
        <v>0</v>
      </c>
      <c r="AC35" s="815">
        <v>0</v>
      </c>
      <c r="AD35" s="815">
        <v>0</v>
      </c>
      <c r="AE35" s="815">
        <v>0</v>
      </c>
      <c r="AF35" s="814" t="s">
        <v>2805</v>
      </c>
      <c r="AG35" s="802"/>
    </row>
    <row r="36" spans="1:33" ht="12" customHeight="1">
      <c r="A36" s="800" t="s">
        <v>4591</v>
      </c>
      <c r="B36" s="812" t="s">
        <v>4377</v>
      </c>
      <c r="C36" s="815">
        <v>0</v>
      </c>
      <c r="D36" s="815">
        <v>0</v>
      </c>
      <c r="E36" s="815">
        <v>0</v>
      </c>
      <c r="F36" s="815">
        <v>0</v>
      </c>
      <c r="G36" s="815">
        <v>0</v>
      </c>
      <c r="H36" s="815">
        <v>0</v>
      </c>
      <c r="I36" s="815">
        <v>0</v>
      </c>
      <c r="J36" s="815">
        <v>0</v>
      </c>
      <c r="K36" s="815">
        <v>0</v>
      </c>
      <c r="L36" s="815">
        <v>0</v>
      </c>
      <c r="M36" s="815">
        <v>0</v>
      </c>
      <c r="N36" s="815">
        <v>0</v>
      </c>
      <c r="O36" s="815">
        <v>0</v>
      </c>
      <c r="P36" s="815">
        <v>0</v>
      </c>
      <c r="Q36" s="815">
        <v>0</v>
      </c>
      <c r="R36" s="815">
        <v>0</v>
      </c>
      <c r="S36" s="815">
        <v>0</v>
      </c>
      <c r="T36" s="815">
        <v>0</v>
      </c>
      <c r="U36" s="815">
        <v>0</v>
      </c>
      <c r="V36" s="815">
        <v>0</v>
      </c>
      <c r="W36" s="815">
        <v>0</v>
      </c>
      <c r="X36" s="815">
        <v>0</v>
      </c>
      <c r="Y36" s="815">
        <v>0</v>
      </c>
      <c r="Z36" s="815">
        <v>0</v>
      </c>
      <c r="AA36" s="815">
        <v>0</v>
      </c>
      <c r="AB36" s="815">
        <v>0</v>
      </c>
      <c r="AC36" s="815">
        <v>0</v>
      </c>
      <c r="AD36" s="815">
        <v>0</v>
      </c>
      <c r="AE36" s="815">
        <v>0</v>
      </c>
      <c r="AF36" s="814" t="s">
        <v>2805</v>
      </c>
      <c r="AG36" s="802"/>
    </row>
    <row r="37" spans="1:33" ht="12" customHeight="1">
      <c r="A37" s="800" t="s">
        <v>4592</v>
      </c>
      <c r="B37" s="812" t="s">
        <v>4254</v>
      </c>
      <c r="C37" s="815">
        <v>4.5999299999999996</v>
      </c>
      <c r="D37" s="815">
        <v>2.740237</v>
      </c>
      <c r="E37" s="815">
        <v>3.0114049999999999</v>
      </c>
      <c r="F37" s="815">
        <v>3.271115</v>
      </c>
      <c r="G37" s="815">
        <v>3.5515880000000002</v>
      </c>
      <c r="H37" s="815">
        <v>3.8410009999999999</v>
      </c>
      <c r="I37" s="815">
        <v>4.0792599999999997</v>
      </c>
      <c r="J37" s="815">
        <v>4.140917</v>
      </c>
      <c r="K37" s="815">
        <v>4.1778170000000001</v>
      </c>
      <c r="L37" s="815">
        <v>4.1973019999999996</v>
      </c>
      <c r="M37" s="815">
        <v>4.1926969999999999</v>
      </c>
      <c r="N37" s="815">
        <v>4.1695289999999998</v>
      </c>
      <c r="O37" s="815">
        <v>4.1117270000000001</v>
      </c>
      <c r="P37" s="815">
        <v>4.0078269999999998</v>
      </c>
      <c r="Q37" s="815">
        <v>3.8948659999999999</v>
      </c>
      <c r="R37" s="815">
        <v>3.775029</v>
      </c>
      <c r="S37" s="815">
        <v>3.6544500000000002</v>
      </c>
      <c r="T37" s="815">
        <v>3.5901730000000001</v>
      </c>
      <c r="U37" s="815">
        <v>3.5400360000000002</v>
      </c>
      <c r="V37" s="815">
        <v>3.4805510000000002</v>
      </c>
      <c r="W37" s="815">
        <v>3.4065300000000001</v>
      </c>
      <c r="X37" s="815">
        <v>3.3264689999999999</v>
      </c>
      <c r="Y37" s="815">
        <v>3.2136960000000001</v>
      </c>
      <c r="Z37" s="815">
        <v>3.1316929999999998</v>
      </c>
      <c r="AA37" s="815">
        <v>3.05084</v>
      </c>
      <c r="AB37" s="815">
        <v>2.969703</v>
      </c>
      <c r="AC37" s="815">
        <v>2.89621</v>
      </c>
      <c r="AD37" s="815">
        <v>2.8169339999999998</v>
      </c>
      <c r="AE37" s="815">
        <v>2.7349480000000002</v>
      </c>
      <c r="AF37" s="814">
        <v>-1.8398000000000001E-2</v>
      </c>
      <c r="AG37" s="802"/>
    </row>
    <row r="38" spans="1:33" ht="12" customHeight="1">
      <c r="A38" s="800" t="s">
        <v>4593</v>
      </c>
      <c r="B38" s="812" t="s">
        <v>4379</v>
      </c>
      <c r="C38" s="815">
        <v>0</v>
      </c>
      <c r="D38" s="815">
        <v>0</v>
      </c>
      <c r="E38" s="815">
        <v>0</v>
      </c>
      <c r="F38" s="815">
        <v>0</v>
      </c>
      <c r="G38" s="815">
        <v>0</v>
      </c>
      <c r="H38" s="815">
        <v>0</v>
      </c>
      <c r="I38" s="815">
        <v>0</v>
      </c>
      <c r="J38" s="815">
        <v>0</v>
      </c>
      <c r="K38" s="815">
        <v>0</v>
      </c>
      <c r="L38" s="815">
        <v>0</v>
      </c>
      <c r="M38" s="815">
        <v>0</v>
      </c>
      <c r="N38" s="815">
        <v>0</v>
      </c>
      <c r="O38" s="815">
        <v>0</v>
      </c>
      <c r="P38" s="815">
        <v>0</v>
      </c>
      <c r="Q38" s="815">
        <v>0</v>
      </c>
      <c r="R38" s="815">
        <v>0</v>
      </c>
      <c r="S38" s="815">
        <v>0</v>
      </c>
      <c r="T38" s="815">
        <v>0</v>
      </c>
      <c r="U38" s="815">
        <v>0</v>
      </c>
      <c r="V38" s="815">
        <v>0</v>
      </c>
      <c r="W38" s="815">
        <v>0</v>
      </c>
      <c r="X38" s="815">
        <v>0</v>
      </c>
      <c r="Y38" s="815">
        <v>0</v>
      </c>
      <c r="Z38" s="815">
        <v>0</v>
      </c>
      <c r="AA38" s="815">
        <v>0</v>
      </c>
      <c r="AB38" s="815">
        <v>0</v>
      </c>
      <c r="AC38" s="815">
        <v>0</v>
      </c>
      <c r="AD38" s="815">
        <v>0</v>
      </c>
      <c r="AE38" s="815">
        <v>0</v>
      </c>
      <c r="AF38" s="814" t="s">
        <v>2805</v>
      </c>
      <c r="AG38" s="802"/>
    </row>
    <row r="39" spans="1:33" ht="12" customHeight="1">
      <c r="A39" s="800" t="s">
        <v>4594</v>
      </c>
      <c r="B39" s="812" t="s">
        <v>4260</v>
      </c>
      <c r="C39" s="815">
        <v>4.7510070000000004</v>
      </c>
      <c r="D39" s="815">
        <v>2.9210950000000002</v>
      </c>
      <c r="E39" s="815">
        <v>3.1895730000000002</v>
      </c>
      <c r="F39" s="815">
        <v>3.4508570000000001</v>
      </c>
      <c r="G39" s="815">
        <v>3.7261250000000001</v>
      </c>
      <c r="H39" s="815">
        <v>4.0093949999999996</v>
      </c>
      <c r="I39" s="815">
        <v>4.2400149999999996</v>
      </c>
      <c r="J39" s="815">
        <v>4.2976109999999998</v>
      </c>
      <c r="K39" s="815">
        <v>4.3301090000000002</v>
      </c>
      <c r="L39" s="815">
        <v>4.3450620000000004</v>
      </c>
      <c r="M39" s="815">
        <v>4.3365080000000003</v>
      </c>
      <c r="N39" s="815">
        <v>4.3094849999999996</v>
      </c>
      <c r="O39" s="815">
        <v>4.2477960000000001</v>
      </c>
      <c r="P39" s="815">
        <v>4.139977</v>
      </c>
      <c r="Q39" s="815">
        <v>4.0237679999999996</v>
      </c>
      <c r="R39" s="815">
        <v>3.900433</v>
      </c>
      <c r="S39" s="815">
        <v>3.776265</v>
      </c>
      <c r="T39" s="815">
        <v>3.7096689999999999</v>
      </c>
      <c r="U39" s="815">
        <v>3.657664</v>
      </c>
      <c r="V39" s="815">
        <v>3.5958749999999999</v>
      </c>
      <c r="W39" s="815">
        <v>3.5199569999999998</v>
      </c>
      <c r="X39" s="815">
        <v>3.4372289999999999</v>
      </c>
      <c r="Y39" s="815">
        <v>3.3217240000000001</v>
      </c>
      <c r="Z39" s="815">
        <v>3.2372179999999999</v>
      </c>
      <c r="AA39" s="815">
        <v>3.1532789999999999</v>
      </c>
      <c r="AB39" s="815">
        <v>3.069995</v>
      </c>
      <c r="AC39" s="815">
        <v>2.9939589999999998</v>
      </c>
      <c r="AD39" s="815">
        <v>2.912188</v>
      </c>
      <c r="AE39" s="815">
        <v>2.8276720000000002</v>
      </c>
      <c r="AF39" s="814">
        <v>-1.8362E-2</v>
      </c>
      <c r="AG39" s="802"/>
    </row>
    <row r="40" spans="1:33" ht="12" customHeight="1">
      <c r="A40" s="800" t="s">
        <v>4595</v>
      </c>
      <c r="B40" s="812" t="s">
        <v>4262</v>
      </c>
      <c r="C40" s="815">
        <v>6.2709669999999997</v>
      </c>
      <c r="D40" s="815">
        <v>6.7176099999999996</v>
      </c>
      <c r="E40" s="815">
        <v>7.4018050000000004</v>
      </c>
      <c r="F40" s="815">
        <v>8.0062709999999999</v>
      </c>
      <c r="G40" s="815">
        <v>8.6515559999999994</v>
      </c>
      <c r="H40" s="815">
        <v>9.2995350000000006</v>
      </c>
      <c r="I40" s="815">
        <v>9.8198129999999999</v>
      </c>
      <c r="J40" s="815">
        <v>9.9544080000000008</v>
      </c>
      <c r="K40" s="815">
        <v>10.056535999999999</v>
      </c>
      <c r="L40" s="815">
        <v>10.128727</v>
      </c>
      <c r="M40" s="815">
        <v>10.184497</v>
      </c>
      <c r="N40" s="815">
        <v>10.224608</v>
      </c>
      <c r="O40" s="815">
        <v>10.273149</v>
      </c>
      <c r="P40" s="815">
        <v>10.29006</v>
      </c>
      <c r="Q40" s="815">
        <v>10.362511</v>
      </c>
      <c r="R40" s="815">
        <v>10.389513000000001</v>
      </c>
      <c r="S40" s="815">
        <v>10.350265</v>
      </c>
      <c r="T40" s="815">
        <v>10.460025</v>
      </c>
      <c r="U40" s="815">
        <v>10.450657</v>
      </c>
      <c r="V40" s="815">
        <v>10.435898999999999</v>
      </c>
      <c r="W40" s="815">
        <v>10.434901999999999</v>
      </c>
      <c r="X40" s="815">
        <v>10.436579999999999</v>
      </c>
      <c r="Y40" s="815">
        <v>10.328901999999999</v>
      </c>
      <c r="Z40" s="815">
        <v>10.264239</v>
      </c>
      <c r="AA40" s="815">
        <v>10.207267999999999</v>
      </c>
      <c r="AB40" s="815">
        <v>10.140606999999999</v>
      </c>
      <c r="AC40" s="815">
        <v>10.085618999999999</v>
      </c>
      <c r="AD40" s="815">
        <v>10.006995</v>
      </c>
      <c r="AE40" s="815">
        <v>9.8785740000000004</v>
      </c>
      <c r="AF40" s="814">
        <v>1.6362000000000002E-2</v>
      </c>
      <c r="AG40" s="802"/>
    </row>
    <row r="41" spans="1:33" ht="12" customHeight="1">
      <c r="A41" s="800" t="s">
        <v>4596</v>
      </c>
      <c r="B41" s="812" t="s">
        <v>4383</v>
      </c>
      <c r="C41" s="815">
        <v>8.0530410000000003</v>
      </c>
      <c r="D41" s="815">
        <v>7.4848549999999996</v>
      </c>
      <c r="E41" s="815">
        <v>7.396172</v>
      </c>
      <c r="F41" s="815">
        <v>7.2342279999999999</v>
      </c>
      <c r="G41" s="815">
        <v>7.0908110000000004</v>
      </c>
      <c r="H41" s="815">
        <v>6.9550879999999999</v>
      </c>
      <c r="I41" s="815">
        <v>6.7692079999999999</v>
      </c>
      <c r="J41" s="815">
        <v>6.409643</v>
      </c>
      <c r="K41" s="815">
        <v>6.0566779999999998</v>
      </c>
      <c r="L41" s="815">
        <v>5.7237489999999998</v>
      </c>
      <c r="M41" s="815">
        <v>5.4074200000000001</v>
      </c>
      <c r="N41" s="815">
        <v>5.1127190000000002</v>
      </c>
      <c r="O41" s="815">
        <v>4.8200919999999998</v>
      </c>
      <c r="P41" s="815">
        <v>4.5136880000000001</v>
      </c>
      <c r="Q41" s="815">
        <v>4.2233660000000004</v>
      </c>
      <c r="R41" s="815">
        <v>3.9452910000000001</v>
      </c>
      <c r="S41" s="815">
        <v>3.68397</v>
      </c>
      <c r="T41" s="815">
        <v>3.5304679999999999</v>
      </c>
      <c r="U41" s="815">
        <v>3.3947240000000001</v>
      </c>
      <c r="V41" s="815">
        <v>3.2605490000000001</v>
      </c>
      <c r="W41" s="815">
        <v>3.1263529999999999</v>
      </c>
      <c r="X41" s="815">
        <v>2.9980560000000001</v>
      </c>
      <c r="Y41" s="815">
        <v>2.8524159999999998</v>
      </c>
      <c r="Z41" s="815">
        <v>2.731754</v>
      </c>
      <c r="AA41" s="815">
        <v>2.6188720000000001</v>
      </c>
      <c r="AB41" s="815">
        <v>2.5103219999999999</v>
      </c>
      <c r="AC41" s="815">
        <v>2.4117380000000002</v>
      </c>
      <c r="AD41" s="815">
        <v>2.315712</v>
      </c>
      <c r="AE41" s="815">
        <v>2.2199589999999998</v>
      </c>
      <c r="AF41" s="814">
        <v>-4.4977000000000003E-2</v>
      </c>
      <c r="AG41" s="802"/>
    </row>
    <row r="42" spans="1:33" ht="12" customHeight="1">
      <c r="A42" s="800" t="s">
        <v>4597</v>
      </c>
      <c r="B42" s="812" t="s">
        <v>4583</v>
      </c>
      <c r="C42" s="815">
        <v>0</v>
      </c>
      <c r="D42" s="815">
        <v>0</v>
      </c>
      <c r="E42" s="815">
        <v>0</v>
      </c>
      <c r="F42" s="815">
        <v>0</v>
      </c>
      <c r="G42" s="815">
        <v>0</v>
      </c>
      <c r="H42" s="815">
        <v>0</v>
      </c>
      <c r="I42" s="815">
        <v>0</v>
      </c>
      <c r="J42" s="815">
        <v>0</v>
      </c>
      <c r="K42" s="815">
        <v>0</v>
      </c>
      <c r="L42" s="815">
        <v>0</v>
      </c>
      <c r="M42" s="815">
        <v>0</v>
      </c>
      <c r="N42" s="815">
        <v>0</v>
      </c>
      <c r="O42" s="815">
        <v>0</v>
      </c>
      <c r="P42" s="815">
        <v>0</v>
      </c>
      <c r="Q42" s="815">
        <v>0</v>
      </c>
      <c r="R42" s="815">
        <v>0</v>
      </c>
      <c r="S42" s="815">
        <v>0</v>
      </c>
      <c r="T42" s="815">
        <v>0</v>
      </c>
      <c r="U42" s="815">
        <v>0</v>
      </c>
      <c r="V42" s="815">
        <v>0</v>
      </c>
      <c r="W42" s="815">
        <v>0</v>
      </c>
      <c r="X42" s="815">
        <v>0</v>
      </c>
      <c r="Y42" s="815">
        <v>0</v>
      </c>
      <c r="Z42" s="815">
        <v>0</v>
      </c>
      <c r="AA42" s="815">
        <v>0</v>
      </c>
      <c r="AB42" s="815">
        <v>0</v>
      </c>
      <c r="AC42" s="815">
        <v>0</v>
      </c>
      <c r="AD42" s="815">
        <v>0</v>
      </c>
      <c r="AE42" s="815">
        <v>0</v>
      </c>
      <c r="AF42" s="814" t="s">
        <v>2805</v>
      </c>
      <c r="AG42" s="802"/>
    </row>
    <row r="43" spans="1:33" ht="12" customHeight="1">
      <c r="A43" s="800" t="s">
        <v>4598</v>
      </c>
      <c r="B43" s="812" t="s">
        <v>4585</v>
      </c>
      <c r="C43" s="815">
        <v>8.0530410000000003</v>
      </c>
      <c r="D43" s="815">
        <v>7.4848549999999996</v>
      </c>
      <c r="E43" s="815">
        <v>7.396172</v>
      </c>
      <c r="F43" s="815">
        <v>7.2342279999999999</v>
      </c>
      <c r="G43" s="815">
        <v>7.0908110000000004</v>
      </c>
      <c r="H43" s="815">
        <v>6.9550879999999999</v>
      </c>
      <c r="I43" s="815">
        <v>6.7692079999999999</v>
      </c>
      <c r="J43" s="815">
        <v>6.409643</v>
      </c>
      <c r="K43" s="815">
        <v>6.0566779999999998</v>
      </c>
      <c r="L43" s="815">
        <v>5.7237489999999998</v>
      </c>
      <c r="M43" s="815">
        <v>5.4074200000000001</v>
      </c>
      <c r="N43" s="815">
        <v>5.1127190000000002</v>
      </c>
      <c r="O43" s="815">
        <v>4.8200919999999998</v>
      </c>
      <c r="P43" s="815">
        <v>4.5136880000000001</v>
      </c>
      <c r="Q43" s="815">
        <v>4.2233660000000004</v>
      </c>
      <c r="R43" s="815">
        <v>3.9452910000000001</v>
      </c>
      <c r="S43" s="815">
        <v>3.68397</v>
      </c>
      <c r="T43" s="815">
        <v>3.5304679999999999</v>
      </c>
      <c r="U43" s="815">
        <v>3.3947240000000001</v>
      </c>
      <c r="V43" s="815">
        <v>3.2605490000000001</v>
      </c>
      <c r="W43" s="815">
        <v>3.1263529999999999</v>
      </c>
      <c r="X43" s="815">
        <v>2.9980560000000001</v>
      </c>
      <c r="Y43" s="815">
        <v>2.8524159999999998</v>
      </c>
      <c r="Z43" s="815">
        <v>2.731754</v>
      </c>
      <c r="AA43" s="815">
        <v>2.6188720000000001</v>
      </c>
      <c r="AB43" s="815">
        <v>2.5103219999999999</v>
      </c>
      <c r="AC43" s="815">
        <v>2.4117380000000002</v>
      </c>
      <c r="AD43" s="815">
        <v>2.315712</v>
      </c>
      <c r="AE43" s="815">
        <v>2.2199589999999998</v>
      </c>
      <c r="AF43" s="814">
        <v>-4.4977000000000003E-2</v>
      </c>
      <c r="AG43" s="802"/>
    </row>
    <row r="44" spans="1:33" ht="12" customHeight="1">
      <c r="A44" s="800" t="s">
        <v>4599</v>
      </c>
      <c r="B44" s="812" t="s">
        <v>4385</v>
      </c>
      <c r="C44" s="815">
        <v>2.9689179999999999</v>
      </c>
      <c r="D44" s="815">
        <v>2.9779</v>
      </c>
      <c r="E44" s="815">
        <v>2.9711650000000001</v>
      </c>
      <c r="F44" s="815">
        <v>2.9571160000000001</v>
      </c>
      <c r="G44" s="815">
        <v>2.9556140000000002</v>
      </c>
      <c r="H44" s="815">
        <v>2.9542619999999999</v>
      </c>
      <c r="I44" s="815">
        <v>2.9153530000000001</v>
      </c>
      <c r="J44" s="815">
        <v>2.759233</v>
      </c>
      <c r="K44" s="815">
        <v>2.6134240000000002</v>
      </c>
      <c r="L44" s="815">
        <v>2.479765</v>
      </c>
      <c r="M44" s="815">
        <v>2.3508589999999998</v>
      </c>
      <c r="N44" s="815">
        <v>2.2349290000000002</v>
      </c>
      <c r="O44" s="815">
        <v>2.1222219999999998</v>
      </c>
      <c r="P44" s="815">
        <v>2.0022859999999998</v>
      </c>
      <c r="Q44" s="815">
        <v>1.8854500000000001</v>
      </c>
      <c r="R44" s="815">
        <v>1.7699510000000001</v>
      </c>
      <c r="S44" s="815">
        <v>1.660428</v>
      </c>
      <c r="T44" s="815">
        <v>1.6146240000000001</v>
      </c>
      <c r="U44" s="815">
        <v>1.5761590000000001</v>
      </c>
      <c r="V44" s="815">
        <v>1.5352870000000001</v>
      </c>
      <c r="W44" s="815">
        <v>1.489452</v>
      </c>
      <c r="X44" s="815">
        <v>1.4422109999999999</v>
      </c>
      <c r="Y44" s="815">
        <v>1.3823350000000001</v>
      </c>
      <c r="Z44" s="815">
        <v>1.3393139999999999</v>
      </c>
      <c r="AA44" s="815">
        <v>1.2976559999999999</v>
      </c>
      <c r="AB44" s="815">
        <v>1.2569239999999999</v>
      </c>
      <c r="AC44" s="815">
        <v>1.2206649999999999</v>
      </c>
      <c r="AD44" s="815">
        <v>1.1830160000000001</v>
      </c>
      <c r="AE44" s="815">
        <v>1.1451210000000001</v>
      </c>
      <c r="AF44" s="814">
        <v>-3.3452000000000003E-2</v>
      </c>
      <c r="AG44" s="802"/>
    </row>
    <row r="45" spans="1:33" ht="12" customHeight="1">
      <c r="A45" s="800" t="s">
        <v>4600</v>
      </c>
      <c r="B45" s="812" t="s">
        <v>4274</v>
      </c>
      <c r="C45" s="815">
        <v>3.2571919999999999</v>
      </c>
      <c r="D45" s="815">
        <v>3.3231839999999999</v>
      </c>
      <c r="E45" s="815">
        <v>3.2861570000000002</v>
      </c>
      <c r="F45" s="815">
        <v>3.2429450000000002</v>
      </c>
      <c r="G45" s="815">
        <v>3.2265130000000002</v>
      </c>
      <c r="H45" s="815">
        <v>3.19862</v>
      </c>
      <c r="I45" s="815">
        <v>3.1448860000000001</v>
      </c>
      <c r="J45" s="815">
        <v>3.0472929999999998</v>
      </c>
      <c r="K45" s="815">
        <v>2.9710649999999998</v>
      </c>
      <c r="L45" s="815">
        <v>2.9070900000000002</v>
      </c>
      <c r="M45" s="815">
        <v>2.8413189999999999</v>
      </c>
      <c r="N45" s="815">
        <v>2.7868539999999999</v>
      </c>
      <c r="O45" s="815">
        <v>2.741431</v>
      </c>
      <c r="P45" s="815">
        <v>2.69171</v>
      </c>
      <c r="Q45" s="815">
        <v>2.6420089999999998</v>
      </c>
      <c r="R45" s="815">
        <v>2.58649</v>
      </c>
      <c r="S45" s="815">
        <v>2.534351</v>
      </c>
      <c r="T45" s="815">
        <v>2.4850340000000002</v>
      </c>
      <c r="U45" s="815">
        <v>2.4398200000000001</v>
      </c>
      <c r="V45" s="815">
        <v>2.3929049999999998</v>
      </c>
      <c r="W45" s="815">
        <v>2.3480349999999999</v>
      </c>
      <c r="X45" s="815">
        <v>2.3050380000000001</v>
      </c>
      <c r="Y45" s="815">
        <v>2.2549790000000001</v>
      </c>
      <c r="Z45" s="815">
        <v>2.2114470000000002</v>
      </c>
      <c r="AA45" s="815">
        <v>2.1685539999999999</v>
      </c>
      <c r="AB45" s="815">
        <v>2.1302629999999998</v>
      </c>
      <c r="AC45" s="815">
        <v>2.097064</v>
      </c>
      <c r="AD45" s="815">
        <v>2.0632139999999999</v>
      </c>
      <c r="AE45" s="815">
        <v>2.0288110000000001</v>
      </c>
      <c r="AF45" s="814">
        <v>-1.6766E-2</v>
      </c>
      <c r="AG45" s="802"/>
    </row>
    <row r="46" spans="1:33" ht="12" customHeight="1">
      <c r="A46" s="800" t="s">
        <v>4601</v>
      </c>
      <c r="B46" s="808" t="s">
        <v>4276</v>
      </c>
      <c r="C46" s="816">
        <v>25.301124999999999</v>
      </c>
      <c r="D46" s="816">
        <v>23.424643</v>
      </c>
      <c r="E46" s="816">
        <v>24.244872999999998</v>
      </c>
      <c r="F46" s="816">
        <v>24.891418000000002</v>
      </c>
      <c r="G46" s="816">
        <v>25.65062</v>
      </c>
      <c r="H46" s="816">
        <v>26.416899000000001</v>
      </c>
      <c r="I46" s="816">
        <v>26.889277</v>
      </c>
      <c r="J46" s="816">
        <v>26.468187</v>
      </c>
      <c r="K46" s="816">
        <v>26.027812999999998</v>
      </c>
      <c r="L46" s="816">
        <v>25.584392999999999</v>
      </c>
      <c r="M46" s="816">
        <v>25.120604</v>
      </c>
      <c r="N46" s="816">
        <v>24.668596000000001</v>
      </c>
      <c r="O46" s="816">
        <v>24.204688999999998</v>
      </c>
      <c r="P46" s="816">
        <v>23.637722</v>
      </c>
      <c r="Q46" s="816">
        <v>23.137101999999999</v>
      </c>
      <c r="R46" s="816">
        <v>22.591678999999999</v>
      </c>
      <c r="S46" s="816">
        <v>22.005281</v>
      </c>
      <c r="T46" s="816">
        <v>21.79982</v>
      </c>
      <c r="U46" s="816">
        <v>21.519024000000002</v>
      </c>
      <c r="V46" s="816">
        <v>21.220511999999999</v>
      </c>
      <c r="W46" s="816">
        <v>20.918697000000002</v>
      </c>
      <c r="X46" s="816">
        <v>20.619114</v>
      </c>
      <c r="Y46" s="816">
        <v>20.140357999999999</v>
      </c>
      <c r="Z46" s="816">
        <v>19.783971999999999</v>
      </c>
      <c r="AA46" s="816">
        <v>19.445627000000002</v>
      </c>
      <c r="AB46" s="816">
        <v>19.10811</v>
      </c>
      <c r="AC46" s="816">
        <v>18.809045999999999</v>
      </c>
      <c r="AD46" s="816">
        <v>18.481127000000001</v>
      </c>
      <c r="AE46" s="816">
        <v>18.100135999999999</v>
      </c>
      <c r="AF46" s="810">
        <v>-1.1891000000000001E-2</v>
      </c>
      <c r="AG46" s="802"/>
    </row>
    <row r="47" spans="1:33" ht="12" customHeight="1">
      <c r="B47" s="802"/>
      <c r="C47" s="802"/>
      <c r="D47" s="802"/>
      <c r="E47" s="802"/>
      <c r="F47" s="80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c r="AF47" s="802"/>
      <c r="AG47" s="802"/>
    </row>
    <row r="48" spans="1:33" ht="12" customHeight="1">
      <c r="B48" s="808" t="s">
        <v>4602</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row>
    <row r="49" spans="1:33" ht="12" customHeight="1">
      <c r="A49" s="800" t="s">
        <v>4603</v>
      </c>
      <c r="B49" s="808" t="s">
        <v>4604</v>
      </c>
      <c r="C49" s="809">
        <v>31.273962000000001</v>
      </c>
      <c r="D49" s="809">
        <v>26.406459999999999</v>
      </c>
      <c r="E49" s="809">
        <v>26.775784000000002</v>
      </c>
      <c r="F49" s="809">
        <v>27.385943999999999</v>
      </c>
      <c r="G49" s="809">
        <v>27.928796999999999</v>
      </c>
      <c r="H49" s="809">
        <v>28.391689</v>
      </c>
      <c r="I49" s="809">
        <v>28.633458999999998</v>
      </c>
      <c r="J49" s="809">
        <v>28.190646999999998</v>
      </c>
      <c r="K49" s="809">
        <v>27.816240000000001</v>
      </c>
      <c r="L49" s="809">
        <v>27.547308000000001</v>
      </c>
      <c r="M49" s="809">
        <v>27.178433999999999</v>
      </c>
      <c r="N49" s="809">
        <v>26.750516999999999</v>
      </c>
      <c r="O49" s="809">
        <v>26.302999</v>
      </c>
      <c r="P49" s="809">
        <v>25.966851999999999</v>
      </c>
      <c r="Q49" s="809">
        <v>25.609082999999998</v>
      </c>
      <c r="R49" s="809">
        <v>25.139437000000001</v>
      </c>
      <c r="S49" s="809">
        <v>24.636219000000001</v>
      </c>
      <c r="T49" s="809">
        <v>24.499009999999998</v>
      </c>
      <c r="U49" s="809">
        <v>24.377499</v>
      </c>
      <c r="V49" s="809">
        <v>24.272955</v>
      </c>
      <c r="W49" s="809">
        <v>24.084845999999999</v>
      </c>
      <c r="X49" s="809">
        <v>23.766152999999999</v>
      </c>
      <c r="Y49" s="809">
        <v>23.368887000000001</v>
      </c>
      <c r="Z49" s="809">
        <v>23.160187000000001</v>
      </c>
      <c r="AA49" s="809">
        <v>22.895406999999999</v>
      </c>
      <c r="AB49" s="809">
        <v>22.648603000000001</v>
      </c>
      <c r="AC49" s="809">
        <v>22.378906000000001</v>
      </c>
      <c r="AD49" s="809">
        <v>22.066917</v>
      </c>
      <c r="AE49" s="809">
        <v>21.722746000000001</v>
      </c>
      <c r="AF49" s="810">
        <v>-1.2931E-2</v>
      </c>
      <c r="AG49" s="802"/>
    </row>
    <row r="50" spans="1:33" ht="15" customHeight="1">
      <c r="A50" s="800" t="s">
        <v>4605</v>
      </c>
      <c r="B50" s="808" t="s">
        <v>4606</v>
      </c>
      <c r="C50" s="809">
        <v>57.491928000000001</v>
      </c>
      <c r="D50" s="809">
        <v>54.324615000000001</v>
      </c>
      <c r="E50" s="809">
        <v>53.228988999999999</v>
      </c>
      <c r="F50" s="809">
        <v>53.965744000000001</v>
      </c>
      <c r="G50" s="809">
        <v>54.824553999999999</v>
      </c>
      <c r="H50" s="809">
        <v>55.318935000000003</v>
      </c>
      <c r="I50" s="809">
        <v>55.721148999999997</v>
      </c>
      <c r="J50" s="809">
        <v>56.298698000000002</v>
      </c>
      <c r="K50" s="809">
        <v>57.015514000000003</v>
      </c>
      <c r="L50" s="809">
        <v>57.839511999999999</v>
      </c>
      <c r="M50" s="809">
        <v>58.385646999999999</v>
      </c>
      <c r="N50" s="809">
        <v>58.756644999999999</v>
      </c>
      <c r="O50" s="809">
        <v>59.390354000000002</v>
      </c>
      <c r="P50" s="809">
        <v>60.476706999999998</v>
      </c>
      <c r="Q50" s="809">
        <v>61.364212000000002</v>
      </c>
      <c r="R50" s="809">
        <v>62.011741999999998</v>
      </c>
      <c r="S50" s="809">
        <v>62.721111000000001</v>
      </c>
      <c r="T50" s="809">
        <v>63.292853999999998</v>
      </c>
      <c r="U50" s="809">
        <v>64.089966000000004</v>
      </c>
      <c r="V50" s="809">
        <v>64.967094000000003</v>
      </c>
      <c r="W50" s="809">
        <v>65.720191999999997</v>
      </c>
      <c r="X50" s="809">
        <v>66.221748000000005</v>
      </c>
      <c r="Y50" s="809">
        <v>67.146675000000002</v>
      </c>
      <c r="Z50" s="809">
        <v>68.136414000000002</v>
      </c>
      <c r="AA50" s="809">
        <v>68.904235999999997</v>
      </c>
      <c r="AB50" s="809">
        <v>69.716469000000004</v>
      </c>
      <c r="AC50" s="809">
        <v>70.409081</v>
      </c>
      <c r="AD50" s="809">
        <v>71.012726000000001</v>
      </c>
      <c r="AE50" s="809">
        <v>71.750275000000002</v>
      </c>
      <c r="AF50" s="810">
        <v>7.9439999999999997E-3</v>
      </c>
      <c r="AG50" s="802"/>
    </row>
    <row r="51" spans="1:33" ht="15" customHeight="1">
      <c r="B51" s="802"/>
      <c r="C51" s="802"/>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row>
    <row r="52" spans="1:33" ht="15" customHeight="1">
      <c r="B52" s="808" t="s">
        <v>4514</v>
      </c>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row>
    <row r="53" spans="1:33" ht="15" customHeight="1">
      <c r="B53" s="808" t="s">
        <v>4321</v>
      </c>
      <c r="C53" s="802"/>
      <c r="D53" s="802"/>
      <c r="E53" s="802"/>
      <c r="F53" s="80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2"/>
    </row>
    <row r="54" spans="1:33" ht="15" customHeight="1">
      <c r="A54" s="800" t="s">
        <v>4607</v>
      </c>
      <c r="B54" s="812" t="s">
        <v>4323</v>
      </c>
      <c r="C54" s="815">
        <v>6.7599999999999993E-2</v>
      </c>
      <c r="D54" s="815">
        <v>6.7599999999999993E-2</v>
      </c>
      <c r="E54" s="815">
        <v>6.7599999999999993E-2</v>
      </c>
      <c r="F54" s="815">
        <v>6.7599999999999993E-2</v>
      </c>
      <c r="G54" s="815">
        <v>6.7599999999999993E-2</v>
      </c>
      <c r="H54" s="815">
        <v>6.7599999999999993E-2</v>
      </c>
      <c r="I54" s="815">
        <v>6.7599999999999993E-2</v>
      </c>
      <c r="J54" s="815">
        <v>6.7599999999999993E-2</v>
      </c>
      <c r="K54" s="815">
        <v>6.7599999999999993E-2</v>
      </c>
      <c r="L54" s="815">
        <v>6.7599999999999993E-2</v>
      </c>
      <c r="M54" s="815">
        <v>6.7599999999999993E-2</v>
      </c>
      <c r="N54" s="815">
        <v>6.7599999999999993E-2</v>
      </c>
      <c r="O54" s="815">
        <v>6.7599999999999993E-2</v>
      </c>
      <c r="P54" s="815">
        <v>6.7599999999999993E-2</v>
      </c>
      <c r="Q54" s="815">
        <v>6.7599999999999993E-2</v>
      </c>
      <c r="R54" s="815">
        <v>6.7599999999999993E-2</v>
      </c>
      <c r="S54" s="815">
        <v>6.7599999999999993E-2</v>
      </c>
      <c r="T54" s="815">
        <v>6.7599999999999993E-2</v>
      </c>
      <c r="U54" s="815">
        <v>6.7599999999999993E-2</v>
      </c>
      <c r="V54" s="815">
        <v>6.7599999999999993E-2</v>
      </c>
      <c r="W54" s="815">
        <v>6.7599999999999993E-2</v>
      </c>
      <c r="X54" s="815">
        <v>6.7599999999999993E-2</v>
      </c>
      <c r="Y54" s="815">
        <v>6.7599999999999993E-2</v>
      </c>
      <c r="Z54" s="815">
        <v>6.7599999999999993E-2</v>
      </c>
      <c r="AA54" s="815">
        <v>6.7599999999999993E-2</v>
      </c>
      <c r="AB54" s="815">
        <v>6.7599999999999993E-2</v>
      </c>
      <c r="AC54" s="815">
        <v>6.7599999999999993E-2</v>
      </c>
      <c r="AD54" s="815">
        <v>6.7599999999999993E-2</v>
      </c>
      <c r="AE54" s="815">
        <v>6.7599999999999993E-2</v>
      </c>
      <c r="AF54" s="814">
        <v>0</v>
      </c>
      <c r="AG54" s="802"/>
    </row>
    <row r="55" spans="1:33" ht="15" customHeight="1">
      <c r="A55" s="800" t="s">
        <v>4608</v>
      </c>
      <c r="B55" s="812" t="s">
        <v>4297</v>
      </c>
      <c r="C55" s="815">
        <v>8.3059999999999991E-3</v>
      </c>
      <c r="D55" s="815">
        <v>8.3059999999999991E-3</v>
      </c>
      <c r="E55" s="815">
        <v>8.3059999999999991E-3</v>
      </c>
      <c r="F55" s="815">
        <v>8.3059999999999991E-3</v>
      </c>
      <c r="G55" s="815">
        <v>8.3059999999999991E-3</v>
      </c>
      <c r="H55" s="815">
        <v>8.3059999999999991E-3</v>
      </c>
      <c r="I55" s="815">
        <v>8.3059999999999991E-3</v>
      </c>
      <c r="J55" s="815">
        <v>8.3059999999999991E-3</v>
      </c>
      <c r="K55" s="815">
        <v>8.3059999999999991E-3</v>
      </c>
      <c r="L55" s="815">
        <v>8.3059999999999991E-3</v>
      </c>
      <c r="M55" s="815">
        <v>8.3059999999999991E-3</v>
      </c>
      <c r="N55" s="815">
        <v>8.3059999999999991E-3</v>
      </c>
      <c r="O55" s="815">
        <v>8.3059999999999991E-3</v>
      </c>
      <c r="P55" s="815">
        <v>8.3059999999999991E-3</v>
      </c>
      <c r="Q55" s="815">
        <v>8.3059999999999991E-3</v>
      </c>
      <c r="R55" s="815">
        <v>8.3070000000000001E-3</v>
      </c>
      <c r="S55" s="815">
        <v>8.3070000000000001E-3</v>
      </c>
      <c r="T55" s="815">
        <v>8.3070000000000001E-3</v>
      </c>
      <c r="U55" s="815">
        <v>8.3079999999999994E-3</v>
      </c>
      <c r="V55" s="815">
        <v>8.3079999999999994E-3</v>
      </c>
      <c r="W55" s="815">
        <v>8.3090000000000004E-3</v>
      </c>
      <c r="X55" s="815">
        <v>8.3090000000000004E-3</v>
      </c>
      <c r="Y55" s="815">
        <v>8.3099999999999997E-3</v>
      </c>
      <c r="Z55" s="815">
        <v>8.3110000000000007E-3</v>
      </c>
      <c r="AA55" s="815">
        <v>8.3110000000000007E-3</v>
      </c>
      <c r="AB55" s="815">
        <v>8.3119999999999999E-3</v>
      </c>
      <c r="AC55" s="815">
        <v>8.3129999999999992E-3</v>
      </c>
      <c r="AD55" s="815">
        <v>8.3129999999999992E-3</v>
      </c>
      <c r="AE55" s="815">
        <v>8.3140000000000002E-3</v>
      </c>
      <c r="AF55" s="814">
        <v>3.4E-5</v>
      </c>
      <c r="AG55" s="802"/>
    </row>
    <row r="56" spans="1:33" ht="15" customHeight="1">
      <c r="A56" s="800" t="s">
        <v>4609</v>
      </c>
      <c r="B56" s="812" t="s">
        <v>4326</v>
      </c>
      <c r="C56" s="815">
        <v>0</v>
      </c>
      <c r="D56" s="815">
        <v>0</v>
      </c>
      <c r="E56" s="815">
        <v>0</v>
      </c>
      <c r="F56" s="815">
        <v>0</v>
      </c>
      <c r="G56" s="815">
        <v>0</v>
      </c>
      <c r="H56" s="815">
        <v>0</v>
      </c>
      <c r="I56" s="815">
        <v>0</v>
      </c>
      <c r="J56" s="815">
        <v>0</v>
      </c>
      <c r="K56" s="815">
        <v>0</v>
      </c>
      <c r="L56" s="815">
        <v>0</v>
      </c>
      <c r="M56" s="815">
        <v>0</v>
      </c>
      <c r="N56" s="815">
        <v>0</v>
      </c>
      <c r="O56" s="815">
        <v>0</v>
      </c>
      <c r="P56" s="815">
        <v>0</v>
      </c>
      <c r="Q56" s="815">
        <v>0</v>
      </c>
      <c r="R56" s="815">
        <v>0</v>
      </c>
      <c r="S56" s="815">
        <v>0</v>
      </c>
      <c r="T56" s="815">
        <v>0</v>
      </c>
      <c r="U56" s="815">
        <v>0</v>
      </c>
      <c r="V56" s="815">
        <v>0</v>
      </c>
      <c r="W56" s="815">
        <v>0</v>
      </c>
      <c r="X56" s="815">
        <v>0</v>
      </c>
      <c r="Y56" s="815">
        <v>0</v>
      </c>
      <c r="Z56" s="815">
        <v>0</v>
      </c>
      <c r="AA56" s="815">
        <v>0</v>
      </c>
      <c r="AB56" s="815">
        <v>0</v>
      </c>
      <c r="AC56" s="815">
        <v>0</v>
      </c>
      <c r="AD56" s="815">
        <v>0</v>
      </c>
      <c r="AE56" s="815">
        <v>0</v>
      </c>
      <c r="AF56" s="814" t="s">
        <v>2805</v>
      </c>
      <c r="AG56" s="802"/>
    </row>
    <row r="57" spans="1:33" ht="15" customHeight="1">
      <c r="A57" s="800" t="s">
        <v>4610</v>
      </c>
      <c r="B57" s="812" t="s">
        <v>4328</v>
      </c>
      <c r="C57" s="815">
        <v>4.4999999999999997E-3</v>
      </c>
      <c r="D57" s="815">
        <v>4.4999999999999997E-3</v>
      </c>
      <c r="E57" s="815">
        <v>4.4999999999999997E-3</v>
      </c>
      <c r="F57" s="815">
        <v>2.46E-2</v>
      </c>
      <c r="G57" s="815">
        <v>2.46E-2</v>
      </c>
      <c r="H57" s="815">
        <v>2.46E-2</v>
      </c>
      <c r="I57" s="815">
        <v>2.46E-2</v>
      </c>
      <c r="J57" s="815">
        <v>2.46E-2</v>
      </c>
      <c r="K57" s="815">
        <v>2.46E-2</v>
      </c>
      <c r="L57" s="815">
        <v>2.46E-2</v>
      </c>
      <c r="M57" s="815">
        <v>2.46E-2</v>
      </c>
      <c r="N57" s="815">
        <v>2.46E-2</v>
      </c>
      <c r="O57" s="815">
        <v>2.46E-2</v>
      </c>
      <c r="P57" s="815">
        <v>2.46E-2</v>
      </c>
      <c r="Q57" s="815">
        <v>2.46E-2</v>
      </c>
      <c r="R57" s="815">
        <v>2.46E-2</v>
      </c>
      <c r="S57" s="815">
        <v>2.46E-2</v>
      </c>
      <c r="T57" s="815">
        <v>2.46E-2</v>
      </c>
      <c r="U57" s="815">
        <v>2.46E-2</v>
      </c>
      <c r="V57" s="815">
        <v>2.46E-2</v>
      </c>
      <c r="W57" s="815">
        <v>2.46E-2</v>
      </c>
      <c r="X57" s="815">
        <v>2.46E-2</v>
      </c>
      <c r="Y57" s="815">
        <v>2.46E-2</v>
      </c>
      <c r="Z57" s="815">
        <v>2.46E-2</v>
      </c>
      <c r="AA57" s="815">
        <v>2.46E-2</v>
      </c>
      <c r="AB57" s="815">
        <v>2.46E-2</v>
      </c>
      <c r="AC57" s="815">
        <v>2.46E-2</v>
      </c>
      <c r="AD57" s="815">
        <v>2.46E-2</v>
      </c>
      <c r="AE57" s="815">
        <v>2.46E-2</v>
      </c>
      <c r="AF57" s="814">
        <v>6.2545000000000003E-2</v>
      </c>
      <c r="AG57" s="802"/>
    </row>
    <row r="58" spans="1:33" ht="15" customHeight="1">
      <c r="A58" s="800" t="s">
        <v>4611</v>
      </c>
      <c r="B58" s="808" t="s">
        <v>4303</v>
      </c>
      <c r="C58" s="816">
        <v>8.0406000000000005E-2</v>
      </c>
      <c r="D58" s="816">
        <v>8.0406000000000005E-2</v>
      </c>
      <c r="E58" s="816">
        <v>8.0406000000000005E-2</v>
      </c>
      <c r="F58" s="816">
        <v>0.100506</v>
      </c>
      <c r="G58" s="816">
        <v>0.100506</v>
      </c>
      <c r="H58" s="816">
        <v>0.100506</v>
      </c>
      <c r="I58" s="816">
        <v>0.100506</v>
      </c>
      <c r="J58" s="816">
        <v>0.100506</v>
      </c>
      <c r="K58" s="816">
        <v>0.100506</v>
      </c>
      <c r="L58" s="816">
        <v>0.100506</v>
      </c>
      <c r="M58" s="816">
        <v>0.100506</v>
      </c>
      <c r="N58" s="816">
        <v>0.100506</v>
      </c>
      <c r="O58" s="816">
        <v>0.100506</v>
      </c>
      <c r="P58" s="816">
        <v>0.100506</v>
      </c>
      <c r="Q58" s="816">
        <v>0.100506</v>
      </c>
      <c r="R58" s="816">
        <v>0.100507</v>
      </c>
      <c r="S58" s="816">
        <v>0.100507</v>
      </c>
      <c r="T58" s="816">
        <v>0.100507</v>
      </c>
      <c r="U58" s="816">
        <v>0.100508</v>
      </c>
      <c r="V58" s="816">
        <v>0.100508</v>
      </c>
      <c r="W58" s="816">
        <v>0.100509</v>
      </c>
      <c r="X58" s="816">
        <v>0.100509</v>
      </c>
      <c r="Y58" s="816">
        <v>0.10051</v>
      </c>
      <c r="Z58" s="816">
        <v>0.100511</v>
      </c>
      <c r="AA58" s="816">
        <v>0.100511</v>
      </c>
      <c r="AB58" s="816">
        <v>0.100512</v>
      </c>
      <c r="AC58" s="816">
        <v>0.10051300000000001</v>
      </c>
      <c r="AD58" s="816">
        <v>0.10051300000000001</v>
      </c>
      <c r="AE58" s="816">
        <v>0.10051400000000001</v>
      </c>
      <c r="AF58" s="810">
        <v>8.0029999999999997E-3</v>
      </c>
      <c r="AG58" s="802"/>
    </row>
    <row r="59" spans="1:33" ht="15" customHeight="1">
      <c r="B59" s="808" t="s">
        <v>4330</v>
      </c>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row>
    <row r="60" spans="1:33" ht="15" customHeight="1">
      <c r="A60" s="800" t="s">
        <v>4612</v>
      </c>
      <c r="B60" s="812" t="s">
        <v>4323</v>
      </c>
      <c r="C60" s="815">
        <v>0.14909800000000001</v>
      </c>
      <c r="D60" s="815">
        <v>0.14909800000000001</v>
      </c>
      <c r="E60" s="815">
        <v>0.14909800000000001</v>
      </c>
      <c r="F60" s="815">
        <v>0.14909800000000001</v>
      </c>
      <c r="G60" s="815">
        <v>0.14909800000000001</v>
      </c>
      <c r="H60" s="815">
        <v>0.14909800000000001</v>
      </c>
      <c r="I60" s="815">
        <v>0.14909800000000001</v>
      </c>
      <c r="J60" s="815">
        <v>0.14909800000000001</v>
      </c>
      <c r="K60" s="815">
        <v>0.14909800000000001</v>
      </c>
      <c r="L60" s="815">
        <v>0.14909800000000001</v>
      </c>
      <c r="M60" s="815">
        <v>0.14909800000000001</v>
      </c>
      <c r="N60" s="815">
        <v>0.14909800000000001</v>
      </c>
      <c r="O60" s="815">
        <v>0.14909800000000001</v>
      </c>
      <c r="P60" s="815">
        <v>0.14909800000000001</v>
      </c>
      <c r="Q60" s="815">
        <v>0.14909800000000001</v>
      </c>
      <c r="R60" s="815">
        <v>0.14909800000000001</v>
      </c>
      <c r="S60" s="815">
        <v>0.14909800000000001</v>
      </c>
      <c r="T60" s="815">
        <v>0.14909800000000001</v>
      </c>
      <c r="U60" s="815">
        <v>0.14909800000000001</v>
      </c>
      <c r="V60" s="815">
        <v>0.14909800000000001</v>
      </c>
      <c r="W60" s="815">
        <v>0.14909800000000001</v>
      </c>
      <c r="X60" s="815">
        <v>0.14909800000000001</v>
      </c>
      <c r="Y60" s="815">
        <v>0.14909800000000001</v>
      </c>
      <c r="Z60" s="815">
        <v>0.14909800000000001</v>
      </c>
      <c r="AA60" s="815">
        <v>0.14909800000000001</v>
      </c>
      <c r="AB60" s="815">
        <v>0.14909800000000001</v>
      </c>
      <c r="AC60" s="815">
        <v>0.14909800000000001</v>
      </c>
      <c r="AD60" s="815">
        <v>0.14909800000000001</v>
      </c>
      <c r="AE60" s="815">
        <v>0.14909800000000001</v>
      </c>
      <c r="AF60" s="814">
        <v>0</v>
      </c>
      <c r="AG60" s="802"/>
    </row>
    <row r="61" spans="1:33" ht="15" customHeight="1">
      <c r="A61" s="800" t="s">
        <v>4613</v>
      </c>
      <c r="B61" s="812" t="s">
        <v>4297</v>
      </c>
      <c r="C61" s="815">
        <v>6.1506999999999999E-2</v>
      </c>
      <c r="D61" s="815">
        <v>6.1506999999999999E-2</v>
      </c>
      <c r="E61" s="815">
        <v>6.1506999999999999E-2</v>
      </c>
      <c r="F61" s="815">
        <v>6.1506999999999999E-2</v>
      </c>
      <c r="G61" s="815">
        <v>6.1506999999999999E-2</v>
      </c>
      <c r="H61" s="815">
        <v>6.1506999999999999E-2</v>
      </c>
      <c r="I61" s="815">
        <v>6.1506999999999999E-2</v>
      </c>
      <c r="J61" s="815">
        <v>6.1506999999999999E-2</v>
      </c>
      <c r="K61" s="815">
        <v>6.1506999999999999E-2</v>
      </c>
      <c r="L61" s="815">
        <v>6.1506999999999999E-2</v>
      </c>
      <c r="M61" s="815">
        <v>6.1506999999999999E-2</v>
      </c>
      <c r="N61" s="815">
        <v>6.1506999999999999E-2</v>
      </c>
      <c r="O61" s="815">
        <v>6.1506999999999999E-2</v>
      </c>
      <c r="P61" s="815">
        <v>6.1506999999999999E-2</v>
      </c>
      <c r="Q61" s="815">
        <v>6.1506999999999999E-2</v>
      </c>
      <c r="R61" s="815">
        <v>6.1508E-2</v>
      </c>
      <c r="S61" s="815">
        <v>6.1508E-2</v>
      </c>
      <c r="T61" s="815">
        <v>6.1510000000000002E-2</v>
      </c>
      <c r="U61" s="815">
        <v>6.1511000000000003E-2</v>
      </c>
      <c r="V61" s="815">
        <v>6.1512999999999998E-2</v>
      </c>
      <c r="W61" s="815">
        <v>6.1515E-2</v>
      </c>
      <c r="X61" s="815">
        <v>6.1517000000000002E-2</v>
      </c>
      <c r="Y61" s="815">
        <v>6.1518999999999997E-2</v>
      </c>
      <c r="Z61" s="815">
        <v>6.1520999999999999E-2</v>
      </c>
      <c r="AA61" s="815">
        <v>6.1524000000000002E-2</v>
      </c>
      <c r="AB61" s="815">
        <v>6.1525999999999997E-2</v>
      </c>
      <c r="AC61" s="815">
        <v>6.1529E-2</v>
      </c>
      <c r="AD61" s="815">
        <v>6.1531000000000002E-2</v>
      </c>
      <c r="AE61" s="815">
        <v>6.1533999999999998E-2</v>
      </c>
      <c r="AF61" s="814">
        <v>1.5999999999999999E-5</v>
      </c>
      <c r="AG61" s="802"/>
    </row>
    <row r="62" spans="1:33" ht="15" customHeight="1">
      <c r="A62" s="800" t="s">
        <v>4614</v>
      </c>
      <c r="B62" s="812" t="s">
        <v>4326</v>
      </c>
      <c r="C62" s="815">
        <v>0</v>
      </c>
      <c r="D62" s="815">
        <v>0</v>
      </c>
      <c r="E62" s="815">
        <v>0</v>
      </c>
      <c r="F62" s="815">
        <v>0</v>
      </c>
      <c r="G62" s="815">
        <v>0</v>
      </c>
      <c r="H62" s="815">
        <v>0</v>
      </c>
      <c r="I62" s="815">
        <v>0</v>
      </c>
      <c r="J62" s="815">
        <v>0</v>
      </c>
      <c r="K62" s="815">
        <v>0</v>
      </c>
      <c r="L62" s="815">
        <v>0</v>
      </c>
      <c r="M62" s="815">
        <v>0</v>
      </c>
      <c r="N62" s="815">
        <v>0</v>
      </c>
      <c r="O62" s="815">
        <v>0</v>
      </c>
      <c r="P62" s="815">
        <v>0</v>
      </c>
      <c r="Q62" s="815">
        <v>0</v>
      </c>
      <c r="R62" s="815">
        <v>0</v>
      </c>
      <c r="S62" s="815">
        <v>0</v>
      </c>
      <c r="T62" s="815">
        <v>0</v>
      </c>
      <c r="U62" s="815">
        <v>0</v>
      </c>
      <c r="V62" s="815">
        <v>0</v>
      </c>
      <c r="W62" s="815">
        <v>0</v>
      </c>
      <c r="X62" s="815">
        <v>0</v>
      </c>
      <c r="Y62" s="815">
        <v>0</v>
      </c>
      <c r="Z62" s="815">
        <v>0</v>
      </c>
      <c r="AA62" s="815">
        <v>0</v>
      </c>
      <c r="AB62" s="815">
        <v>0</v>
      </c>
      <c r="AC62" s="815">
        <v>0</v>
      </c>
      <c r="AD62" s="815">
        <v>0</v>
      </c>
      <c r="AE62" s="815">
        <v>0</v>
      </c>
      <c r="AF62" s="814" t="s">
        <v>2805</v>
      </c>
      <c r="AG62" s="802"/>
    </row>
    <row r="63" spans="1:33" ht="15" customHeight="1">
      <c r="A63" s="800" t="s">
        <v>4615</v>
      </c>
      <c r="B63" s="812" t="s">
        <v>4328</v>
      </c>
      <c r="C63" s="815">
        <v>1.1298000000000001E-2</v>
      </c>
      <c r="D63" s="815">
        <v>1.1298000000000001E-2</v>
      </c>
      <c r="E63" s="815">
        <v>1.1298000000000001E-2</v>
      </c>
      <c r="F63" s="815">
        <v>0.12750800000000001</v>
      </c>
      <c r="G63" s="815">
        <v>0.12750800000000001</v>
      </c>
      <c r="H63" s="815">
        <v>0.12750800000000001</v>
      </c>
      <c r="I63" s="815">
        <v>0.12750800000000001</v>
      </c>
      <c r="J63" s="815">
        <v>0.12750800000000001</v>
      </c>
      <c r="K63" s="815">
        <v>0.12750800000000001</v>
      </c>
      <c r="L63" s="815">
        <v>0.12750800000000001</v>
      </c>
      <c r="M63" s="815">
        <v>0.12750800000000001</v>
      </c>
      <c r="N63" s="815">
        <v>0.12750800000000001</v>
      </c>
      <c r="O63" s="815">
        <v>0.12750800000000001</v>
      </c>
      <c r="P63" s="815">
        <v>0.12750800000000001</v>
      </c>
      <c r="Q63" s="815">
        <v>0.12750800000000001</v>
      </c>
      <c r="R63" s="815">
        <v>0.12750800000000001</v>
      </c>
      <c r="S63" s="815">
        <v>0.12750800000000001</v>
      </c>
      <c r="T63" s="815">
        <v>0.12750800000000001</v>
      </c>
      <c r="U63" s="815">
        <v>0.12750800000000001</v>
      </c>
      <c r="V63" s="815">
        <v>0.12750800000000001</v>
      </c>
      <c r="W63" s="815">
        <v>0.12750800000000001</v>
      </c>
      <c r="X63" s="815">
        <v>0.12750800000000001</v>
      </c>
      <c r="Y63" s="815">
        <v>0.12750800000000001</v>
      </c>
      <c r="Z63" s="815">
        <v>0.12750800000000001</v>
      </c>
      <c r="AA63" s="815">
        <v>0.12750800000000001</v>
      </c>
      <c r="AB63" s="815">
        <v>0.12750800000000001</v>
      </c>
      <c r="AC63" s="815">
        <v>0.12750800000000001</v>
      </c>
      <c r="AD63" s="815">
        <v>0.12750800000000001</v>
      </c>
      <c r="AE63" s="815">
        <v>0.12750800000000001</v>
      </c>
      <c r="AF63" s="814">
        <v>9.0412000000000006E-2</v>
      </c>
      <c r="AG63" s="802"/>
    </row>
    <row r="64" spans="1:33" ht="15" customHeight="1">
      <c r="A64" s="800" t="s">
        <v>4616</v>
      </c>
      <c r="B64" s="808" t="s">
        <v>4303</v>
      </c>
      <c r="C64" s="816">
        <v>0.22190299999999999</v>
      </c>
      <c r="D64" s="816">
        <v>0.22190299999999999</v>
      </c>
      <c r="E64" s="816">
        <v>0.22190299999999999</v>
      </c>
      <c r="F64" s="816">
        <v>0.338113</v>
      </c>
      <c r="G64" s="816">
        <v>0.338113</v>
      </c>
      <c r="H64" s="816">
        <v>0.338113</v>
      </c>
      <c r="I64" s="816">
        <v>0.338113</v>
      </c>
      <c r="J64" s="816">
        <v>0.338113</v>
      </c>
      <c r="K64" s="816">
        <v>0.338113</v>
      </c>
      <c r="L64" s="816">
        <v>0.338113</v>
      </c>
      <c r="M64" s="816">
        <v>0.338113</v>
      </c>
      <c r="N64" s="816">
        <v>0.338113</v>
      </c>
      <c r="O64" s="816">
        <v>0.338113</v>
      </c>
      <c r="P64" s="816">
        <v>0.338113</v>
      </c>
      <c r="Q64" s="816">
        <v>0.338113</v>
      </c>
      <c r="R64" s="816">
        <v>0.33811400000000003</v>
      </c>
      <c r="S64" s="816">
        <v>0.338115</v>
      </c>
      <c r="T64" s="816">
        <v>0.33811600000000003</v>
      </c>
      <c r="U64" s="816">
        <v>0.33811799999999997</v>
      </c>
      <c r="V64" s="816">
        <v>0.33811999999999998</v>
      </c>
      <c r="W64" s="816">
        <v>0.33812199999999998</v>
      </c>
      <c r="X64" s="816">
        <v>0.33812300000000001</v>
      </c>
      <c r="Y64" s="816">
        <v>0.33812500000000001</v>
      </c>
      <c r="Z64" s="816">
        <v>0.33812700000000001</v>
      </c>
      <c r="AA64" s="816">
        <v>0.33812999999999999</v>
      </c>
      <c r="AB64" s="816">
        <v>0.33813199999999999</v>
      </c>
      <c r="AC64" s="816">
        <v>0.33813500000000002</v>
      </c>
      <c r="AD64" s="816">
        <v>0.33813700000000002</v>
      </c>
      <c r="AE64" s="816">
        <v>0.33814</v>
      </c>
      <c r="AF64" s="810">
        <v>1.5157E-2</v>
      </c>
      <c r="AG64" s="802"/>
    </row>
    <row r="65" spans="1:34" ht="15" customHeight="1">
      <c r="B65" s="808" t="s">
        <v>4336</v>
      </c>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1:34" ht="15" customHeight="1">
      <c r="A66" s="800" t="s">
        <v>4617</v>
      </c>
      <c r="B66" s="812" t="s">
        <v>4338</v>
      </c>
      <c r="C66" s="815">
        <v>3.2101999999999999E-2</v>
      </c>
      <c r="D66" s="815">
        <v>3.2101999999999999E-2</v>
      </c>
      <c r="E66" s="815">
        <v>3.2101999999999999E-2</v>
      </c>
      <c r="F66" s="815">
        <v>3.2101999999999999E-2</v>
      </c>
      <c r="G66" s="815">
        <v>3.2101999999999999E-2</v>
      </c>
      <c r="H66" s="815">
        <v>3.2101999999999999E-2</v>
      </c>
      <c r="I66" s="815">
        <v>3.2101999999999999E-2</v>
      </c>
      <c r="J66" s="815">
        <v>3.2101999999999999E-2</v>
      </c>
      <c r="K66" s="815">
        <v>3.2101999999999999E-2</v>
      </c>
      <c r="L66" s="815">
        <v>3.2101999999999999E-2</v>
      </c>
      <c r="M66" s="815">
        <v>3.2101999999999999E-2</v>
      </c>
      <c r="N66" s="815">
        <v>3.2101999999999999E-2</v>
      </c>
      <c r="O66" s="815">
        <v>3.2101999999999999E-2</v>
      </c>
      <c r="P66" s="815">
        <v>3.2101999999999999E-2</v>
      </c>
      <c r="Q66" s="815">
        <v>3.2101999999999999E-2</v>
      </c>
      <c r="R66" s="815">
        <v>3.2101999999999999E-2</v>
      </c>
      <c r="S66" s="815">
        <v>3.2101999999999999E-2</v>
      </c>
      <c r="T66" s="815">
        <v>3.2101999999999999E-2</v>
      </c>
      <c r="U66" s="815">
        <v>3.2101999999999999E-2</v>
      </c>
      <c r="V66" s="815">
        <v>3.2101999999999999E-2</v>
      </c>
      <c r="W66" s="815">
        <v>3.2101999999999999E-2</v>
      </c>
      <c r="X66" s="815">
        <v>3.2101999999999999E-2</v>
      </c>
      <c r="Y66" s="815">
        <v>3.2101999999999999E-2</v>
      </c>
      <c r="Z66" s="815">
        <v>3.2101999999999999E-2</v>
      </c>
      <c r="AA66" s="815">
        <v>3.2101999999999999E-2</v>
      </c>
      <c r="AB66" s="815">
        <v>3.2101999999999999E-2</v>
      </c>
      <c r="AC66" s="815">
        <v>3.2101999999999999E-2</v>
      </c>
      <c r="AD66" s="815">
        <v>3.2101999999999999E-2</v>
      </c>
      <c r="AE66" s="815">
        <v>3.2101999999999999E-2</v>
      </c>
      <c r="AF66" s="814">
        <v>0</v>
      </c>
      <c r="AG66" s="802"/>
    </row>
    <row r="67" spans="1:34" ht="12" customHeight="1" thickBot="1">
      <c r="A67" s="800" t="s">
        <v>4618</v>
      </c>
      <c r="B67" s="812" t="s">
        <v>4340</v>
      </c>
      <c r="C67" s="815">
        <v>0.189801</v>
      </c>
      <c r="D67" s="815">
        <v>0.189801</v>
      </c>
      <c r="E67" s="815">
        <v>0.189801</v>
      </c>
      <c r="F67" s="815">
        <v>0.30601099999999998</v>
      </c>
      <c r="G67" s="815">
        <v>0.30601099999999998</v>
      </c>
      <c r="H67" s="815">
        <v>0.30601099999999998</v>
      </c>
      <c r="I67" s="815">
        <v>0.30601099999999998</v>
      </c>
      <c r="J67" s="815">
        <v>0.30601099999999998</v>
      </c>
      <c r="K67" s="815">
        <v>0.30601099999999998</v>
      </c>
      <c r="L67" s="815">
        <v>0.30601099999999998</v>
      </c>
      <c r="M67" s="815">
        <v>0.30601099999999998</v>
      </c>
      <c r="N67" s="815">
        <v>0.30601099999999998</v>
      </c>
      <c r="O67" s="815">
        <v>0.30601099999999998</v>
      </c>
      <c r="P67" s="815">
        <v>0.30601099999999998</v>
      </c>
      <c r="Q67" s="815">
        <v>0.30601099999999998</v>
      </c>
      <c r="R67" s="815">
        <v>0.30601200000000001</v>
      </c>
      <c r="S67" s="815">
        <v>0.30601299999999998</v>
      </c>
      <c r="T67" s="815">
        <v>0.30601400000000001</v>
      </c>
      <c r="U67" s="815">
        <v>0.30601499999999998</v>
      </c>
      <c r="V67" s="815">
        <v>0.30601699999999998</v>
      </c>
      <c r="W67" s="815">
        <v>0.30601899999999999</v>
      </c>
      <c r="X67" s="815">
        <v>0.30602099999999999</v>
      </c>
      <c r="Y67" s="815">
        <v>0.30602299999999999</v>
      </c>
      <c r="Z67" s="815">
        <v>0.30602499999999999</v>
      </c>
      <c r="AA67" s="815">
        <v>0.30602800000000002</v>
      </c>
      <c r="AB67" s="815">
        <v>0.30603000000000002</v>
      </c>
      <c r="AC67" s="815">
        <v>0.30603200000000003</v>
      </c>
      <c r="AD67" s="815">
        <v>0.306035</v>
      </c>
      <c r="AE67" s="815">
        <v>0.30603799999999998</v>
      </c>
      <c r="AF67" s="814">
        <v>1.7208000000000001E-2</v>
      </c>
      <c r="AG67" s="802"/>
    </row>
    <row r="68" spans="1:34" ht="15" customHeight="1">
      <c r="B68" s="1258" t="s">
        <v>4417</v>
      </c>
      <c r="C68" s="1259"/>
      <c r="D68" s="1259"/>
      <c r="E68" s="1259"/>
      <c r="F68" s="1259"/>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817"/>
    </row>
    <row r="69" spans="1:34" ht="15" customHeight="1">
      <c r="B69" s="802" t="s">
        <v>4418</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1:34" ht="15" customHeight="1">
      <c r="B70" s="802" t="s">
        <v>4419</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1:34" ht="15" customHeight="1">
      <c r="B71" s="802" t="s">
        <v>4420</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1:34" ht="15" customHeight="1">
      <c r="B72" s="802" t="s">
        <v>4619</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1:34" ht="15" customHeight="1">
      <c r="B73" s="802" t="s">
        <v>4529</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1:34" ht="15" customHeight="1">
      <c r="B74" s="802" t="s">
        <v>4361</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1:34" ht="12" customHeight="1">
      <c r="B75" s="802" t="s">
        <v>4530</v>
      </c>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1:34" ht="15" customHeight="1">
      <c r="B76" s="802" t="s">
        <v>4363</v>
      </c>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1:34" ht="15" customHeight="1">
      <c r="B77" s="802" t="s">
        <v>4364</v>
      </c>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1:34" ht="15" customHeight="1">
      <c r="B78" s="802" t="s">
        <v>4365</v>
      </c>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4" ht="15" customHeight="1">
      <c r="B79" s="802" t="s">
        <v>4366</v>
      </c>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1:34" ht="15" customHeight="1">
      <c r="B80" s="802" t="s">
        <v>4620</v>
      </c>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2:33" ht="15" customHeight="1">
      <c r="B81" s="802" t="s">
        <v>4621</v>
      </c>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t="s">
        <v>4622</v>
      </c>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2" customHeight="1">
      <c r="B83" s="802"/>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row>
    <row r="85" spans="2:33" ht="15" customHeight="1">
      <c r="B85" s="802"/>
      <c r="C85" s="802"/>
      <c r="D85" s="802"/>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2"/>
      <c r="AE85" s="802"/>
      <c r="AF85" s="802"/>
      <c r="AG85" s="802"/>
    </row>
    <row r="86" spans="2:33" ht="15" customHeight="1">
      <c r="B86" s="802"/>
      <c r="C86" s="802"/>
      <c r="D86" s="802"/>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row>
    <row r="87" spans="2:33" ht="15" customHeight="1">
      <c r="B87" s="802"/>
      <c r="C87" s="802"/>
      <c r="D87" s="802"/>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2"/>
      <c r="AE87" s="802"/>
      <c r="AF87" s="802"/>
      <c r="AG87" s="802"/>
    </row>
    <row r="88" spans="2:33" ht="15" customHeight="1">
      <c r="B88" s="802"/>
      <c r="C88" s="802"/>
      <c r="D88" s="802"/>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2"/>
      <c r="AE88" s="802"/>
      <c r="AF88" s="802"/>
      <c r="AG88" s="802"/>
    </row>
    <row r="89" spans="2:33" ht="12" customHeight="1">
      <c r="B89" s="802"/>
      <c r="C89" s="802"/>
      <c r="D89" s="802"/>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row>
    <row r="90" spans="2:33" ht="15" customHeight="1">
      <c r="B90" s="802"/>
      <c r="C90" s="802"/>
      <c r="D90" s="802"/>
      <c r="E90" s="802"/>
      <c r="F90" s="802"/>
      <c r="G90" s="802"/>
      <c r="H90" s="802"/>
      <c r="I90" s="802"/>
      <c r="J90" s="802"/>
      <c r="K90" s="802"/>
      <c r="L90" s="802"/>
      <c r="M90" s="802"/>
      <c r="N90" s="802"/>
      <c r="O90" s="802"/>
      <c r="P90" s="802"/>
      <c r="Q90" s="802"/>
      <c r="R90" s="802"/>
      <c r="S90" s="802"/>
      <c r="T90" s="802"/>
      <c r="U90" s="802"/>
      <c r="V90" s="802"/>
      <c r="W90" s="802"/>
      <c r="X90" s="802"/>
      <c r="Y90" s="802"/>
      <c r="Z90" s="802"/>
      <c r="AA90" s="802"/>
      <c r="AB90" s="802"/>
      <c r="AC90" s="802"/>
      <c r="AD90" s="802"/>
      <c r="AE90" s="802"/>
      <c r="AF90" s="802"/>
      <c r="AG90" s="802"/>
    </row>
    <row r="91" spans="2:33" ht="15" customHeight="1">
      <c r="B91" s="802"/>
      <c r="C91" s="802"/>
      <c r="D91" s="802"/>
      <c r="E91" s="802"/>
      <c r="F91" s="802"/>
      <c r="G91" s="802"/>
      <c r="H91" s="802"/>
      <c r="I91" s="802"/>
      <c r="J91" s="802"/>
      <c r="K91" s="802"/>
      <c r="L91" s="802"/>
      <c r="M91" s="802"/>
      <c r="N91" s="802"/>
      <c r="O91" s="802"/>
      <c r="P91" s="802"/>
      <c r="Q91" s="802"/>
      <c r="R91" s="802"/>
      <c r="S91" s="802"/>
      <c r="T91" s="802"/>
      <c r="U91" s="802"/>
      <c r="V91" s="802"/>
      <c r="W91" s="802"/>
      <c r="X91" s="802"/>
      <c r="Y91" s="802"/>
      <c r="Z91" s="802"/>
      <c r="AA91" s="802"/>
      <c r="AB91" s="802"/>
      <c r="AC91" s="802"/>
      <c r="AD91" s="802"/>
      <c r="AE91" s="802"/>
      <c r="AF91" s="802"/>
      <c r="AG91" s="802"/>
    </row>
    <row r="92" spans="2:33" ht="15" customHeight="1">
      <c r="B92" s="802"/>
      <c r="C92" s="802"/>
      <c r="D92" s="802"/>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2"/>
      <c r="AE92" s="802"/>
      <c r="AF92" s="802"/>
      <c r="AG92" s="802"/>
    </row>
    <row r="93" spans="2:33" ht="15" customHeight="1">
      <c r="B93" s="802"/>
      <c r="C93" s="802"/>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row>
    <row r="94" spans="2:33" ht="12" customHeight="1">
      <c r="B94" s="802"/>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2:33" ht="15" customHeight="1">
      <c r="B95" s="802"/>
      <c r="C95" s="802"/>
      <c r="D95" s="802"/>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2"/>
      <c r="AE95" s="802"/>
      <c r="AF95" s="802"/>
      <c r="AG95" s="802"/>
    </row>
    <row r="96" spans="2:33" ht="15" customHeight="1">
      <c r="B96" s="802"/>
      <c r="C96" s="802"/>
      <c r="D96" s="802"/>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2"/>
      <c r="AE96" s="802"/>
      <c r="AF96" s="802"/>
      <c r="AG96" s="802"/>
    </row>
    <row r="97" spans="2:33" ht="15" customHeight="1">
      <c r="B97" s="802"/>
      <c r="C97" s="802"/>
      <c r="D97" s="802"/>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2"/>
      <c r="AE97" s="802"/>
      <c r="AF97" s="802"/>
      <c r="AG97" s="802"/>
    </row>
    <row r="98" spans="2:33" ht="12" customHeight="1">
      <c r="B98" s="802"/>
      <c r="C98" s="802"/>
      <c r="D98" s="802"/>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2"/>
      <c r="AE98" s="802"/>
      <c r="AF98" s="802"/>
      <c r="AG98" s="802"/>
    </row>
    <row r="99" spans="2:33" ht="15" customHeight="1">
      <c r="B99" s="802"/>
      <c r="C99" s="802"/>
      <c r="D99" s="802"/>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2"/>
      <c r="AE99" s="802"/>
      <c r="AF99" s="802"/>
      <c r="AG99" s="802"/>
    </row>
    <row r="100" spans="2:33" ht="15" customHeight="1">
      <c r="B100" s="802"/>
      <c r="C100" s="802"/>
      <c r="D100" s="802"/>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2"/>
      <c r="AE100" s="802"/>
      <c r="AF100" s="802"/>
      <c r="AG100" s="802"/>
    </row>
    <row r="101" spans="2:33" ht="15" customHeight="1">
      <c r="B101" s="802"/>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2:33" ht="15" customHeight="1">
      <c r="B102" s="802"/>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2:33" ht="15" customHeight="1">
      <c r="B103" s="802"/>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2:33" ht="15" customHeight="1">
      <c r="B104" s="802"/>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2:33" ht="15" customHeight="1">
      <c r="B105" s="802"/>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2:33" ht="12" customHeight="1">
      <c r="B106" s="802"/>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2:33" ht="15" customHeight="1">
      <c r="B107" s="802"/>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2:33" ht="15" customHeight="1">
      <c r="B108" s="802"/>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802"/>
      <c r="AG108" s="802"/>
    </row>
    <row r="109" spans="2:33" ht="15" customHeight="1">
      <c r="B109" s="802"/>
      <c r="C109" s="802"/>
      <c r="D109" s="802"/>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2"/>
      <c r="AE109" s="802"/>
      <c r="AF109" s="802" t="s">
        <v>1505</v>
      </c>
      <c r="AG109" s="802"/>
    </row>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68:AG68"/>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94665-5450-47DB-9A76-934959266E25}">
  <dimension ref="A1:AH2828"/>
  <sheetViews>
    <sheetView workbookViewId="0">
      <pane xSplit="2" ySplit="1" topLeftCell="C2" activePane="bottomRight" state="frozen"/>
      <selection pane="bottomRight" activeCell="T49" sqref="T49"/>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4623</v>
      </c>
      <c r="B10" s="801" t="s">
        <v>4624</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A15" s="800" t="s">
        <v>4625</v>
      </c>
      <c r="B15" s="808" t="s">
        <v>4242</v>
      </c>
      <c r="C15" s="809">
        <v>126.85520200000001</v>
      </c>
      <c r="D15" s="809">
        <v>124.78827699999999</v>
      </c>
      <c r="E15" s="809">
        <v>122.861504</v>
      </c>
      <c r="F15" s="809">
        <v>125.647324</v>
      </c>
      <c r="G15" s="809">
        <v>131.64794900000001</v>
      </c>
      <c r="H15" s="809">
        <v>134.760132</v>
      </c>
      <c r="I15" s="809">
        <v>135.50010700000001</v>
      </c>
      <c r="J15" s="809">
        <v>136.16549699999999</v>
      </c>
      <c r="K15" s="809">
        <v>135.42817700000001</v>
      </c>
      <c r="L15" s="809">
        <v>135.13987700000001</v>
      </c>
      <c r="M15" s="809">
        <v>136.50102200000001</v>
      </c>
      <c r="N15" s="809">
        <v>136.045624</v>
      </c>
      <c r="O15" s="809">
        <v>135.96459999999999</v>
      </c>
      <c r="P15" s="809">
        <v>136.36445599999999</v>
      </c>
      <c r="Q15" s="809">
        <v>136.71965</v>
      </c>
      <c r="R15" s="809">
        <v>138.30264299999999</v>
      </c>
      <c r="S15" s="809">
        <v>139.27752699999999</v>
      </c>
      <c r="T15" s="809">
        <v>139.56672699999999</v>
      </c>
      <c r="U15" s="809">
        <v>140.15815699999999</v>
      </c>
      <c r="V15" s="809">
        <v>141.206772</v>
      </c>
      <c r="W15" s="809">
        <v>142.31332399999999</v>
      </c>
      <c r="X15" s="809">
        <v>142.74842799999999</v>
      </c>
      <c r="Y15" s="809">
        <v>142.771469</v>
      </c>
      <c r="Z15" s="809">
        <v>142.45120199999999</v>
      </c>
      <c r="AA15" s="809">
        <v>142.66772499999999</v>
      </c>
      <c r="AB15" s="809">
        <v>143.319153</v>
      </c>
      <c r="AC15" s="809">
        <v>143.41282699999999</v>
      </c>
      <c r="AD15" s="809">
        <v>143.60940600000001</v>
      </c>
      <c r="AE15" s="809">
        <v>145.06587200000001</v>
      </c>
      <c r="AF15" s="810">
        <v>4.8019999999999998E-3</v>
      </c>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A18" s="800" t="s">
        <v>4626</v>
      </c>
      <c r="B18" s="812" t="s">
        <v>4250</v>
      </c>
      <c r="C18" s="813">
        <v>3.3660399999999999</v>
      </c>
      <c r="D18" s="813">
        <v>3.49722</v>
      </c>
      <c r="E18" s="813">
        <v>3.3951799999999999</v>
      </c>
      <c r="F18" s="813">
        <v>3.4773010000000002</v>
      </c>
      <c r="G18" s="813">
        <v>3.6658010000000001</v>
      </c>
      <c r="H18" s="813">
        <v>3.8474520000000001</v>
      </c>
      <c r="I18" s="813">
        <v>3.9294120000000001</v>
      </c>
      <c r="J18" s="813">
        <v>3.8159679999999998</v>
      </c>
      <c r="K18" s="813">
        <v>3.690658</v>
      </c>
      <c r="L18" s="813">
        <v>3.6020400000000001</v>
      </c>
      <c r="M18" s="813">
        <v>3.556597</v>
      </c>
      <c r="N18" s="813">
        <v>3.502764</v>
      </c>
      <c r="O18" s="813">
        <v>3.4797400000000001</v>
      </c>
      <c r="P18" s="813">
        <v>3.4508589999999999</v>
      </c>
      <c r="Q18" s="813">
        <v>3.4225189999999999</v>
      </c>
      <c r="R18" s="813">
        <v>3.3846180000000001</v>
      </c>
      <c r="S18" s="813">
        <v>3.3417840000000001</v>
      </c>
      <c r="T18" s="813">
        <v>3.2931119999999998</v>
      </c>
      <c r="U18" s="813">
        <v>3.251296</v>
      </c>
      <c r="V18" s="813">
        <v>3.2057099999999998</v>
      </c>
      <c r="W18" s="813">
        <v>3.1694770000000001</v>
      </c>
      <c r="X18" s="813">
        <v>3.1099420000000002</v>
      </c>
      <c r="Y18" s="813">
        <v>3.0528740000000001</v>
      </c>
      <c r="Z18" s="813">
        <v>2.9896120000000002</v>
      </c>
      <c r="AA18" s="813">
        <v>2.9280710000000001</v>
      </c>
      <c r="AB18" s="813">
        <v>2.8876010000000001</v>
      </c>
      <c r="AC18" s="813">
        <v>2.8388939999999998</v>
      </c>
      <c r="AD18" s="813">
        <v>2.7806280000000001</v>
      </c>
      <c r="AE18" s="813">
        <v>2.7379709999999999</v>
      </c>
      <c r="AF18" s="814">
        <v>-7.3489999999999996E-3</v>
      </c>
      <c r="AG18" s="802"/>
    </row>
    <row r="19" spans="1:33" ht="15" customHeight="1">
      <c r="A19" s="800" t="s">
        <v>4627</v>
      </c>
      <c r="B19" s="812" t="s">
        <v>4248</v>
      </c>
      <c r="C19" s="813">
        <v>0</v>
      </c>
      <c r="D19" s="813">
        <v>0</v>
      </c>
      <c r="E19" s="813">
        <v>0</v>
      </c>
      <c r="F19" s="813">
        <v>0</v>
      </c>
      <c r="G19" s="813">
        <v>0</v>
      </c>
      <c r="H19" s="813">
        <v>0</v>
      </c>
      <c r="I19" s="813">
        <v>0</v>
      </c>
      <c r="J19" s="813">
        <v>0</v>
      </c>
      <c r="K19" s="813">
        <v>0</v>
      </c>
      <c r="L19" s="813">
        <v>0</v>
      </c>
      <c r="M19" s="813">
        <v>0</v>
      </c>
      <c r="N19" s="813">
        <v>0</v>
      </c>
      <c r="O19" s="813">
        <v>0</v>
      </c>
      <c r="P19" s="813">
        <v>0</v>
      </c>
      <c r="Q19" s="813">
        <v>0</v>
      </c>
      <c r="R19" s="813">
        <v>0</v>
      </c>
      <c r="S19" s="813">
        <v>0</v>
      </c>
      <c r="T19" s="813">
        <v>0</v>
      </c>
      <c r="U19" s="813">
        <v>0</v>
      </c>
      <c r="V19" s="813">
        <v>0</v>
      </c>
      <c r="W19" s="813">
        <v>0</v>
      </c>
      <c r="X19" s="813">
        <v>0</v>
      </c>
      <c r="Y19" s="813">
        <v>0</v>
      </c>
      <c r="Z19" s="813">
        <v>0</v>
      </c>
      <c r="AA19" s="813">
        <v>0</v>
      </c>
      <c r="AB19" s="813">
        <v>0</v>
      </c>
      <c r="AC19" s="813">
        <v>0</v>
      </c>
      <c r="AD19" s="813">
        <v>0</v>
      </c>
      <c r="AE19" s="813">
        <v>0</v>
      </c>
      <c r="AF19" s="814" t="s">
        <v>2805</v>
      </c>
      <c r="AG19" s="802"/>
    </row>
    <row r="20" spans="1:33" ht="15" customHeight="1">
      <c r="A20" s="800" t="s">
        <v>4628</v>
      </c>
      <c r="B20" s="812" t="s">
        <v>4377</v>
      </c>
      <c r="C20" s="813">
        <v>0</v>
      </c>
      <c r="D20" s="813">
        <v>0</v>
      </c>
      <c r="E20" s="813">
        <v>0</v>
      </c>
      <c r="F20" s="813">
        <v>0</v>
      </c>
      <c r="G20" s="813">
        <v>0</v>
      </c>
      <c r="H20" s="813">
        <v>0</v>
      </c>
      <c r="I20" s="813">
        <v>0</v>
      </c>
      <c r="J20" s="813">
        <v>0</v>
      </c>
      <c r="K20" s="813">
        <v>0</v>
      </c>
      <c r="L20" s="813">
        <v>0</v>
      </c>
      <c r="M20" s="813">
        <v>0</v>
      </c>
      <c r="N20" s="813">
        <v>0</v>
      </c>
      <c r="O20" s="813">
        <v>0</v>
      </c>
      <c r="P20" s="813">
        <v>0</v>
      </c>
      <c r="Q20" s="813">
        <v>0</v>
      </c>
      <c r="R20" s="813">
        <v>0</v>
      </c>
      <c r="S20" s="813">
        <v>0</v>
      </c>
      <c r="T20" s="813">
        <v>0</v>
      </c>
      <c r="U20" s="813">
        <v>0</v>
      </c>
      <c r="V20" s="813">
        <v>0</v>
      </c>
      <c r="W20" s="813">
        <v>0</v>
      </c>
      <c r="X20" s="813">
        <v>0</v>
      </c>
      <c r="Y20" s="813">
        <v>0</v>
      </c>
      <c r="Z20" s="813">
        <v>0</v>
      </c>
      <c r="AA20" s="813">
        <v>0</v>
      </c>
      <c r="AB20" s="813">
        <v>0</v>
      </c>
      <c r="AC20" s="813">
        <v>0</v>
      </c>
      <c r="AD20" s="813">
        <v>0</v>
      </c>
      <c r="AE20" s="813">
        <v>0</v>
      </c>
      <c r="AF20" s="814" t="s">
        <v>2805</v>
      </c>
      <c r="AG20" s="802"/>
    </row>
    <row r="21" spans="1:33" ht="15" customHeight="1">
      <c r="A21" s="800" t="s">
        <v>4629</v>
      </c>
      <c r="B21" s="812" t="s">
        <v>4379</v>
      </c>
      <c r="C21" s="813">
        <v>0</v>
      </c>
      <c r="D21" s="813">
        <v>0</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5" customHeight="1">
      <c r="A22" s="800" t="s">
        <v>4630</v>
      </c>
      <c r="B22" s="812" t="s">
        <v>4260</v>
      </c>
      <c r="C22" s="813">
        <v>3.3660399999999999</v>
      </c>
      <c r="D22" s="813">
        <v>3.49722</v>
      </c>
      <c r="E22" s="813">
        <v>3.3951799999999999</v>
      </c>
      <c r="F22" s="813">
        <v>3.4773010000000002</v>
      </c>
      <c r="G22" s="813">
        <v>3.6658010000000001</v>
      </c>
      <c r="H22" s="813">
        <v>3.8474520000000001</v>
      </c>
      <c r="I22" s="813">
        <v>3.9294120000000001</v>
      </c>
      <c r="J22" s="813">
        <v>3.8159679999999998</v>
      </c>
      <c r="K22" s="813">
        <v>3.690658</v>
      </c>
      <c r="L22" s="813">
        <v>3.6020400000000001</v>
      </c>
      <c r="M22" s="813">
        <v>3.556597</v>
      </c>
      <c r="N22" s="813">
        <v>3.502764</v>
      </c>
      <c r="O22" s="813">
        <v>3.4797400000000001</v>
      </c>
      <c r="P22" s="813">
        <v>3.4508589999999999</v>
      </c>
      <c r="Q22" s="813">
        <v>3.4225189999999999</v>
      </c>
      <c r="R22" s="813">
        <v>3.3846180000000001</v>
      </c>
      <c r="S22" s="813">
        <v>3.3417840000000001</v>
      </c>
      <c r="T22" s="813">
        <v>3.2931119999999998</v>
      </c>
      <c r="U22" s="813">
        <v>3.251296</v>
      </c>
      <c r="V22" s="813">
        <v>3.2057099999999998</v>
      </c>
      <c r="W22" s="813">
        <v>3.1694770000000001</v>
      </c>
      <c r="X22" s="813">
        <v>3.1099420000000002</v>
      </c>
      <c r="Y22" s="813">
        <v>3.0528740000000001</v>
      </c>
      <c r="Z22" s="813">
        <v>2.9896120000000002</v>
      </c>
      <c r="AA22" s="813">
        <v>2.9280710000000001</v>
      </c>
      <c r="AB22" s="813">
        <v>2.8876010000000001</v>
      </c>
      <c r="AC22" s="813">
        <v>2.8388939999999998</v>
      </c>
      <c r="AD22" s="813">
        <v>2.7806280000000001</v>
      </c>
      <c r="AE22" s="813">
        <v>2.7379709999999999</v>
      </c>
      <c r="AF22" s="814">
        <v>-7.3489999999999996E-3</v>
      </c>
      <c r="AG22" s="802"/>
    </row>
    <row r="23" spans="1:33" ht="15" customHeight="1">
      <c r="A23" s="800" t="s">
        <v>4631</v>
      </c>
      <c r="B23" s="812" t="s">
        <v>4262</v>
      </c>
      <c r="C23" s="813">
        <v>294.71972699999998</v>
      </c>
      <c r="D23" s="813">
        <v>294.60342400000002</v>
      </c>
      <c r="E23" s="813">
        <v>301.31253099999998</v>
      </c>
      <c r="F23" s="813">
        <v>311.58752399999997</v>
      </c>
      <c r="G23" s="813">
        <v>326.43823200000003</v>
      </c>
      <c r="H23" s="813">
        <v>331.48968500000001</v>
      </c>
      <c r="I23" s="813">
        <v>328.37570199999999</v>
      </c>
      <c r="J23" s="813">
        <v>323.74761999999998</v>
      </c>
      <c r="K23" s="813">
        <v>316.71478300000001</v>
      </c>
      <c r="L23" s="813">
        <v>312.18398999999999</v>
      </c>
      <c r="M23" s="813">
        <v>311.70275900000001</v>
      </c>
      <c r="N23" s="813">
        <v>307.659424</v>
      </c>
      <c r="O23" s="813">
        <v>305.27758799999998</v>
      </c>
      <c r="P23" s="813">
        <v>304.43847699999998</v>
      </c>
      <c r="Q23" s="813">
        <v>304.43823200000003</v>
      </c>
      <c r="R23" s="813">
        <v>306.691711</v>
      </c>
      <c r="S23" s="813">
        <v>307.48748799999998</v>
      </c>
      <c r="T23" s="813">
        <v>308.393799</v>
      </c>
      <c r="U23" s="813">
        <v>308.54711900000001</v>
      </c>
      <c r="V23" s="813">
        <v>309.82531699999998</v>
      </c>
      <c r="W23" s="813">
        <v>311.66107199999999</v>
      </c>
      <c r="X23" s="813">
        <v>312.41790800000001</v>
      </c>
      <c r="Y23" s="813">
        <v>312.26638800000001</v>
      </c>
      <c r="Z23" s="813">
        <v>311.11431900000002</v>
      </c>
      <c r="AA23" s="813">
        <v>310.96816999999999</v>
      </c>
      <c r="AB23" s="813">
        <v>312.17425500000002</v>
      </c>
      <c r="AC23" s="813">
        <v>312.27642800000001</v>
      </c>
      <c r="AD23" s="813">
        <v>312.49780299999998</v>
      </c>
      <c r="AE23" s="813">
        <v>315.04290800000001</v>
      </c>
      <c r="AF23" s="814">
        <v>2.3839999999999998E-3</v>
      </c>
      <c r="AG23" s="802"/>
    </row>
    <row r="24" spans="1:33" ht="15" customHeight="1">
      <c r="A24" s="800" t="s">
        <v>4632</v>
      </c>
      <c r="B24" s="812" t="s">
        <v>4583</v>
      </c>
      <c r="C24" s="813">
        <v>455.10830700000002</v>
      </c>
      <c r="D24" s="813">
        <v>460.39819299999999</v>
      </c>
      <c r="E24" s="813">
        <v>452.17480499999999</v>
      </c>
      <c r="F24" s="813">
        <v>449.82312000000002</v>
      </c>
      <c r="G24" s="813">
        <v>453.70169099999998</v>
      </c>
      <c r="H24" s="813">
        <v>455.78045700000001</v>
      </c>
      <c r="I24" s="813">
        <v>455.72970600000002</v>
      </c>
      <c r="J24" s="813">
        <v>455.71157799999997</v>
      </c>
      <c r="K24" s="813">
        <v>451.48614500000002</v>
      </c>
      <c r="L24" s="813">
        <v>448.10040300000003</v>
      </c>
      <c r="M24" s="813">
        <v>449.36041299999999</v>
      </c>
      <c r="N24" s="813">
        <v>445.53539999999998</v>
      </c>
      <c r="O24" s="813">
        <v>442.20489500000002</v>
      </c>
      <c r="P24" s="813">
        <v>439.80627399999997</v>
      </c>
      <c r="Q24" s="813">
        <v>437.29684400000002</v>
      </c>
      <c r="R24" s="813">
        <v>436.052795</v>
      </c>
      <c r="S24" s="813">
        <v>430.48379499999999</v>
      </c>
      <c r="T24" s="813">
        <v>422.70538299999998</v>
      </c>
      <c r="U24" s="813">
        <v>417.61764499999998</v>
      </c>
      <c r="V24" s="813">
        <v>415.45953400000002</v>
      </c>
      <c r="W24" s="813">
        <v>414.92895499999997</v>
      </c>
      <c r="X24" s="813">
        <v>412.807007</v>
      </c>
      <c r="Y24" s="813">
        <v>409.60656699999998</v>
      </c>
      <c r="Z24" s="813">
        <v>405.55252100000001</v>
      </c>
      <c r="AA24" s="813">
        <v>402.43670700000001</v>
      </c>
      <c r="AB24" s="813">
        <v>399.93218999999999</v>
      </c>
      <c r="AC24" s="813">
        <v>395.37237499999998</v>
      </c>
      <c r="AD24" s="813">
        <v>392.642944</v>
      </c>
      <c r="AE24" s="813">
        <v>392.89562999999998</v>
      </c>
      <c r="AF24" s="814">
        <v>-5.2360000000000002E-3</v>
      </c>
      <c r="AG24" s="802"/>
    </row>
    <row r="25" spans="1:33" ht="15" customHeight="1">
      <c r="A25" s="800" t="s">
        <v>4633</v>
      </c>
      <c r="B25" s="812" t="s">
        <v>4634</v>
      </c>
      <c r="C25" s="813">
        <v>-65.520081000000005</v>
      </c>
      <c r="D25" s="813">
        <v>-52.675224</v>
      </c>
      <c r="E25" s="813">
        <v>-28.473595</v>
      </c>
      <c r="F25" s="813">
        <v>-28.058823</v>
      </c>
      <c r="G25" s="813">
        <v>-27.152297999999998</v>
      </c>
      <c r="H25" s="813">
        <v>-26.973526</v>
      </c>
      <c r="I25" s="813">
        <v>-26.754507</v>
      </c>
      <c r="J25" s="813">
        <v>-26.593482999999999</v>
      </c>
      <c r="K25" s="813">
        <v>-26.706977999999999</v>
      </c>
      <c r="L25" s="813">
        <v>-26.644684000000002</v>
      </c>
      <c r="M25" s="813">
        <v>-26.432869</v>
      </c>
      <c r="N25" s="813">
        <v>-26.506392000000002</v>
      </c>
      <c r="O25" s="813">
        <v>-26.363792</v>
      </c>
      <c r="P25" s="813">
        <v>-26.169174000000002</v>
      </c>
      <c r="Q25" s="813">
        <v>-26.078598</v>
      </c>
      <c r="R25" s="813">
        <v>-25.746521000000001</v>
      </c>
      <c r="S25" s="813">
        <v>-25.531813</v>
      </c>
      <c r="T25" s="813">
        <v>-25.348019000000001</v>
      </c>
      <c r="U25" s="813">
        <v>-25.149929</v>
      </c>
      <c r="V25" s="813">
        <v>-24.886177</v>
      </c>
      <c r="W25" s="813">
        <v>-24.640616999999999</v>
      </c>
      <c r="X25" s="813">
        <v>-24.509308000000001</v>
      </c>
      <c r="Y25" s="813">
        <v>-24.396839</v>
      </c>
      <c r="Z25" s="813">
        <v>-24.327529999999999</v>
      </c>
      <c r="AA25" s="813">
        <v>-24.148050000000001</v>
      </c>
      <c r="AB25" s="813">
        <v>-23.947119000000001</v>
      </c>
      <c r="AC25" s="813">
        <v>-23.865841</v>
      </c>
      <c r="AD25" s="813">
        <v>-23.709914999999999</v>
      </c>
      <c r="AE25" s="813">
        <v>-23.343</v>
      </c>
      <c r="AF25" s="814">
        <v>-3.6187999999999998E-2</v>
      </c>
      <c r="AG25" s="802"/>
    </row>
    <row r="26" spans="1:33" ht="15" customHeight="1">
      <c r="A26" s="800" t="s">
        <v>4635</v>
      </c>
      <c r="B26" s="812" t="s">
        <v>4383</v>
      </c>
      <c r="C26" s="813">
        <v>123.934006</v>
      </c>
      <c r="D26" s="813">
        <v>112.088638</v>
      </c>
      <c r="E26" s="813">
        <v>109.530396</v>
      </c>
      <c r="F26" s="813">
        <v>109.64475299999999</v>
      </c>
      <c r="G26" s="813">
        <v>111.38179</v>
      </c>
      <c r="H26" s="813">
        <v>111.62529000000001</v>
      </c>
      <c r="I26" s="813">
        <v>110.580521</v>
      </c>
      <c r="J26" s="813">
        <v>109.447891</v>
      </c>
      <c r="K26" s="813">
        <v>107.113998</v>
      </c>
      <c r="L26" s="813">
        <v>104.97350299999999</v>
      </c>
      <c r="M26" s="813">
        <v>103.874298</v>
      </c>
      <c r="N26" s="813">
        <v>101.348923</v>
      </c>
      <c r="O26" s="813">
        <v>98.952636999999996</v>
      </c>
      <c r="P26" s="813">
        <v>96.759567000000004</v>
      </c>
      <c r="Q26" s="813">
        <v>94.519881999999996</v>
      </c>
      <c r="R26" s="813">
        <v>92.865921</v>
      </c>
      <c r="S26" s="813">
        <v>90.498344000000003</v>
      </c>
      <c r="T26" s="813">
        <v>87.755516</v>
      </c>
      <c r="U26" s="813">
        <v>85.482315</v>
      </c>
      <c r="V26" s="813">
        <v>83.724365000000006</v>
      </c>
      <c r="W26" s="813">
        <v>82.190513999999993</v>
      </c>
      <c r="X26" s="813">
        <v>80.323586000000006</v>
      </c>
      <c r="Y26" s="813">
        <v>78.276641999999995</v>
      </c>
      <c r="Z26" s="813">
        <v>76.103012000000007</v>
      </c>
      <c r="AA26" s="813">
        <v>74.214889999999997</v>
      </c>
      <c r="AB26" s="813">
        <v>72.527901</v>
      </c>
      <c r="AC26" s="813">
        <v>70.535315999999995</v>
      </c>
      <c r="AD26" s="813">
        <v>68.790595999999994</v>
      </c>
      <c r="AE26" s="813">
        <v>67.651404999999997</v>
      </c>
      <c r="AF26" s="814">
        <v>-2.1388999999999998E-2</v>
      </c>
      <c r="AG26" s="802"/>
    </row>
    <row r="27" spans="1:33" ht="15" customHeight="1">
      <c r="A27" s="800" t="s">
        <v>4636</v>
      </c>
      <c r="B27" s="812" t="s">
        <v>4585</v>
      </c>
      <c r="C27" s="813">
        <v>513.52221699999996</v>
      </c>
      <c r="D27" s="813">
        <v>519.81158400000004</v>
      </c>
      <c r="E27" s="813">
        <v>533.23156700000004</v>
      </c>
      <c r="F27" s="813">
        <v>531.40905799999996</v>
      </c>
      <c r="G27" s="813">
        <v>537.931152</v>
      </c>
      <c r="H27" s="813">
        <v>540.43225099999995</v>
      </c>
      <c r="I27" s="813">
        <v>539.55572500000005</v>
      </c>
      <c r="J27" s="813">
        <v>538.56597899999997</v>
      </c>
      <c r="K27" s="813">
        <v>531.89318800000001</v>
      </c>
      <c r="L27" s="813">
        <v>526.42919900000004</v>
      </c>
      <c r="M27" s="813">
        <v>526.80187999999998</v>
      </c>
      <c r="N27" s="813">
        <v>520.37792999999999</v>
      </c>
      <c r="O27" s="813">
        <v>514.79370100000006</v>
      </c>
      <c r="P27" s="813">
        <v>510.39666699999998</v>
      </c>
      <c r="Q27" s="813">
        <v>505.738159</v>
      </c>
      <c r="R27" s="813">
        <v>503.17218000000003</v>
      </c>
      <c r="S27" s="813">
        <v>495.45034800000002</v>
      </c>
      <c r="T27" s="813">
        <v>485.11288500000001</v>
      </c>
      <c r="U27" s="813">
        <v>477.95001200000002</v>
      </c>
      <c r="V27" s="813">
        <v>474.297729</v>
      </c>
      <c r="W27" s="813">
        <v>472.47885100000002</v>
      </c>
      <c r="X27" s="813">
        <v>468.62127700000002</v>
      </c>
      <c r="Y27" s="813">
        <v>463.48635899999999</v>
      </c>
      <c r="Z27" s="813">
        <v>457.32800300000002</v>
      </c>
      <c r="AA27" s="813">
        <v>452.50353999999999</v>
      </c>
      <c r="AB27" s="813">
        <v>448.51297</v>
      </c>
      <c r="AC27" s="813">
        <v>442.04183999999998</v>
      </c>
      <c r="AD27" s="813">
        <v>437.72363300000001</v>
      </c>
      <c r="AE27" s="813">
        <v>437.20404100000002</v>
      </c>
      <c r="AF27" s="814">
        <v>-5.7299999999999999E-3</v>
      </c>
      <c r="AG27" s="802"/>
    </row>
    <row r="28" spans="1:33" ht="15" customHeight="1">
      <c r="A28" s="800" t="s">
        <v>4637</v>
      </c>
      <c r="B28" s="812" t="s">
        <v>4385</v>
      </c>
      <c r="C28" s="813">
        <v>0</v>
      </c>
      <c r="D28" s="813">
        <v>0</v>
      </c>
      <c r="E28" s="813">
        <v>0</v>
      </c>
      <c r="F28" s="813">
        <v>0</v>
      </c>
      <c r="G28" s="813">
        <v>0</v>
      </c>
      <c r="H28" s="813">
        <v>0</v>
      </c>
      <c r="I28" s="813">
        <v>0</v>
      </c>
      <c r="J28" s="813">
        <v>0</v>
      </c>
      <c r="K28" s="813">
        <v>0</v>
      </c>
      <c r="L28" s="813">
        <v>0</v>
      </c>
      <c r="M28" s="813">
        <v>0</v>
      </c>
      <c r="N28" s="813">
        <v>0</v>
      </c>
      <c r="O28" s="813">
        <v>0</v>
      </c>
      <c r="P28" s="813">
        <v>0</v>
      </c>
      <c r="Q28" s="813">
        <v>0</v>
      </c>
      <c r="R28" s="813">
        <v>0</v>
      </c>
      <c r="S28" s="813">
        <v>0</v>
      </c>
      <c r="T28" s="813">
        <v>0</v>
      </c>
      <c r="U28" s="813">
        <v>0</v>
      </c>
      <c r="V28" s="813">
        <v>0</v>
      </c>
      <c r="W28" s="813">
        <v>0</v>
      </c>
      <c r="X28" s="813">
        <v>0</v>
      </c>
      <c r="Y28" s="813">
        <v>0</v>
      </c>
      <c r="Z28" s="813">
        <v>0</v>
      </c>
      <c r="AA28" s="813">
        <v>0</v>
      </c>
      <c r="AB28" s="813">
        <v>0</v>
      </c>
      <c r="AC28" s="813">
        <v>0</v>
      </c>
      <c r="AD28" s="813">
        <v>0</v>
      </c>
      <c r="AE28" s="813">
        <v>0</v>
      </c>
      <c r="AF28" s="814" t="s">
        <v>2805</v>
      </c>
      <c r="AG28" s="802"/>
    </row>
    <row r="29" spans="1:33" ht="15" customHeight="1">
      <c r="A29" s="800" t="s">
        <v>4638</v>
      </c>
      <c r="B29" s="812" t="s">
        <v>4274</v>
      </c>
      <c r="C29" s="813">
        <v>212.36544799999999</v>
      </c>
      <c r="D29" s="813">
        <v>214.932648</v>
      </c>
      <c r="E29" s="813">
        <v>210.71107499999999</v>
      </c>
      <c r="F29" s="813">
        <v>214.30396999999999</v>
      </c>
      <c r="G29" s="813">
        <v>223.11151100000001</v>
      </c>
      <c r="H29" s="813">
        <v>227.51297</v>
      </c>
      <c r="I29" s="813">
        <v>227.80441300000001</v>
      </c>
      <c r="J29" s="813">
        <v>227.49375900000001</v>
      </c>
      <c r="K29" s="813">
        <v>225.092163</v>
      </c>
      <c r="L29" s="813">
        <v>223.32548499999999</v>
      </c>
      <c r="M29" s="813">
        <v>224.27037000000001</v>
      </c>
      <c r="N29" s="813">
        <v>222.41326900000001</v>
      </c>
      <c r="O29" s="813">
        <v>221.34828200000001</v>
      </c>
      <c r="P29" s="813">
        <v>221.154236</v>
      </c>
      <c r="Q29" s="813">
        <v>220.69470200000001</v>
      </c>
      <c r="R29" s="813">
        <v>221.96530200000001</v>
      </c>
      <c r="S29" s="813">
        <v>222.49127200000001</v>
      </c>
      <c r="T29" s="813">
        <v>222.003433</v>
      </c>
      <c r="U29" s="813">
        <v>222.11080899999999</v>
      </c>
      <c r="V29" s="813">
        <v>222.851685</v>
      </c>
      <c r="W29" s="813">
        <v>223.68077099999999</v>
      </c>
      <c r="X29" s="813">
        <v>223.522491</v>
      </c>
      <c r="Y29" s="813">
        <v>222.72912600000001</v>
      </c>
      <c r="Z29" s="813">
        <v>221.52821399999999</v>
      </c>
      <c r="AA29" s="813">
        <v>221.23840300000001</v>
      </c>
      <c r="AB29" s="813">
        <v>221.64254800000001</v>
      </c>
      <c r="AC29" s="813">
        <v>221.232147</v>
      </c>
      <c r="AD29" s="813">
        <v>220.962479</v>
      </c>
      <c r="AE29" s="813">
        <v>222.613754</v>
      </c>
      <c r="AF29" s="814">
        <v>1.6850000000000001E-3</v>
      </c>
      <c r="AG29" s="802"/>
    </row>
    <row r="30" spans="1:33" ht="15" customHeight="1">
      <c r="A30" s="800" t="s">
        <v>4639</v>
      </c>
      <c r="B30" s="808" t="s">
        <v>4276</v>
      </c>
      <c r="C30" s="811">
        <v>1023.97345</v>
      </c>
      <c r="D30" s="811">
        <v>1032.844971</v>
      </c>
      <c r="E30" s="811">
        <v>1048.6503909999999</v>
      </c>
      <c r="F30" s="811">
        <v>1060.777832</v>
      </c>
      <c r="G30" s="811">
        <v>1091.1467290000001</v>
      </c>
      <c r="H30" s="811">
        <v>1103.2823490000001</v>
      </c>
      <c r="I30" s="811">
        <v>1099.665283</v>
      </c>
      <c r="J30" s="811">
        <v>1093.6232910000001</v>
      </c>
      <c r="K30" s="811">
        <v>1077.3907469999999</v>
      </c>
      <c r="L30" s="811">
        <v>1065.5407709999999</v>
      </c>
      <c r="M30" s="811">
        <v>1066.3316649999999</v>
      </c>
      <c r="N30" s="811">
        <v>1053.9533690000001</v>
      </c>
      <c r="O30" s="811">
        <v>1044.8992920000001</v>
      </c>
      <c r="P30" s="811">
        <v>1039.440186</v>
      </c>
      <c r="Q30" s="811">
        <v>1034.2935789999999</v>
      </c>
      <c r="R30" s="811">
        <v>1035.213745</v>
      </c>
      <c r="S30" s="811">
        <v>1028.770996</v>
      </c>
      <c r="T30" s="811">
        <v>1018.803223</v>
      </c>
      <c r="U30" s="811">
        <v>1011.859192</v>
      </c>
      <c r="V30" s="811">
        <v>1010.18042</v>
      </c>
      <c r="W30" s="811">
        <v>1010.990112</v>
      </c>
      <c r="X30" s="811">
        <v>1007.671631</v>
      </c>
      <c r="Y30" s="811">
        <v>1001.534729</v>
      </c>
      <c r="Z30" s="811">
        <v>992.96014400000001</v>
      </c>
      <c r="AA30" s="811">
        <v>987.63818400000002</v>
      </c>
      <c r="AB30" s="811">
        <v>985.21740699999998</v>
      </c>
      <c r="AC30" s="811">
        <v>978.38928199999998</v>
      </c>
      <c r="AD30" s="811">
        <v>973.96453899999995</v>
      </c>
      <c r="AE30" s="811">
        <v>977.59869400000002</v>
      </c>
      <c r="AF30" s="810">
        <v>-1.6540000000000001E-3</v>
      </c>
      <c r="AG30" s="802"/>
    </row>
    <row r="31" spans="1:33" ht="15" customHeight="1">
      <c r="B31" s="802"/>
      <c r="C31" s="802"/>
      <c r="D31" s="802"/>
      <c r="E31" s="802"/>
      <c r="F31" s="802"/>
      <c r="G31" s="802"/>
      <c r="H31" s="802"/>
      <c r="I31" s="802"/>
      <c r="J31" s="802"/>
      <c r="K31" s="802"/>
      <c r="L31" s="802"/>
      <c r="M31" s="802"/>
      <c r="N31" s="802"/>
      <c r="O31" s="802"/>
      <c r="P31" s="802"/>
      <c r="Q31" s="802"/>
      <c r="R31" s="802"/>
      <c r="S31" s="802"/>
      <c r="T31" s="802"/>
      <c r="U31" s="802"/>
      <c r="V31" s="802"/>
      <c r="W31" s="802"/>
      <c r="X31" s="802"/>
      <c r="Y31" s="802"/>
      <c r="Z31" s="802"/>
      <c r="AA31" s="802"/>
      <c r="AB31" s="802"/>
      <c r="AC31" s="802"/>
      <c r="AD31" s="802"/>
      <c r="AE31" s="802"/>
      <c r="AF31" s="802"/>
      <c r="AG31" s="802"/>
    </row>
    <row r="32" spans="1:33" ht="15" customHeight="1">
      <c r="B32" s="808" t="s">
        <v>4388</v>
      </c>
      <c r="C32" s="802"/>
      <c r="D32" s="802"/>
      <c r="E32" s="802"/>
      <c r="F32" s="80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2"/>
      <c r="AF32" s="802"/>
      <c r="AG32" s="802"/>
    </row>
    <row r="33" spans="1:33" ht="15" customHeight="1">
      <c r="B33" s="808" t="s">
        <v>4389</v>
      </c>
      <c r="C33" s="802"/>
      <c r="D33" s="802"/>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row>
    <row r="34" spans="1:33" ht="12" customHeight="1">
      <c r="A34" s="800" t="s">
        <v>4640</v>
      </c>
      <c r="B34" s="812" t="s">
        <v>4250</v>
      </c>
      <c r="C34" s="815">
        <v>2.6535E-2</v>
      </c>
      <c r="D34" s="815">
        <v>2.8025000000000001E-2</v>
      </c>
      <c r="E34" s="815">
        <v>2.7633999999999999E-2</v>
      </c>
      <c r="F34" s="815">
        <v>2.7675000000000002E-2</v>
      </c>
      <c r="G34" s="815">
        <v>2.7845000000000002E-2</v>
      </c>
      <c r="H34" s="815">
        <v>2.8549999999999999E-2</v>
      </c>
      <c r="I34" s="815">
        <v>2.8999E-2</v>
      </c>
      <c r="J34" s="815">
        <v>2.8024E-2</v>
      </c>
      <c r="K34" s="815">
        <v>2.7251999999999998E-2</v>
      </c>
      <c r="L34" s="815">
        <v>2.6654000000000001E-2</v>
      </c>
      <c r="M34" s="815">
        <v>2.6054999999999998E-2</v>
      </c>
      <c r="N34" s="815">
        <v>2.5746999999999999E-2</v>
      </c>
      <c r="O34" s="815">
        <v>2.5593000000000001E-2</v>
      </c>
      <c r="P34" s="815">
        <v>2.5305999999999999E-2</v>
      </c>
      <c r="Q34" s="815">
        <v>2.5033E-2</v>
      </c>
      <c r="R34" s="815">
        <v>2.4473000000000002E-2</v>
      </c>
      <c r="S34" s="815">
        <v>2.3994000000000001E-2</v>
      </c>
      <c r="T34" s="815">
        <v>2.3595000000000001E-2</v>
      </c>
      <c r="U34" s="815">
        <v>2.3196999999999999E-2</v>
      </c>
      <c r="V34" s="815">
        <v>2.2702E-2</v>
      </c>
      <c r="W34" s="815">
        <v>2.2270999999999999E-2</v>
      </c>
      <c r="X34" s="815">
        <v>2.1786E-2</v>
      </c>
      <c r="Y34" s="815">
        <v>2.1382999999999999E-2</v>
      </c>
      <c r="Z34" s="815">
        <v>2.0986999999999999E-2</v>
      </c>
      <c r="AA34" s="815">
        <v>2.0524000000000001E-2</v>
      </c>
      <c r="AB34" s="815">
        <v>2.0147999999999999E-2</v>
      </c>
      <c r="AC34" s="815">
        <v>1.9795E-2</v>
      </c>
      <c r="AD34" s="815">
        <v>1.9362000000000001E-2</v>
      </c>
      <c r="AE34" s="815">
        <v>1.8873999999999998E-2</v>
      </c>
      <c r="AF34" s="814">
        <v>-1.2093E-2</v>
      </c>
      <c r="AG34" s="802"/>
    </row>
    <row r="35" spans="1:33" ht="12" customHeight="1">
      <c r="A35" s="800" t="s">
        <v>4641</v>
      </c>
      <c r="B35" s="812" t="s">
        <v>4248</v>
      </c>
      <c r="C35" s="815">
        <v>0</v>
      </c>
      <c r="D35" s="815">
        <v>0</v>
      </c>
      <c r="E35" s="815">
        <v>0</v>
      </c>
      <c r="F35" s="815">
        <v>0</v>
      </c>
      <c r="G35" s="815">
        <v>0</v>
      </c>
      <c r="H35" s="815">
        <v>0</v>
      </c>
      <c r="I35" s="815">
        <v>0</v>
      </c>
      <c r="J35" s="815">
        <v>0</v>
      </c>
      <c r="K35" s="815">
        <v>0</v>
      </c>
      <c r="L35" s="815">
        <v>0</v>
      </c>
      <c r="M35" s="815">
        <v>0</v>
      </c>
      <c r="N35" s="815">
        <v>0</v>
      </c>
      <c r="O35" s="815">
        <v>0</v>
      </c>
      <c r="P35" s="815">
        <v>0</v>
      </c>
      <c r="Q35" s="815">
        <v>0</v>
      </c>
      <c r="R35" s="815">
        <v>0</v>
      </c>
      <c r="S35" s="815">
        <v>0</v>
      </c>
      <c r="T35" s="815">
        <v>0</v>
      </c>
      <c r="U35" s="815">
        <v>0</v>
      </c>
      <c r="V35" s="815">
        <v>0</v>
      </c>
      <c r="W35" s="815">
        <v>0</v>
      </c>
      <c r="X35" s="815">
        <v>0</v>
      </c>
      <c r="Y35" s="815">
        <v>0</v>
      </c>
      <c r="Z35" s="815">
        <v>0</v>
      </c>
      <c r="AA35" s="815">
        <v>0</v>
      </c>
      <c r="AB35" s="815">
        <v>0</v>
      </c>
      <c r="AC35" s="815">
        <v>0</v>
      </c>
      <c r="AD35" s="815">
        <v>0</v>
      </c>
      <c r="AE35" s="815">
        <v>0</v>
      </c>
      <c r="AF35" s="814" t="s">
        <v>2805</v>
      </c>
      <c r="AG35" s="802"/>
    </row>
    <row r="36" spans="1:33" ht="12" customHeight="1">
      <c r="A36" s="800" t="s">
        <v>4642</v>
      </c>
      <c r="B36" s="812" t="s">
        <v>4377</v>
      </c>
      <c r="C36" s="815">
        <v>0</v>
      </c>
      <c r="D36" s="815">
        <v>0</v>
      </c>
      <c r="E36" s="815">
        <v>0</v>
      </c>
      <c r="F36" s="815">
        <v>0</v>
      </c>
      <c r="G36" s="815">
        <v>0</v>
      </c>
      <c r="H36" s="815">
        <v>0</v>
      </c>
      <c r="I36" s="815">
        <v>0</v>
      </c>
      <c r="J36" s="815">
        <v>0</v>
      </c>
      <c r="K36" s="815">
        <v>0</v>
      </c>
      <c r="L36" s="815">
        <v>0</v>
      </c>
      <c r="M36" s="815">
        <v>0</v>
      </c>
      <c r="N36" s="815">
        <v>0</v>
      </c>
      <c r="O36" s="815">
        <v>0</v>
      </c>
      <c r="P36" s="815">
        <v>0</v>
      </c>
      <c r="Q36" s="815">
        <v>0</v>
      </c>
      <c r="R36" s="815">
        <v>0</v>
      </c>
      <c r="S36" s="815">
        <v>0</v>
      </c>
      <c r="T36" s="815">
        <v>0</v>
      </c>
      <c r="U36" s="815">
        <v>0</v>
      </c>
      <c r="V36" s="815">
        <v>0</v>
      </c>
      <c r="W36" s="815">
        <v>0</v>
      </c>
      <c r="X36" s="815">
        <v>0</v>
      </c>
      <c r="Y36" s="815">
        <v>0</v>
      </c>
      <c r="Z36" s="815">
        <v>0</v>
      </c>
      <c r="AA36" s="815">
        <v>0</v>
      </c>
      <c r="AB36" s="815">
        <v>0</v>
      </c>
      <c r="AC36" s="815">
        <v>0</v>
      </c>
      <c r="AD36" s="815">
        <v>0</v>
      </c>
      <c r="AE36" s="815">
        <v>0</v>
      </c>
      <c r="AF36" s="814" t="s">
        <v>2805</v>
      </c>
      <c r="AG36" s="802"/>
    </row>
    <row r="37" spans="1:33" ht="12" customHeight="1">
      <c r="A37" s="800" t="s">
        <v>4643</v>
      </c>
      <c r="B37" s="812" t="s">
        <v>4379</v>
      </c>
      <c r="C37" s="815">
        <v>0</v>
      </c>
      <c r="D37" s="815">
        <v>0</v>
      </c>
      <c r="E37" s="815">
        <v>0</v>
      </c>
      <c r="F37" s="815">
        <v>0</v>
      </c>
      <c r="G37" s="815">
        <v>0</v>
      </c>
      <c r="H37" s="815">
        <v>0</v>
      </c>
      <c r="I37" s="815">
        <v>0</v>
      </c>
      <c r="J37" s="815">
        <v>0</v>
      </c>
      <c r="K37" s="815">
        <v>0</v>
      </c>
      <c r="L37" s="815">
        <v>0</v>
      </c>
      <c r="M37" s="815">
        <v>0</v>
      </c>
      <c r="N37" s="815">
        <v>0</v>
      </c>
      <c r="O37" s="815">
        <v>0</v>
      </c>
      <c r="P37" s="815">
        <v>0</v>
      </c>
      <c r="Q37" s="815">
        <v>0</v>
      </c>
      <c r="R37" s="815">
        <v>0</v>
      </c>
      <c r="S37" s="815">
        <v>0</v>
      </c>
      <c r="T37" s="815">
        <v>0</v>
      </c>
      <c r="U37" s="815">
        <v>0</v>
      </c>
      <c r="V37" s="815">
        <v>0</v>
      </c>
      <c r="W37" s="815">
        <v>0</v>
      </c>
      <c r="X37" s="815">
        <v>0</v>
      </c>
      <c r="Y37" s="815">
        <v>0</v>
      </c>
      <c r="Z37" s="815">
        <v>0</v>
      </c>
      <c r="AA37" s="815">
        <v>0</v>
      </c>
      <c r="AB37" s="815">
        <v>0</v>
      </c>
      <c r="AC37" s="815">
        <v>0</v>
      </c>
      <c r="AD37" s="815">
        <v>0</v>
      </c>
      <c r="AE37" s="815">
        <v>0</v>
      </c>
      <c r="AF37" s="814" t="s">
        <v>2805</v>
      </c>
      <c r="AG37" s="802"/>
    </row>
    <row r="38" spans="1:33" ht="12" customHeight="1">
      <c r="A38" s="800" t="s">
        <v>4644</v>
      </c>
      <c r="B38" s="812" t="s">
        <v>4260</v>
      </c>
      <c r="C38" s="815">
        <v>2.6535E-2</v>
      </c>
      <c r="D38" s="815">
        <v>2.8025000000000001E-2</v>
      </c>
      <c r="E38" s="815">
        <v>2.7633999999999999E-2</v>
      </c>
      <c r="F38" s="815">
        <v>2.7675000000000002E-2</v>
      </c>
      <c r="G38" s="815">
        <v>2.7845000000000002E-2</v>
      </c>
      <c r="H38" s="815">
        <v>2.8549999999999999E-2</v>
      </c>
      <c r="I38" s="815">
        <v>2.8999E-2</v>
      </c>
      <c r="J38" s="815">
        <v>2.8024E-2</v>
      </c>
      <c r="K38" s="815">
        <v>2.7251999999999998E-2</v>
      </c>
      <c r="L38" s="815">
        <v>2.6654000000000001E-2</v>
      </c>
      <c r="M38" s="815">
        <v>2.6054999999999998E-2</v>
      </c>
      <c r="N38" s="815">
        <v>2.5746999999999999E-2</v>
      </c>
      <c r="O38" s="815">
        <v>2.5593000000000001E-2</v>
      </c>
      <c r="P38" s="815">
        <v>2.5305999999999999E-2</v>
      </c>
      <c r="Q38" s="815">
        <v>2.5033E-2</v>
      </c>
      <c r="R38" s="815">
        <v>2.4473000000000002E-2</v>
      </c>
      <c r="S38" s="815">
        <v>2.3994000000000001E-2</v>
      </c>
      <c r="T38" s="815">
        <v>2.3595000000000001E-2</v>
      </c>
      <c r="U38" s="815">
        <v>2.3196999999999999E-2</v>
      </c>
      <c r="V38" s="815">
        <v>2.2702E-2</v>
      </c>
      <c r="W38" s="815">
        <v>2.2270999999999999E-2</v>
      </c>
      <c r="X38" s="815">
        <v>2.1786E-2</v>
      </c>
      <c r="Y38" s="815">
        <v>2.1382999999999999E-2</v>
      </c>
      <c r="Z38" s="815">
        <v>2.0986999999999999E-2</v>
      </c>
      <c r="AA38" s="815">
        <v>2.0524000000000001E-2</v>
      </c>
      <c r="AB38" s="815">
        <v>2.0147999999999999E-2</v>
      </c>
      <c r="AC38" s="815">
        <v>1.9795E-2</v>
      </c>
      <c r="AD38" s="815">
        <v>1.9362000000000001E-2</v>
      </c>
      <c r="AE38" s="815">
        <v>1.8873999999999998E-2</v>
      </c>
      <c r="AF38" s="814">
        <v>-1.2093E-2</v>
      </c>
      <c r="AG38" s="802"/>
    </row>
    <row r="39" spans="1:33" ht="12" customHeight="1">
      <c r="A39" s="800" t="s">
        <v>4645</v>
      </c>
      <c r="B39" s="812" t="s">
        <v>4262</v>
      </c>
      <c r="C39" s="815">
        <v>2.323277</v>
      </c>
      <c r="D39" s="815">
        <v>2.3608259999999999</v>
      </c>
      <c r="E39" s="815">
        <v>2.4524569999999999</v>
      </c>
      <c r="F39" s="815">
        <v>2.4798580000000001</v>
      </c>
      <c r="G39" s="815">
        <v>2.4796299999999998</v>
      </c>
      <c r="H39" s="815">
        <v>2.4598499999999999</v>
      </c>
      <c r="I39" s="815">
        <v>2.423435</v>
      </c>
      <c r="J39" s="815">
        <v>2.3776039999999998</v>
      </c>
      <c r="K39" s="815">
        <v>2.3386179999999999</v>
      </c>
      <c r="L39" s="815">
        <v>2.3100809999999998</v>
      </c>
      <c r="M39" s="815">
        <v>2.2835200000000002</v>
      </c>
      <c r="N39" s="815">
        <v>2.2614429999999999</v>
      </c>
      <c r="O39" s="815">
        <v>2.2452730000000001</v>
      </c>
      <c r="P39" s="815">
        <v>2.2325349999999999</v>
      </c>
      <c r="Q39" s="815">
        <v>2.2267329999999999</v>
      </c>
      <c r="R39" s="815">
        <v>2.2175410000000002</v>
      </c>
      <c r="S39" s="815">
        <v>2.207732</v>
      </c>
      <c r="T39" s="815">
        <v>2.209651</v>
      </c>
      <c r="U39" s="815">
        <v>2.2014209999999999</v>
      </c>
      <c r="V39" s="815">
        <v>2.1941250000000001</v>
      </c>
      <c r="W39" s="815">
        <v>2.1899639999999998</v>
      </c>
      <c r="X39" s="815">
        <v>2.1885910000000002</v>
      </c>
      <c r="Y39" s="815">
        <v>2.187176</v>
      </c>
      <c r="Z39" s="815">
        <v>2.1840060000000001</v>
      </c>
      <c r="AA39" s="815">
        <v>2.1796669999999998</v>
      </c>
      <c r="AB39" s="815">
        <v>2.178175</v>
      </c>
      <c r="AC39" s="815">
        <v>2.1774650000000002</v>
      </c>
      <c r="AD39" s="815">
        <v>2.1760259999999998</v>
      </c>
      <c r="AE39" s="815">
        <v>2.1717230000000001</v>
      </c>
      <c r="AF39" s="814">
        <v>-2.4060000000000002E-3</v>
      </c>
      <c r="AG39" s="802"/>
    </row>
    <row r="40" spans="1:33" ht="12" customHeight="1">
      <c r="A40" s="800" t="s">
        <v>4646</v>
      </c>
      <c r="B40" s="812" t="s">
        <v>4583</v>
      </c>
      <c r="C40" s="815">
        <v>3.5876199999999998</v>
      </c>
      <c r="D40" s="815">
        <v>3.689435</v>
      </c>
      <c r="E40" s="815">
        <v>3.6803620000000001</v>
      </c>
      <c r="F40" s="815">
        <v>3.5800450000000001</v>
      </c>
      <c r="G40" s="815">
        <v>3.446326</v>
      </c>
      <c r="H40" s="815">
        <v>3.382161</v>
      </c>
      <c r="I40" s="815">
        <v>3.3633160000000002</v>
      </c>
      <c r="J40" s="815">
        <v>3.3467479999999998</v>
      </c>
      <c r="K40" s="815">
        <v>3.3337680000000001</v>
      </c>
      <c r="L40" s="815">
        <v>3.3158270000000001</v>
      </c>
      <c r="M40" s="815">
        <v>3.2919930000000002</v>
      </c>
      <c r="N40" s="815">
        <v>3.2748970000000002</v>
      </c>
      <c r="O40" s="815">
        <v>3.2523529999999998</v>
      </c>
      <c r="P40" s="815">
        <v>3.2252269999999998</v>
      </c>
      <c r="Q40" s="815">
        <v>3.198493</v>
      </c>
      <c r="R40" s="815">
        <v>3.1528879999999999</v>
      </c>
      <c r="S40" s="815">
        <v>3.0908350000000002</v>
      </c>
      <c r="T40" s="815">
        <v>3.0286970000000002</v>
      </c>
      <c r="U40" s="815">
        <v>2.9796170000000002</v>
      </c>
      <c r="V40" s="815">
        <v>2.9422069999999998</v>
      </c>
      <c r="W40" s="815">
        <v>2.9156010000000001</v>
      </c>
      <c r="X40" s="815">
        <v>2.8918499999999998</v>
      </c>
      <c r="Y40" s="815">
        <v>2.868967</v>
      </c>
      <c r="Z40" s="815">
        <v>2.8469570000000002</v>
      </c>
      <c r="AA40" s="815">
        <v>2.8207970000000002</v>
      </c>
      <c r="AB40" s="815">
        <v>2.7905009999999999</v>
      </c>
      <c r="AC40" s="815">
        <v>2.7568830000000002</v>
      </c>
      <c r="AD40" s="815">
        <v>2.7341030000000002</v>
      </c>
      <c r="AE40" s="815">
        <v>2.7083949999999999</v>
      </c>
      <c r="AF40" s="814">
        <v>-9.9900000000000006E-3</v>
      </c>
      <c r="AG40" s="802"/>
    </row>
    <row r="41" spans="1:33" ht="12" customHeight="1">
      <c r="A41" s="800" t="s">
        <v>4647</v>
      </c>
      <c r="B41" s="812" t="s">
        <v>4634</v>
      </c>
      <c r="C41" s="815">
        <v>-0.51649500000000004</v>
      </c>
      <c r="D41" s="815">
        <v>-0.42211700000000002</v>
      </c>
      <c r="E41" s="815">
        <v>-0.23175399999999999</v>
      </c>
      <c r="F41" s="815">
        <v>-0.22331400000000001</v>
      </c>
      <c r="G41" s="815">
        <v>-0.20624899999999999</v>
      </c>
      <c r="H41" s="815">
        <v>-0.20016</v>
      </c>
      <c r="I41" s="815">
        <v>-0.19744999999999999</v>
      </c>
      <c r="J41" s="815">
        <v>-0.195303</v>
      </c>
      <c r="K41" s="815">
        <v>-0.19720399999999999</v>
      </c>
      <c r="L41" s="815">
        <v>-0.19716400000000001</v>
      </c>
      <c r="M41" s="815">
        <v>-0.19364600000000001</v>
      </c>
      <c r="N41" s="815">
        <v>-0.19483500000000001</v>
      </c>
      <c r="O41" s="815">
        <v>-0.19390199999999999</v>
      </c>
      <c r="P41" s="815">
        <v>-0.19190599999999999</v>
      </c>
      <c r="Q41" s="815">
        <v>-0.190745</v>
      </c>
      <c r="R41" s="815">
        <v>-0.18616099999999999</v>
      </c>
      <c r="S41" s="815">
        <v>-0.18331600000000001</v>
      </c>
      <c r="T41" s="815">
        <v>-0.181619</v>
      </c>
      <c r="U41" s="815">
        <v>-0.17943999999999999</v>
      </c>
      <c r="V41" s="815">
        <v>-0.17623900000000001</v>
      </c>
      <c r="W41" s="815">
        <v>-0.17314299999999999</v>
      </c>
      <c r="X41" s="815">
        <v>-0.17169599999999999</v>
      </c>
      <c r="Y41" s="815">
        <v>-0.17088</v>
      </c>
      <c r="Z41" s="815">
        <v>-0.17077800000000001</v>
      </c>
      <c r="AA41" s="815">
        <v>-0.16926099999999999</v>
      </c>
      <c r="AB41" s="815">
        <v>-0.16708899999999999</v>
      </c>
      <c r="AC41" s="815">
        <v>-0.16641400000000001</v>
      </c>
      <c r="AD41" s="815">
        <v>-0.1651</v>
      </c>
      <c r="AE41" s="815">
        <v>-0.160913</v>
      </c>
      <c r="AF41" s="814">
        <v>-4.0794999999999998E-2</v>
      </c>
      <c r="AG41" s="802"/>
    </row>
    <row r="42" spans="1:33" ht="12" customHeight="1">
      <c r="A42" s="800" t="s">
        <v>4648</v>
      </c>
      <c r="B42" s="812" t="s">
        <v>4383</v>
      </c>
      <c r="C42" s="815">
        <v>0.97697199999999995</v>
      </c>
      <c r="D42" s="815">
        <v>0.89822999999999997</v>
      </c>
      <c r="E42" s="815">
        <v>0.89149500000000004</v>
      </c>
      <c r="F42" s="815">
        <v>0.87263900000000005</v>
      </c>
      <c r="G42" s="815">
        <v>0.84605799999999998</v>
      </c>
      <c r="H42" s="815">
        <v>0.82832600000000001</v>
      </c>
      <c r="I42" s="815">
        <v>0.81609200000000004</v>
      </c>
      <c r="J42" s="815">
        <v>0.803786</v>
      </c>
      <c r="K42" s="815">
        <v>0.79092799999999996</v>
      </c>
      <c r="L42" s="815">
        <v>0.77677700000000005</v>
      </c>
      <c r="M42" s="815">
        <v>0.76097800000000004</v>
      </c>
      <c r="N42" s="815">
        <v>0.74496300000000004</v>
      </c>
      <c r="O42" s="815">
        <v>0.72778200000000004</v>
      </c>
      <c r="P42" s="815">
        <v>0.70956600000000003</v>
      </c>
      <c r="Q42" s="815">
        <v>0.69134099999999998</v>
      </c>
      <c r="R42" s="815">
        <v>0.67146899999999998</v>
      </c>
      <c r="S42" s="815">
        <v>0.64976999999999996</v>
      </c>
      <c r="T42" s="815">
        <v>0.62877099999999997</v>
      </c>
      <c r="U42" s="815">
        <v>0.60989899999999997</v>
      </c>
      <c r="V42" s="815">
        <v>0.59292</v>
      </c>
      <c r="W42" s="815">
        <v>0.57753200000000005</v>
      </c>
      <c r="X42" s="815">
        <v>0.562693</v>
      </c>
      <c r="Y42" s="815">
        <v>0.548265</v>
      </c>
      <c r="Z42" s="815">
        <v>0.53423900000000002</v>
      </c>
      <c r="AA42" s="815">
        <v>0.52019400000000005</v>
      </c>
      <c r="AB42" s="815">
        <v>0.50605900000000004</v>
      </c>
      <c r="AC42" s="815">
        <v>0.49183399999999999</v>
      </c>
      <c r="AD42" s="815">
        <v>0.47901199999999999</v>
      </c>
      <c r="AE42" s="815">
        <v>0.46634999999999999</v>
      </c>
      <c r="AF42" s="814">
        <v>-2.6065999999999999E-2</v>
      </c>
      <c r="AG42" s="802"/>
    </row>
    <row r="43" spans="1:33" ht="12" customHeight="1">
      <c r="A43" s="800" t="s">
        <v>4649</v>
      </c>
      <c r="B43" s="812" t="s">
        <v>4585</v>
      </c>
      <c r="C43" s="815">
        <v>4.0480980000000004</v>
      </c>
      <c r="D43" s="815">
        <v>4.1655480000000003</v>
      </c>
      <c r="E43" s="815">
        <v>4.340103</v>
      </c>
      <c r="F43" s="815">
        <v>4.2293710000000004</v>
      </c>
      <c r="G43" s="815">
        <v>4.0861340000000004</v>
      </c>
      <c r="H43" s="815">
        <v>4.0103270000000002</v>
      </c>
      <c r="I43" s="815">
        <v>3.9819580000000001</v>
      </c>
      <c r="J43" s="815">
        <v>3.9552309999999999</v>
      </c>
      <c r="K43" s="815">
        <v>3.9274930000000001</v>
      </c>
      <c r="L43" s="815">
        <v>3.8954399999999998</v>
      </c>
      <c r="M43" s="815">
        <v>3.8593250000000001</v>
      </c>
      <c r="N43" s="815">
        <v>3.8250250000000001</v>
      </c>
      <c r="O43" s="815">
        <v>3.7862339999999999</v>
      </c>
      <c r="P43" s="815">
        <v>3.7428859999999999</v>
      </c>
      <c r="Q43" s="815">
        <v>3.6990889999999998</v>
      </c>
      <c r="R43" s="815">
        <v>3.6381960000000002</v>
      </c>
      <c r="S43" s="815">
        <v>3.5572889999999999</v>
      </c>
      <c r="T43" s="815">
        <v>3.4758490000000002</v>
      </c>
      <c r="U43" s="815">
        <v>3.4100769999999998</v>
      </c>
      <c r="V43" s="815">
        <v>3.3588879999999999</v>
      </c>
      <c r="W43" s="815">
        <v>3.3199900000000002</v>
      </c>
      <c r="X43" s="815">
        <v>3.2828469999999998</v>
      </c>
      <c r="Y43" s="815">
        <v>3.2463510000000002</v>
      </c>
      <c r="Z43" s="815">
        <v>3.2104189999999999</v>
      </c>
      <c r="AA43" s="815">
        <v>3.1717309999999999</v>
      </c>
      <c r="AB43" s="815">
        <v>3.12947</v>
      </c>
      <c r="AC43" s="815">
        <v>3.0823040000000002</v>
      </c>
      <c r="AD43" s="815">
        <v>3.0480149999999999</v>
      </c>
      <c r="AE43" s="815">
        <v>3.0138310000000001</v>
      </c>
      <c r="AF43" s="814">
        <v>-1.0482E-2</v>
      </c>
      <c r="AG43" s="802"/>
    </row>
    <row r="44" spans="1:33" ht="12" customHeight="1">
      <c r="A44" s="800" t="s">
        <v>4650</v>
      </c>
      <c r="B44" s="812" t="s">
        <v>4385</v>
      </c>
      <c r="C44" s="815">
        <v>0</v>
      </c>
      <c r="D44" s="815">
        <v>0</v>
      </c>
      <c r="E44" s="815">
        <v>0</v>
      </c>
      <c r="F44" s="815">
        <v>0</v>
      </c>
      <c r="G44" s="815">
        <v>0</v>
      </c>
      <c r="H44" s="815">
        <v>0</v>
      </c>
      <c r="I44" s="815">
        <v>0</v>
      </c>
      <c r="J44" s="815">
        <v>0</v>
      </c>
      <c r="K44" s="815">
        <v>0</v>
      </c>
      <c r="L44" s="815">
        <v>0</v>
      </c>
      <c r="M44" s="815">
        <v>0</v>
      </c>
      <c r="N44" s="815">
        <v>0</v>
      </c>
      <c r="O44" s="815">
        <v>0</v>
      </c>
      <c r="P44" s="815">
        <v>0</v>
      </c>
      <c r="Q44" s="815">
        <v>0</v>
      </c>
      <c r="R44" s="815">
        <v>0</v>
      </c>
      <c r="S44" s="815">
        <v>0</v>
      </c>
      <c r="T44" s="815">
        <v>0</v>
      </c>
      <c r="U44" s="815">
        <v>0</v>
      </c>
      <c r="V44" s="815">
        <v>0</v>
      </c>
      <c r="W44" s="815">
        <v>0</v>
      </c>
      <c r="X44" s="815">
        <v>0</v>
      </c>
      <c r="Y44" s="815">
        <v>0</v>
      </c>
      <c r="Z44" s="815">
        <v>0</v>
      </c>
      <c r="AA44" s="815">
        <v>0</v>
      </c>
      <c r="AB44" s="815">
        <v>0</v>
      </c>
      <c r="AC44" s="815">
        <v>0</v>
      </c>
      <c r="AD44" s="815">
        <v>0</v>
      </c>
      <c r="AE44" s="815">
        <v>0</v>
      </c>
      <c r="AF44" s="814" t="s">
        <v>2805</v>
      </c>
      <c r="AG44" s="802"/>
    </row>
    <row r="45" spans="1:33" ht="12" customHeight="1">
      <c r="A45" s="800" t="s">
        <v>4651</v>
      </c>
      <c r="B45" s="812" t="s">
        <v>4274</v>
      </c>
      <c r="C45" s="815">
        <v>1.674078</v>
      </c>
      <c r="D45" s="815">
        <v>1.722378</v>
      </c>
      <c r="E45" s="815">
        <v>1.7150289999999999</v>
      </c>
      <c r="F45" s="815">
        <v>1.7055990000000001</v>
      </c>
      <c r="G45" s="815">
        <v>1.6947589999999999</v>
      </c>
      <c r="H45" s="815">
        <v>1.6882809999999999</v>
      </c>
      <c r="I45" s="815">
        <v>1.6812119999999999</v>
      </c>
      <c r="J45" s="815">
        <v>1.670715</v>
      </c>
      <c r="K45" s="815">
        <v>1.6620779999999999</v>
      </c>
      <c r="L45" s="815">
        <v>1.6525510000000001</v>
      </c>
      <c r="M45" s="815">
        <v>1.6429940000000001</v>
      </c>
      <c r="N45" s="815">
        <v>1.634843</v>
      </c>
      <c r="O45" s="815">
        <v>1.627985</v>
      </c>
      <c r="P45" s="815">
        <v>1.621788</v>
      </c>
      <c r="Q45" s="815">
        <v>1.6142129999999999</v>
      </c>
      <c r="R45" s="815">
        <v>1.6049249999999999</v>
      </c>
      <c r="S45" s="815">
        <v>1.597467</v>
      </c>
      <c r="T45" s="815">
        <v>1.590662</v>
      </c>
      <c r="U45" s="815">
        <v>1.5847150000000001</v>
      </c>
      <c r="V45" s="815">
        <v>1.5781940000000001</v>
      </c>
      <c r="W45" s="815">
        <v>1.5717490000000001</v>
      </c>
      <c r="X45" s="815">
        <v>1.565849</v>
      </c>
      <c r="Y45" s="815">
        <v>1.5600400000000001</v>
      </c>
      <c r="Z45" s="815">
        <v>1.5551170000000001</v>
      </c>
      <c r="AA45" s="815">
        <v>1.5507249999999999</v>
      </c>
      <c r="AB45" s="815">
        <v>1.5464960000000001</v>
      </c>
      <c r="AC45" s="815">
        <v>1.5426249999999999</v>
      </c>
      <c r="AD45" s="815">
        <v>1.538635</v>
      </c>
      <c r="AE45" s="815">
        <v>1.53457</v>
      </c>
      <c r="AF45" s="814">
        <v>-3.1029999999999999E-3</v>
      </c>
      <c r="AG45" s="802"/>
    </row>
    <row r="46" spans="1:33" ht="12" customHeight="1">
      <c r="A46" s="800" t="s">
        <v>4652</v>
      </c>
      <c r="B46" s="808" t="s">
        <v>4276</v>
      </c>
      <c r="C46" s="816">
        <v>8.0719860000000008</v>
      </c>
      <c r="D46" s="816">
        <v>8.2767780000000002</v>
      </c>
      <c r="E46" s="816">
        <v>8.5352230000000002</v>
      </c>
      <c r="F46" s="816">
        <v>8.4425030000000003</v>
      </c>
      <c r="G46" s="816">
        <v>8.2883680000000002</v>
      </c>
      <c r="H46" s="816">
        <v>8.1870089999999998</v>
      </c>
      <c r="I46" s="816">
        <v>8.1156039999999994</v>
      </c>
      <c r="J46" s="816">
        <v>8.0315740000000009</v>
      </c>
      <c r="K46" s="816">
        <v>7.9554410000000004</v>
      </c>
      <c r="L46" s="816">
        <v>7.8847250000000004</v>
      </c>
      <c r="M46" s="816">
        <v>7.8118939999999997</v>
      </c>
      <c r="N46" s="816">
        <v>7.747058</v>
      </c>
      <c r="O46" s="816">
        <v>7.6850839999999998</v>
      </c>
      <c r="P46" s="816">
        <v>7.6225160000000001</v>
      </c>
      <c r="Q46" s="816">
        <v>7.5650690000000003</v>
      </c>
      <c r="R46" s="816">
        <v>7.4851340000000004</v>
      </c>
      <c r="S46" s="816">
        <v>7.3864809999999999</v>
      </c>
      <c r="T46" s="816">
        <v>7.2997569999999996</v>
      </c>
      <c r="U46" s="816">
        <v>7.2194099999999999</v>
      </c>
      <c r="V46" s="816">
        <v>7.1539089999999996</v>
      </c>
      <c r="W46" s="816">
        <v>7.103974</v>
      </c>
      <c r="X46" s="816">
        <v>7.0590729999999997</v>
      </c>
      <c r="Y46" s="816">
        <v>7.0149499999999998</v>
      </c>
      <c r="Z46" s="816">
        <v>6.970529</v>
      </c>
      <c r="AA46" s="816">
        <v>6.9226470000000004</v>
      </c>
      <c r="AB46" s="816">
        <v>6.8742900000000002</v>
      </c>
      <c r="AC46" s="816">
        <v>6.8221879999999997</v>
      </c>
      <c r="AD46" s="816">
        <v>6.7820390000000002</v>
      </c>
      <c r="AE46" s="816">
        <v>6.7389979999999996</v>
      </c>
      <c r="AF46" s="810">
        <v>-6.4250000000000002E-3</v>
      </c>
      <c r="AG46" s="802"/>
    </row>
    <row r="47" spans="1:33" ht="12" customHeight="1">
      <c r="B47" s="802"/>
      <c r="C47" s="802"/>
      <c r="D47" s="802"/>
      <c r="E47" s="802"/>
      <c r="F47" s="80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c r="AF47" s="802"/>
      <c r="AG47" s="802"/>
    </row>
    <row r="48" spans="1:33" ht="12" customHeight="1">
      <c r="B48" s="808" t="s">
        <v>4400</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row>
    <row r="49" spans="1:33" ht="12" customHeight="1">
      <c r="A49" s="800" t="s">
        <v>4653</v>
      </c>
      <c r="B49" s="808" t="s">
        <v>4279</v>
      </c>
      <c r="C49" s="809">
        <v>89.009604999999993</v>
      </c>
      <c r="D49" s="809">
        <v>88.353020000000001</v>
      </c>
      <c r="E49" s="809">
        <v>89.265617000000006</v>
      </c>
      <c r="F49" s="809">
        <v>88.276107999999994</v>
      </c>
      <c r="G49" s="809">
        <v>88.011116000000001</v>
      </c>
      <c r="H49" s="809">
        <v>86.503517000000002</v>
      </c>
      <c r="I49" s="809">
        <v>84.169189000000003</v>
      </c>
      <c r="J49" s="809">
        <v>82.272591000000006</v>
      </c>
      <c r="K49" s="809">
        <v>80.002150999999998</v>
      </c>
      <c r="L49" s="809">
        <v>78.661636000000001</v>
      </c>
      <c r="M49" s="809">
        <v>78.389579999999995</v>
      </c>
      <c r="N49" s="809">
        <v>77.43338</v>
      </c>
      <c r="O49" s="809">
        <v>76.436958000000004</v>
      </c>
      <c r="P49" s="809">
        <v>75.842017999999996</v>
      </c>
      <c r="Q49" s="809">
        <v>75.283080999999996</v>
      </c>
      <c r="R49" s="809">
        <v>75.087684999999993</v>
      </c>
      <c r="S49" s="809">
        <v>74.251639999999995</v>
      </c>
      <c r="T49" s="809">
        <v>73.183372000000006</v>
      </c>
      <c r="U49" s="809">
        <v>72.455765</v>
      </c>
      <c r="V49" s="809">
        <v>72.237335000000002</v>
      </c>
      <c r="W49" s="809">
        <v>72.197365000000005</v>
      </c>
      <c r="X49" s="809">
        <v>71.752082999999999</v>
      </c>
      <c r="Y49" s="809">
        <v>71.002312000000003</v>
      </c>
      <c r="Z49" s="809">
        <v>70.120277000000002</v>
      </c>
      <c r="AA49" s="809">
        <v>69.401702999999998</v>
      </c>
      <c r="AB49" s="809">
        <v>68.973586999999995</v>
      </c>
      <c r="AC49" s="809">
        <v>68.175719999999998</v>
      </c>
      <c r="AD49" s="809">
        <v>67.662177999999997</v>
      </c>
      <c r="AE49" s="809">
        <v>67.631782999999999</v>
      </c>
      <c r="AF49" s="810">
        <v>-9.7619999999999998E-3</v>
      </c>
      <c r="AG49" s="802"/>
    </row>
    <row r="50" spans="1:33" ht="15" customHeight="1">
      <c r="B50" s="802"/>
      <c r="C50" s="802"/>
      <c r="D50" s="802"/>
      <c r="E50" s="802"/>
      <c r="F50" s="802"/>
      <c r="G50" s="802"/>
      <c r="H50" s="802"/>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2"/>
      <c r="AF50" s="802"/>
      <c r="AG50" s="802"/>
    </row>
    <row r="51" spans="1:33" ht="15" customHeight="1">
      <c r="B51" s="808" t="s">
        <v>4402</v>
      </c>
      <c r="C51" s="802"/>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row>
    <row r="52" spans="1:33" ht="15" customHeight="1">
      <c r="B52" s="808" t="s">
        <v>4403</v>
      </c>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row>
    <row r="53" spans="1:33" ht="15" customHeight="1">
      <c r="A53" s="800" t="s">
        <v>4654</v>
      </c>
      <c r="B53" s="812" t="s">
        <v>4323</v>
      </c>
      <c r="C53" s="815">
        <v>0</v>
      </c>
      <c r="D53" s="815">
        <v>0</v>
      </c>
      <c r="E53" s="815">
        <v>0</v>
      </c>
      <c r="F53" s="815">
        <v>0</v>
      </c>
      <c r="G53" s="815">
        <v>0</v>
      </c>
      <c r="H53" s="815">
        <v>0</v>
      </c>
      <c r="I53" s="815">
        <v>0</v>
      </c>
      <c r="J53" s="815">
        <v>0</v>
      </c>
      <c r="K53" s="815">
        <v>0</v>
      </c>
      <c r="L53" s="815">
        <v>0</v>
      </c>
      <c r="M53" s="815">
        <v>0</v>
      </c>
      <c r="N53" s="815">
        <v>0</v>
      </c>
      <c r="O53" s="815">
        <v>0</v>
      </c>
      <c r="P53" s="815">
        <v>0</v>
      </c>
      <c r="Q53" s="815">
        <v>0</v>
      </c>
      <c r="R53" s="815">
        <v>0</v>
      </c>
      <c r="S53" s="815">
        <v>0</v>
      </c>
      <c r="T53" s="815">
        <v>0</v>
      </c>
      <c r="U53" s="815">
        <v>0</v>
      </c>
      <c r="V53" s="815">
        <v>0</v>
      </c>
      <c r="W53" s="815">
        <v>0</v>
      </c>
      <c r="X53" s="815">
        <v>0</v>
      </c>
      <c r="Y53" s="815">
        <v>0</v>
      </c>
      <c r="Z53" s="815">
        <v>0</v>
      </c>
      <c r="AA53" s="815">
        <v>0</v>
      </c>
      <c r="AB53" s="815">
        <v>0</v>
      </c>
      <c r="AC53" s="815">
        <v>0</v>
      </c>
      <c r="AD53" s="815">
        <v>0</v>
      </c>
      <c r="AE53" s="815">
        <v>0</v>
      </c>
      <c r="AF53" s="814" t="s">
        <v>2805</v>
      </c>
      <c r="AG53" s="802"/>
    </row>
    <row r="54" spans="1:33" ht="15" customHeight="1">
      <c r="A54" s="800" t="s">
        <v>4655</v>
      </c>
      <c r="B54" s="812" t="s">
        <v>4297</v>
      </c>
      <c r="C54" s="815">
        <v>0.33499800000000002</v>
      </c>
      <c r="D54" s="815">
        <v>0.328654</v>
      </c>
      <c r="E54" s="815">
        <v>0.321988</v>
      </c>
      <c r="F54" s="815">
        <v>0.311498</v>
      </c>
      <c r="G54" s="815">
        <v>0.314471</v>
      </c>
      <c r="H54" s="815">
        <v>0.31553999999999999</v>
      </c>
      <c r="I54" s="815">
        <v>0.31517699999999998</v>
      </c>
      <c r="J54" s="815">
        <v>0.31473200000000001</v>
      </c>
      <c r="K54" s="815">
        <v>0.31219000000000002</v>
      </c>
      <c r="L54" s="815">
        <v>0.310477</v>
      </c>
      <c r="M54" s="815">
        <v>0.311278</v>
      </c>
      <c r="N54" s="815">
        <v>0.30938700000000002</v>
      </c>
      <c r="O54" s="815">
        <v>0.30812200000000001</v>
      </c>
      <c r="P54" s="815">
        <v>0.30762200000000001</v>
      </c>
      <c r="Q54" s="815">
        <v>0.30693900000000002</v>
      </c>
      <c r="R54" s="815">
        <v>0.30719600000000002</v>
      </c>
      <c r="S54" s="815">
        <v>0.30549599999999999</v>
      </c>
      <c r="T54" s="815">
        <v>0.30284</v>
      </c>
      <c r="U54" s="815">
        <v>0.30142000000000002</v>
      </c>
      <c r="V54" s="815">
        <v>0.301313</v>
      </c>
      <c r="W54" s="815">
        <v>0.302039</v>
      </c>
      <c r="X54" s="815">
        <v>0.30185099999999998</v>
      </c>
      <c r="Y54" s="815">
        <v>0.30096499999999998</v>
      </c>
      <c r="Z54" s="815">
        <v>0.29953800000000003</v>
      </c>
      <c r="AA54" s="815">
        <v>0.29887900000000001</v>
      </c>
      <c r="AB54" s="815">
        <v>0.29877799999999999</v>
      </c>
      <c r="AC54" s="815">
        <v>0.29723899999999998</v>
      </c>
      <c r="AD54" s="815">
        <v>0.296709</v>
      </c>
      <c r="AE54" s="815">
        <v>0.29819099999999998</v>
      </c>
      <c r="AF54" s="814">
        <v>-4.1479999999999998E-3</v>
      </c>
      <c r="AG54" s="802"/>
    </row>
    <row r="55" spans="1:33" ht="15" customHeight="1">
      <c r="A55" s="800" t="s">
        <v>4656</v>
      </c>
      <c r="B55" s="812" t="s">
        <v>4326</v>
      </c>
      <c r="C55" s="815">
        <v>5.0921000000000001E-2</v>
      </c>
      <c r="D55" s="815">
        <v>4.9523999999999999E-2</v>
      </c>
      <c r="E55" s="815">
        <v>4.8092000000000003E-2</v>
      </c>
      <c r="F55" s="815">
        <v>4.6107000000000002E-2</v>
      </c>
      <c r="G55" s="815">
        <v>4.6120000000000001E-2</v>
      </c>
      <c r="H55" s="815">
        <v>4.5844999999999997E-2</v>
      </c>
      <c r="I55" s="815">
        <v>4.5354999999999999E-2</v>
      </c>
      <c r="J55" s="815">
        <v>4.4851000000000002E-2</v>
      </c>
      <c r="K55" s="815">
        <v>4.4047000000000003E-2</v>
      </c>
      <c r="L55" s="815">
        <v>4.3360999999999997E-2</v>
      </c>
      <c r="M55" s="815">
        <v>4.3022999999999999E-2</v>
      </c>
      <c r="N55" s="815">
        <v>4.231E-2</v>
      </c>
      <c r="O55" s="815">
        <v>4.1681999999999997E-2</v>
      </c>
      <c r="P55" s="815">
        <v>4.1154999999999997E-2</v>
      </c>
      <c r="Q55" s="815">
        <v>4.0600999999999998E-2</v>
      </c>
      <c r="R55" s="815">
        <v>4.0166E-2</v>
      </c>
      <c r="S55" s="815">
        <v>3.9473000000000001E-2</v>
      </c>
      <c r="T55" s="815">
        <v>3.8656999999999997E-2</v>
      </c>
      <c r="U55" s="815">
        <v>3.8001E-2</v>
      </c>
      <c r="V55" s="815">
        <v>3.7506999999999999E-2</v>
      </c>
      <c r="W55" s="815">
        <v>3.7109999999999997E-2</v>
      </c>
      <c r="X55" s="815">
        <v>3.6594000000000002E-2</v>
      </c>
      <c r="Y55" s="815">
        <v>3.5990000000000001E-2</v>
      </c>
      <c r="Z55" s="815">
        <v>3.5319999999999997E-2</v>
      </c>
      <c r="AA55" s="815">
        <v>3.4736999999999997E-2</v>
      </c>
      <c r="AB55" s="815">
        <v>3.4215000000000002E-2</v>
      </c>
      <c r="AC55" s="815">
        <v>3.3524999999999999E-2</v>
      </c>
      <c r="AD55" s="815">
        <v>3.2946999999999997E-2</v>
      </c>
      <c r="AE55" s="815">
        <v>3.2584000000000002E-2</v>
      </c>
      <c r="AF55" s="814">
        <v>-1.5819E-2</v>
      </c>
      <c r="AG55" s="802"/>
    </row>
    <row r="56" spans="1:33" ht="15" customHeight="1">
      <c r="A56" s="800" t="s">
        <v>4657</v>
      </c>
      <c r="B56" s="812" t="s">
        <v>4408</v>
      </c>
      <c r="C56" s="815">
        <v>0.97250000000000003</v>
      </c>
      <c r="D56" s="815">
        <v>0.97250000000000003</v>
      </c>
      <c r="E56" s="815">
        <v>0.97250000000000003</v>
      </c>
      <c r="F56" s="815">
        <v>0.97250000000000003</v>
      </c>
      <c r="G56" s="815">
        <v>0.97250000000000003</v>
      </c>
      <c r="H56" s="815">
        <v>0.97250000000000003</v>
      </c>
      <c r="I56" s="815">
        <v>0.97250000000000003</v>
      </c>
      <c r="J56" s="815">
        <v>0.97250000000000003</v>
      </c>
      <c r="K56" s="815">
        <v>0.97250000000000003</v>
      </c>
      <c r="L56" s="815">
        <v>0.97250000000000003</v>
      </c>
      <c r="M56" s="815">
        <v>0.97250000000000003</v>
      </c>
      <c r="N56" s="815">
        <v>0.97250000000000003</v>
      </c>
      <c r="O56" s="815">
        <v>0.97250000000000003</v>
      </c>
      <c r="P56" s="815">
        <v>0.97250000000000003</v>
      </c>
      <c r="Q56" s="815">
        <v>0.97250000000000003</v>
      </c>
      <c r="R56" s="815">
        <v>0.97250000000000003</v>
      </c>
      <c r="S56" s="815">
        <v>0.97250000000000003</v>
      </c>
      <c r="T56" s="815">
        <v>0.97250000000000003</v>
      </c>
      <c r="U56" s="815">
        <v>0.97250000000000003</v>
      </c>
      <c r="V56" s="815">
        <v>0.97250000000000003</v>
      </c>
      <c r="W56" s="815">
        <v>0.97250000000000003</v>
      </c>
      <c r="X56" s="815">
        <v>0.97250000000000003</v>
      </c>
      <c r="Y56" s="815">
        <v>0.97250000000000003</v>
      </c>
      <c r="Z56" s="815">
        <v>0.97250000000000003</v>
      </c>
      <c r="AA56" s="815">
        <v>0.97250000000000003</v>
      </c>
      <c r="AB56" s="815">
        <v>0.97250000000000003</v>
      </c>
      <c r="AC56" s="815">
        <v>0.97250000000000003</v>
      </c>
      <c r="AD56" s="815">
        <v>0.97250000000000003</v>
      </c>
      <c r="AE56" s="815">
        <v>0.97250000000000003</v>
      </c>
      <c r="AF56" s="814">
        <v>0</v>
      </c>
      <c r="AG56" s="802"/>
    </row>
    <row r="57" spans="1:33" ht="15" customHeight="1">
      <c r="A57" s="800" t="s">
        <v>4658</v>
      </c>
      <c r="B57" s="808" t="s">
        <v>4303</v>
      </c>
      <c r="C57" s="816">
        <v>1.358419</v>
      </c>
      <c r="D57" s="816">
        <v>1.350678</v>
      </c>
      <c r="E57" s="816">
        <v>1.3425800000000001</v>
      </c>
      <c r="F57" s="816">
        <v>1.3301050000000001</v>
      </c>
      <c r="G57" s="816">
        <v>1.333091</v>
      </c>
      <c r="H57" s="816">
        <v>1.333885</v>
      </c>
      <c r="I57" s="816">
        <v>1.333032</v>
      </c>
      <c r="J57" s="816">
        <v>1.3320829999999999</v>
      </c>
      <c r="K57" s="816">
        <v>1.3287370000000001</v>
      </c>
      <c r="L57" s="816">
        <v>1.3263389999999999</v>
      </c>
      <c r="M57" s="816">
        <v>1.3268009999999999</v>
      </c>
      <c r="N57" s="816">
        <v>1.324198</v>
      </c>
      <c r="O57" s="816">
        <v>1.3223039999999999</v>
      </c>
      <c r="P57" s="816">
        <v>1.321277</v>
      </c>
      <c r="Q57" s="816">
        <v>1.3200400000000001</v>
      </c>
      <c r="R57" s="816">
        <v>1.3198620000000001</v>
      </c>
      <c r="S57" s="816">
        <v>1.317469</v>
      </c>
      <c r="T57" s="816">
        <v>1.3139970000000001</v>
      </c>
      <c r="U57" s="816">
        <v>1.3119209999999999</v>
      </c>
      <c r="V57" s="816">
        <v>1.3113189999999999</v>
      </c>
      <c r="W57" s="816">
        <v>1.3116490000000001</v>
      </c>
      <c r="X57" s="816">
        <v>1.310945</v>
      </c>
      <c r="Y57" s="816">
        <v>1.309455</v>
      </c>
      <c r="Z57" s="816">
        <v>1.307358</v>
      </c>
      <c r="AA57" s="816">
        <v>1.3061160000000001</v>
      </c>
      <c r="AB57" s="816">
        <v>1.3054939999999999</v>
      </c>
      <c r="AC57" s="816">
        <v>1.3032649999999999</v>
      </c>
      <c r="AD57" s="816">
        <v>1.3021560000000001</v>
      </c>
      <c r="AE57" s="816">
        <v>1.303275</v>
      </c>
      <c r="AF57" s="810">
        <v>-1.4790000000000001E-3</v>
      </c>
      <c r="AG57" s="802"/>
    </row>
    <row r="58" spans="1:33" ht="15" customHeight="1">
      <c r="B58" s="808" t="s">
        <v>4330</v>
      </c>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2"/>
      <c r="AA58" s="802"/>
      <c r="AB58" s="802"/>
      <c r="AC58" s="802"/>
      <c r="AD58" s="802"/>
      <c r="AE58" s="802"/>
      <c r="AF58" s="802"/>
      <c r="AG58" s="802"/>
    </row>
    <row r="59" spans="1:33" ht="15" customHeight="1">
      <c r="A59" s="800" t="s">
        <v>4659</v>
      </c>
      <c r="B59" s="812" t="s">
        <v>4323</v>
      </c>
      <c r="C59" s="815">
        <v>2.3765000000000001E-2</v>
      </c>
      <c r="D59" s="815">
        <v>2.3435000000000001E-2</v>
      </c>
      <c r="E59" s="815">
        <v>2.3077E-2</v>
      </c>
      <c r="F59" s="815">
        <v>2.2440999999999999E-2</v>
      </c>
      <c r="G59" s="815">
        <v>2.2773000000000002E-2</v>
      </c>
      <c r="H59" s="815">
        <v>2.2970000000000001E-2</v>
      </c>
      <c r="I59" s="815">
        <v>2.3064000000000001E-2</v>
      </c>
      <c r="J59" s="815">
        <v>2.3153E-2</v>
      </c>
      <c r="K59" s="815">
        <v>2.3087E-2</v>
      </c>
      <c r="L59" s="815">
        <v>2.3082999999999999E-2</v>
      </c>
      <c r="M59" s="815">
        <v>2.3266999999999999E-2</v>
      </c>
      <c r="N59" s="815">
        <v>2.325E-2</v>
      </c>
      <c r="O59" s="815">
        <v>2.3281E-2</v>
      </c>
      <c r="P59" s="815">
        <v>2.3369000000000001E-2</v>
      </c>
      <c r="Q59" s="815">
        <v>2.3445000000000001E-2</v>
      </c>
      <c r="R59" s="815">
        <v>2.3594E-2</v>
      </c>
      <c r="S59" s="815">
        <v>2.3594E-2</v>
      </c>
      <c r="T59" s="815">
        <v>2.3519000000000002E-2</v>
      </c>
      <c r="U59" s="815">
        <v>2.3539999999999998E-2</v>
      </c>
      <c r="V59" s="815">
        <v>2.3664000000000001E-2</v>
      </c>
      <c r="W59" s="815">
        <v>2.3855000000000001E-2</v>
      </c>
      <c r="X59" s="815">
        <v>2.3976000000000001E-2</v>
      </c>
      <c r="Y59" s="815">
        <v>2.4042999999999998E-2</v>
      </c>
      <c r="Z59" s="815">
        <v>2.4067000000000002E-2</v>
      </c>
      <c r="AA59" s="815">
        <v>2.4153000000000001E-2</v>
      </c>
      <c r="AB59" s="815">
        <v>2.4285999999999999E-2</v>
      </c>
      <c r="AC59" s="815">
        <v>2.4302000000000001E-2</v>
      </c>
      <c r="AD59" s="815">
        <v>2.4402E-2</v>
      </c>
      <c r="AE59" s="815">
        <v>2.4669E-2</v>
      </c>
      <c r="AF59" s="814">
        <v>1.3339999999999999E-3</v>
      </c>
      <c r="AG59" s="802"/>
    </row>
    <row r="60" spans="1:33" ht="15" customHeight="1">
      <c r="A60" s="800" t="s">
        <v>4660</v>
      </c>
      <c r="B60" s="812" t="s">
        <v>4297</v>
      </c>
      <c r="C60" s="815">
        <v>2.0552220000000001</v>
      </c>
      <c r="D60" s="815">
        <v>2.0162979999999999</v>
      </c>
      <c r="E60" s="815">
        <v>1.975403</v>
      </c>
      <c r="F60" s="815">
        <v>1.9110450000000001</v>
      </c>
      <c r="G60" s="815">
        <v>1.929284</v>
      </c>
      <c r="H60" s="815">
        <v>1.935845</v>
      </c>
      <c r="I60" s="815">
        <v>1.9336180000000001</v>
      </c>
      <c r="J60" s="815">
        <v>1.93089</v>
      </c>
      <c r="K60" s="815">
        <v>1.9152929999999999</v>
      </c>
      <c r="L60" s="815">
        <v>1.904785</v>
      </c>
      <c r="M60" s="815">
        <v>1.9096979999999999</v>
      </c>
      <c r="N60" s="815">
        <v>1.898099</v>
      </c>
      <c r="O60" s="815">
        <v>1.890336</v>
      </c>
      <c r="P60" s="815">
        <v>1.887265</v>
      </c>
      <c r="Q60" s="815">
        <v>1.8830789999999999</v>
      </c>
      <c r="R60" s="815">
        <v>1.884652</v>
      </c>
      <c r="S60" s="815">
        <v>1.874225</v>
      </c>
      <c r="T60" s="815">
        <v>1.857928</v>
      </c>
      <c r="U60" s="815">
        <v>1.8492200000000001</v>
      </c>
      <c r="V60" s="815">
        <v>1.8485590000000001</v>
      </c>
      <c r="W60" s="815">
        <v>1.8530150000000001</v>
      </c>
      <c r="X60" s="815">
        <v>1.851861</v>
      </c>
      <c r="Y60" s="815">
        <v>1.846425</v>
      </c>
      <c r="Z60" s="815">
        <v>1.8376749999999999</v>
      </c>
      <c r="AA60" s="815">
        <v>1.8336269999999999</v>
      </c>
      <c r="AB60" s="815">
        <v>1.8330109999999999</v>
      </c>
      <c r="AC60" s="815">
        <v>1.8235699999999999</v>
      </c>
      <c r="AD60" s="815">
        <v>1.820319</v>
      </c>
      <c r="AE60" s="815">
        <v>1.829407</v>
      </c>
      <c r="AF60" s="814">
        <v>-4.1479999999999998E-3</v>
      </c>
      <c r="AG60" s="802"/>
    </row>
    <row r="61" spans="1:33" ht="15" customHeight="1">
      <c r="A61" s="800" t="s">
        <v>4661</v>
      </c>
      <c r="B61" s="812" t="s">
        <v>4326</v>
      </c>
      <c r="C61" s="815">
        <v>0.19276399999999999</v>
      </c>
      <c r="D61" s="815">
        <v>0.187477</v>
      </c>
      <c r="E61" s="815">
        <v>0.18205499999999999</v>
      </c>
      <c r="F61" s="815">
        <v>0.17454</v>
      </c>
      <c r="G61" s="815">
        <v>0.174591</v>
      </c>
      <c r="H61" s="815">
        <v>0.17354800000000001</v>
      </c>
      <c r="I61" s="815">
        <v>0.17169499999999999</v>
      </c>
      <c r="J61" s="815">
        <v>0.16978499999999999</v>
      </c>
      <c r="K61" s="815">
        <v>0.166742</v>
      </c>
      <c r="L61" s="815">
        <v>0.16414699999999999</v>
      </c>
      <c r="M61" s="815">
        <v>0.16286700000000001</v>
      </c>
      <c r="N61" s="815">
        <v>0.160167</v>
      </c>
      <c r="O61" s="815">
        <v>0.15779000000000001</v>
      </c>
      <c r="P61" s="815">
        <v>0.15579599999999999</v>
      </c>
      <c r="Q61" s="815">
        <v>0.153697</v>
      </c>
      <c r="R61" s="815">
        <v>0.15205099999999999</v>
      </c>
      <c r="S61" s="815">
        <v>0.149426</v>
      </c>
      <c r="T61" s="815">
        <v>0.146339</v>
      </c>
      <c r="U61" s="815">
        <v>0.14385300000000001</v>
      </c>
      <c r="V61" s="815">
        <v>0.141983</v>
      </c>
      <c r="W61" s="815">
        <v>0.14048099999999999</v>
      </c>
      <c r="X61" s="815">
        <v>0.13852900000000001</v>
      </c>
      <c r="Y61" s="815">
        <v>0.136243</v>
      </c>
      <c r="Z61" s="815">
        <v>0.13370499999999999</v>
      </c>
      <c r="AA61" s="815">
        <v>0.13150000000000001</v>
      </c>
      <c r="AB61" s="815">
        <v>0.129524</v>
      </c>
      <c r="AC61" s="815">
        <v>0.126912</v>
      </c>
      <c r="AD61" s="815">
        <v>0.124722</v>
      </c>
      <c r="AE61" s="815">
        <v>0.123347</v>
      </c>
      <c r="AF61" s="814">
        <v>-1.5819E-2</v>
      </c>
      <c r="AG61" s="802"/>
    </row>
    <row r="62" spans="1:33" ht="15" customHeight="1">
      <c r="A62" s="800" t="s">
        <v>4662</v>
      </c>
      <c r="B62" s="812" t="s">
        <v>4408</v>
      </c>
      <c r="C62" s="815">
        <v>4.0401579999999999</v>
      </c>
      <c r="D62" s="815">
        <v>4.0401579999999999</v>
      </c>
      <c r="E62" s="815">
        <v>4.0401579999999999</v>
      </c>
      <c r="F62" s="815">
        <v>4.0401579999999999</v>
      </c>
      <c r="G62" s="815">
        <v>4.0401579999999999</v>
      </c>
      <c r="H62" s="815">
        <v>4.0401579999999999</v>
      </c>
      <c r="I62" s="815">
        <v>4.0401579999999999</v>
      </c>
      <c r="J62" s="815">
        <v>4.0401579999999999</v>
      </c>
      <c r="K62" s="815">
        <v>4.0401579999999999</v>
      </c>
      <c r="L62" s="815">
        <v>4.0401579999999999</v>
      </c>
      <c r="M62" s="815">
        <v>4.0401579999999999</v>
      </c>
      <c r="N62" s="815">
        <v>4.0401579999999999</v>
      </c>
      <c r="O62" s="815">
        <v>4.0401579999999999</v>
      </c>
      <c r="P62" s="815">
        <v>4.0401579999999999</v>
      </c>
      <c r="Q62" s="815">
        <v>4.0401579999999999</v>
      </c>
      <c r="R62" s="815">
        <v>4.0401579999999999</v>
      </c>
      <c r="S62" s="815">
        <v>4.0401579999999999</v>
      </c>
      <c r="T62" s="815">
        <v>4.0401579999999999</v>
      </c>
      <c r="U62" s="815">
        <v>4.0401579999999999</v>
      </c>
      <c r="V62" s="815">
        <v>4.0401579999999999</v>
      </c>
      <c r="W62" s="815">
        <v>4.0401579999999999</v>
      </c>
      <c r="X62" s="815">
        <v>4.0401579999999999</v>
      </c>
      <c r="Y62" s="815">
        <v>4.0401579999999999</v>
      </c>
      <c r="Z62" s="815">
        <v>4.0401579999999999</v>
      </c>
      <c r="AA62" s="815">
        <v>4.0401579999999999</v>
      </c>
      <c r="AB62" s="815">
        <v>4.0401579999999999</v>
      </c>
      <c r="AC62" s="815">
        <v>4.0401579999999999</v>
      </c>
      <c r="AD62" s="815">
        <v>4.0401579999999999</v>
      </c>
      <c r="AE62" s="815">
        <v>4.0401579999999999</v>
      </c>
      <c r="AF62" s="814">
        <v>0</v>
      </c>
      <c r="AG62" s="802"/>
    </row>
    <row r="63" spans="1:33" ht="15" customHeight="1">
      <c r="A63" s="800" t="s">
        <v>4663</v>
      </c>
      <c r="B63" s="808" t="s">
        <v>4303</v>
      </c>
      <c r="C63" s="816">
        <v>6.3119100000000001</v>
      </c>
      <c r="D63" s="816">
        <v>6.2673680000000003</v>
      </c>
      <c r="E63" s="816">
        <v>6.2206939999999999</v>
      </c>
      <c r="F63" s="816">
        <v>6.1481839999999996</v>
      </c>
      <c r="G63" s="816">
        <v>6.1668060000000002</v>
      </c>
      <c r="H63" s="816">
        <v>6.1725199999999996</v>
      </c>
      <c r="I63" s="816">
        <v>6.1685350000000003</v>
      </c>
      <c r="J63" s="816">
        <v>6.1639860000000004</v>
      </c>
      <c r="K63" s="816">
        <v>6.1452799999999996</v>
      </c>
      <c r="L63" s="816">
        <v>6.1321729999999999</v>
      </c>
      <c r="M63" s="816">
        <v>6.1359890000000004</v>
      </c>
      <c r="N63" s="816">
        <v>6.1216749999999998</v>
      </c>
      <c r="O63" s="816">
        <v>6.1115649999999997</v>
      </c>
      <c r="P63" s="816">
        <v>6.1065880000000003</v>
      </c>
      <c r="Q63" s="816">
        <v>6.1003790000000002</v>
      </c>
      <c r="R63" s="816">
        <v>6.1004560000000003</v>
      </c>
      <c r="S63" s="816">
        <v>6.0874030000000001</v>
      </c>
      <c r="T63" s="816">
        <v>6.0679439999999998</v>
      </c>
      <c r="U63" s="816">
        <v>6.0567710000000003</v>
      </c>
      <c r="V63" s="816">
        <v>6.0543639999999996</v>
      </c>
      <c r="W63" s="816">
        <v>6.0575089999999996</v>
      </c>
      <c r="X63" s="816">
        <v>6.0545249999999999</v>
      </c>
      <c r="Y63" s="816">
        <v>6.046869</v>
      </c>
      <c r="Z63" s="816">
        <v>6.0356050000000003</v>
      </c>
      <c r="AA63" s="816">
        <v>6.0294379999999999</v>
      </c>
      <c r="AB63" s="816">
        <v>6.0269779999999997</v>
      </c>
      <c r="AC63" s="816">
        <v>6.0149429999999997</v>
      </c>
      <c r="AD63" s="816">
        <v>6.009601</v>
      </c>
      <c r="AE63" s="816">
        <v>6.0175809999999998</v>
      </c>
      <c r="AF63" s="810">
        <v>-1.704E-3</v>
      </c>
      <c r="AG63" s="802"/>
    </row>
    <row r="64" spans="1:33" ht="15" customHeight="1">
      <c r="B64" s="808" t="s">
        <v>4336</v>
      </c>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row>
    <row r="65" spans="1:34" ht="15" customHeight="1">
      <c r="A65" s="800" t="s">
        <v>4664</v>
      </c>
      <c r="B65" s="812" t="s">
        <v>4338</v>
      </c>
      <c r="C65" s="815">
        <v>1.90412</v>
      </c>
      <c r="D65" s="815">
        <v>1.893268</v>
      </c>
      <c r="E65" s="815">
        <v>1.881899</v>
      </c>
      <c r="F65" s="815">
        <v>1.8642529999999999</v>
      </c>
      <c r="G65" s="815">
        <v>1.8687510000000001</v>
      </c>
      <c r="H65" s="815">
        <v>1.870112</v>
      </c>
      <c r="I65" s="815">
        <v>1.869116</v>
      </c>
      <c r="J65" s="815">
        <v>1.8679829999999999</v>
      </c>
      <c r="K65" s="815">
        <v>1.8634109999999999</v>
      </c>
      <c r="L65" s="815">
        <v>1.860198</v>
      </c>
      <c r="M65" s="815">
        <v>1.861097</v>
      </c>
      <c r="N65" s="815">
        <v>1.857591</v>
      </c>
      <c r="O65" s="815">
        <v>1.8551059999999999</v>
      </c>
      <c r="P65" s="815">
        <v>1.853869</v>
      </c>
      <c r="Q65" s="815">
        <v>1.8523309999999999</v>
      </c>
      <c r="R65" s="815">
        <v>1.85232</v>
      </c>
      <c r="S65" s="815">
        <v>1.8491200000000001</v>
      </c>
      <c r="T65" s="815">
        <v>1.844365</v>
      </c>
      <c r="U65" s="815">
        <v>1.8416220000000001</v>
      </c>
      <c r="V65" s="815">
        <v>1.8410070000000001</v>
      </c>
      <c r="W65" s="815">
        <v>1.841739</v>
      </c>
      <c r="X65" s="815">
        <v>1.840983</v>
      </c>
      <c r="Y65" s="815">
        <v>1.8390930000000001</v>
      </c>
      <c r="Z65" s="815">
        <v>1.8363259999999999</v>
      </c>
      <c r="AA65" s="815">
        <v>1.834797</v>
      </c>
      <c r="AB65" s="815">
        <v>1.834168</v>
      </c>
      <c r="AC65" s="815">
        <v>1.8312139999999999</v>
      </c>
      <c r="AD65" s="815">
        <v>1.8298840000000001</v>
      </c>
      <c r="AE65" s="815">
        <v>1.8317859999999999</v>
      </c>
      <c r="AF65" s="814">
        <v>-1.382E-3</v>
      </c>
      <c r="AG65" s="802"/>
    </row>
    <row r="66" spans="1:34" ht="15" customHeight="1" thickBot="1">
      <c r="A66" s="800" t="s">
        <v>4665</v>
      </c>
      <c r="B66" s="812" t="s">
        <v>4340</v>
      </c>
      <c r="C66" s="815">
        <v>4.4077900000000003</v>
      </c>
      <c r="D66" s="815">
        <v>4.3740990000000002</v>
      </c>
      <c r="E66" s="815">
        <v>4.3387950000000002</v>
      </c>
      <c r="F66" s="815">
        <v>4.2839309999999999</v>
      </c>
      <c r="G66" s="815">
        <v>4.2980549999999997</v>
      </c>
      <c r="H66" s="815">
        <v>4.3024079999999998</v>
      </c>
      <c r="I66" s="815">
        <v>4.2994190000000003</v>
      </c>
      <c r="J66" s="815">
        <v>4.2960029999999998</v>
      </c>
      <c r="K66" s="815">
        <v>4.2818690000000004</v>
      </c>
      <c r="L66" s="815">
        <v>4.2719750000000003</v>
      </c>
      <c r="M66" s="815">
        <v>4.2748920000000004</v>
      </c>
      <c r="N66" s="815">
        <v>4.2640840000000004</v>
      </c>
      <c r="O66" s="815">
        <v>4.2564580000000003</v>
      </c>
      <c r="P66" s="815">
        <v>4.2527189999999999</v>
      </c>
      <c r="Q66" s="815">
        <v>4.2480479999999998</v>
      </c>
      <c r="R66" s="815">
        <v>4.2481359999999997</v>
      </c>
      <c r="S66" s="815">
        <v>4.238283</v>
      </c>
      <c r="T66" s="815">
        <v>4.2235779999999998</v>
      </c>
      <c r="U66" s="815">
        <v>4.2151480000000001</v>
      </c>
      <c r="V66" s="815">
        <v>4.2133570000000002</v>
      </c>
      <c r="W66" s="815">
        <v>4.21577</v>
      </c>
      <c r="X66" s="815">
        <v>4.2135420000000003</v>
      </c>
      <c r="Y66" s="815">
        <v>4.2077770000000001</v>
      </c>
      <c r="Z66" s="815">
        <v>4.1992789999999998</v>
      </c>
      <c r="AA66" s="815">
        <v>4.1946409999999998</v>
      </c>
      <c r="AB66" s="815">
        <v>4.1928109999999998</v>
      </c>
      <c r="AC66" s="815">
        <v>4.1837289999999996</v>
      </c>
      <c r="AD66" s="815">
        <v>4.1797170000000001</v>
      </c>
      <c r="AE66" s="815">
        <v>4.1857949999999997</v>
      </c>
      <c r="AF66" s="814">
        <v>-1.8439999999999999E-3</v>
      </c>
      <c r="AG66" s="802"/>
    </row>
    <row r="67" spans="1:34" ht="12" customHeight="1">
      <c r="B67" s="1258" t="s">
        <v>4417</v>
      </c>
      <c r="C67" s="1259"/>
      <c r="D67" s="1259"/>
      <c r="E67" s="1259"/>
      <c r="F67" s="1259"/>
      <c r="G67" s="1259"/>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817"/>
    </row>
    <row r="68" spans="1:34" ht="15" customHeight="1">
      <c r="B68" s="802" t="s">
        <v>4418</v>
      </c>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row>
    <row r="69" spans="1:34" ht="15" customHeight="1">
      <c r="B69" s="802" t="s">
        <v>4419</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1:34" ht="15" customHeight="1">
      <c r="B70" s="802" t="s">
        <v>4420</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1:34" ht="15" customHeight="1">
      <c r="B71" s="802" t="s">
        <v>4421</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1:34" ht="15" customHeight="1">
      <c r="B72" s="802" t="s">
        <v>4422</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1:34" ht="15" customHeight="1">
      <c r="B73" s="802" t="s">
        <v>4423</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1:34" ht="15" customHeight="1">
      <c r="B74" s="802" t="s">
        <v>4363</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1:34" ht="12" customHeight="1">
      <c r="B75" s="802" t="s">
        <v>4364</v>
      </c>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1:34" ht="15" customHeight="1">
      <c r="B76" s="802" t="s">
        <v>4365</v>
      </c>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1:34" ht="15" customHeight="1">
      <c r="B77" s="802" t="s">
        <v>4366</v>
      </c>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1:34" ht="15" customHeight="1">
      <c r="B78" s="802" t="s">
        <v>4424</v>
      </c>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4" ht="15" customHeight="1">
      <c r="B79" s="802" t="s">
        <v>4425</v>
      </c>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1:34" ht="15" customHeight="1">
      <c r="B80" s="802"/>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2:33" ht="15" customHeight="1">
      <c r="B81" s="802"/>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2" customHeight="1">
      <c r="B83" s="802"/>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row>
    <row r="85" spans="2:33" ht="15" customHeight="1">
      <c r="B85" s="802"/>
      <c r="C85" s="802"/>
      <c r="D85" s="802"/>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2"/>
      <c r="AE85" s="802"/>
      <c r="AF85" s="802"/>
      <c r="AG85" s="802"/>
    </row>
    <row r="86" spans="2:33" ht="15" customHeight="1">
      <c r="B86" s="802"/>
      <c r="C86" s="802"/>
      <c r="D86" s="802"/>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row>
    <row r="87" spans="2:33" ht="15" customHeight="1">
      <c r="B87" s="802"/>
      <c r="C87" s="802"/>
      <c r="D87" s="802"/>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2"/>
      <c r="AE87" s="802"/>
      <c r="AF87" s="802"/>
      <c r="AG87" s="802"/>
    </row>
    <row r="88" spans="2:33" ht="15" customHeight="1">
      <c r="B88" s="802"/>
      <c r="C88" s="802"/>
      <c r="D88" s="802"/>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2"/>
      <c r="AE88" s="802"/>
      <c r="AF88" s="802"/>
      <c r="AG88" s="802"/>
    </row>
    <row r="89" spans="2:33" ht="12" customHeight="1">
      <c r="B89" s="802"/>
      <c r="C89" s="802"/>
      <c r="D89" s="802"/>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row>
    <row r="90" spans="2:33" ht="15" customHeight="1">
      <c r="B90" s="802"/>
      <c r="C90" s="802"/>
      <c r="D90" s="802"/>
      <c r="E90" s="802"/>
      <c r="F90" s="802"/>
      <c r="G90" s="802"/>
      <c r="H90" s="802"/>
      <c r="I90" s="802"/>
      <c r="J90" s="802"/>
      <c r="K90" s="802"/>
      <c r="L90" s="802"/>
      <c r="M90" s="802"/>
      <c r="N90" s="802"/>
      <c r="O90" s="802"/>
      <c r="P90" s="802"/>
      <c r="Q90" s="802"/>
      <c r="R90" s="802"/>
      <c r="S90" s="802"/>
      <c r="T90" s="802"/>
      <c r="U90" s="802"/>
      <c r="V90" s="802"/>
      <c r="W90" s="802"/>
      <c r="X90" s="802"/>
      <c r="Y90" s="802"/>
      <c r="Z90" s="802"/>
      <c r="AA90" s="802"/>
      <c r="AB90" s="802"/>
      <c r="AC90" s="802"/>
      <c r="AD90" s="802"/>
      <c r="AE90" s="802"/>
      <c r="AF90" s="802"/>
      <c r="AG90" s="802"/>
    </row>
    <row r="91" spans="2:33" ht="15" customHeight="1">
      <c r="B91" s="802"/>
      <c r="C91" s="802"/>
      <c r="D91" s="802"/>
      <c r="E91" s="802"/>
      <c r="F91" s="802"/>
      <c r="G91" s="802"/>
      <c r="H91" s="802"/>
      <c r="I91" s="802"/>
      <c r="J91" s="802"/>
      <c r="K91" s="802"/>
      <c r="L91" s="802"/>
      <c r="M91" s="802"/>
      <c r="N91" s="802"/>
      <c r="O91" s="802"/>
      <c r="P91" s="802"/>
      <c r="Q91" s="802"/>
      <c r="R91" s="802"/>
      <c r="S91" s="802"/>
      <c r="T91" s="802"/>
      <c r="U91" s="802"/>
      <c r="V91" s="802"/>
      <c r="W91" s="802"/>
      <c r="X91" s="802"/>
      <c r="Y91" s="802"/>
      <c r="Z91" s="802"/>
      <c r="AA91" s="802"/>
      <c r="AB91" s="802"/>
      <c r="AC91" s="802"/>
      <c r="AD91" s="802"/>
      <c r="AE91" s="802"/>
      <c r="AF91" s="802"/>
      <c r="AG91" s="802"/>
    </row>
    <row r="92" spans="2:33" ht="15" customHeight="1">
      <c r="B92" s="802"/>
      <c r="C92" s="802"/>
      <c r="D92" s="802"/>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2"/>
      <c r="AE92" s="802"/>
      <c r="AF92" s="802"/>
      <c r="AG92" s="802"/>
    </row>
    <row r="93" spans="2:33" ht="15" customHeight="1">
      <c r="B93" s="802"/>
      <c r="C93" s="802"/>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row>
    <row r="94" spans="2:33" ht="12" customHeight="1">
      <c r="B94" s="802"/>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2:33" ht="15" customHeight="1">
      <c r="B95" s="802"/>
      <c r="C95" s="802"/>
      <c r="D95" s="802"/>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2"/>
      <c r="AE95" s="802"/>
      <c r="AF95" s="802"/>
      <c r="AG95" s="802"/>
    </row>
    <row r="96" spans="2:33" ht="15" customHeight="1">
      <c r="B96" s="802"/>
      <c r="C96" s="802"/>
      <c r="D96" s="802"/>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2"/>
      <c r="AE96" s="802"/>
      <c r="AF96" s="802"/>
      <c r="AG96" s="802"/>
    </row>
    <row r="97" spans="2:33" ht="15" customHeight="1">
      <c r="B97" s="802"/>
      <c r="C97" s="802"/>
      <c r="D97" s="802"/>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2"/>
      <c r="AE97" s="802"/>
      <c r="AF97" s="802"/>
      <c r="AG97" s="802"/>
    </row>
    <row r="98" spans="2:33" ht="12" customHeight="1">
      <c r="B98" s="802"/>
      <c r="C98" s="802"/>
      <c r="D98" s="802"/>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2"/>
      <c r="AE98" s="802"/>
      <c r="AF98" s="802"/>
      <c r="AG98" s="802"/>
    </row>
    <row r="99" spans="2:33" ht="15" customHeight="1">
      <c r="B99" s="802"/>
      <c r="C99" s="802"/>
      <c r="D99" s="802"/>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2"/>
      <c r="AE99" s="802"/>
      <c r="AF99" s="802"/>
      <c r="AG99" s="802"/>
    </row>
    <row r="100" spans="2:33" ht="15" customHeight="1">
      <c r="B100" s="802"/>
      <c r="C100" s="802"/>
      <c r="D100" s="802"/>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2"/>
      <c r="AE100" s="802"/>
      <c r="AF100" s="802"/>
      <c r="AG100" s="802"/>
    </row>
    <row r="101" spans="2:33" ht="15" customHeight="1">
      <c r="B101" s="802"/>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2:33" ht="15" customHeight="1">
      <c r="B102" s="802"/>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2:33" ht="15" customHeight="1">
      <c r="B103" s="802"/>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2:33" ht="15" customHeight="1">
      <c r="B104" s="802"/>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2:33" ht="15" customHeight="1">
      <c r="B105" s="802"/>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2:33" ht="12" customHeight="1">
      <c r="B106" s="802"/>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2:33" ht="15" customHeight="1">
      <c r="B107" s="802"/>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2:33" ht="15" customHeight="1">
      <c r="B108" s="802"/>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802"/>
      <c r="AG108" s="802"/>
    </row>
    <row r="109" spans="2:33" ht="15" customHeight="1">
      <c r="B109" s="802"/>
      <c r="C109" s="802"/>
      <c r="D109" s="802"/>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2"/>
      <c r="AE109" s="802"/>
      <c r="AF109" s="802" t="s">
        <v>1505</v>
      </c>
      <c r="AG109" s="802"/>
    </row>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67:AG67"/>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19C4-C89B-44B1-83DF-43D0AF446F4A}">
  <dimension ref="A1:AG1727"/>
  <sheetViews>
    <sheetView workbookViewId="0">
      <pane xSplit="2" ySplit="1" topLeftCell="C2" activePane="bottomRight" state="frozen"/>
      <selection pane="bottomRight" activeCell="C34" sqref="C34"/>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10" spans="1:33" ht="12" customHeight="1">
      <c r="A10" s="800" t="s">
        <v>4666</v>
      </c>
      <c r="B10" s="801" t="s">
        <v>4667</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2"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2"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2"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2"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2" customHeight="1">
      <c r="A15" s="800" t="s">
        <v>4668</v>
      </c>
      <c r="B15" s="808" t="s">
        <v>4242</v>
      </c>
      <c r="C15" s="809">
        <v>39.489657999999999</v>
      </c>
      <c r="D15" s="809">
        <v>39.006199000000002</v>
      </c>
      <c r="E15" s="809">
        <v>39.241928000000001</v>
      </c>
      <c r="F15" s="809">
        <v>40.383499</v>
      </c>
      <c r="G15" s="809">
        <v>41.714424000000001</v>
      </c>
      <c r="H15" s="809">
        <v>42.604626000000003</v>
      </c>
      <c r="I15" s="809">
        <v>43.222197999999999</v>
      </c>
      <c r="J15" s="809">
        <v>43.558788</v>
      </c>
      <c r="K15" s="809">
        <v>43.667107000000001</v>
      </c>
      <c r="L15" s="809">
        <v>43.847262999999998</v>
      </c>
      <c r="M15" s="809">
        <v>44.095450999999997</v>
      </c>
      <c r="N15" s="809">
        <v>44.485649000000002</v>
      </c>
      <c r="O15" s="809">
        <v>45.056721000000003</v>
      </c>
      <c r="P15" s="809">
        <v>45.648440999999998</v>
      </c>
      <c r="Q15" s="809">
        <v>46.072398999999997</v>
      </c>
      <c r="R15" s="809">
        <v>46.591617999999997</v>
      </c>
      <c r="S15" s="809">
        <v>47.106681999999999</v>
      </c>
      <c r="T15" s="809">
        <v>47.672859000000003</v>
      </c>
      <c r="U15" s="809">
        <v>48.027209999999997</v>
      </c>
      <c r="V15" s="809">
        <v>48.631011999999998</v>
      </c>
      <c r="W15" s="809">
        <v>49.402282999999997</v>
      </c>
      <c r="X15" s="809">
        <v>49.964900999999998</v>
      </c>
      <c r="Y15" s="809">
        <v>50.329197000000001</v>
      </c>
      <c r="Z15" s="809">
        <v>50.972748000000003</v>
      </c>
      <c r="AA15" s="809">
        <v>51.743003999999999</v>
      </c>
      <c r="AB15" s="809">
        <v>52.397064</v>
      </c>
      <c r="AC15" s="809">
        <v>52.615349000000002</v>
      </c>
      <c r="AD15" s="809">
        <v>53.016792000000002</v>
      </c>
      <c r="AE15" s="809">
        <v>53.815617000000003</v>
      </c>
      <c r="AF15" s="810">
        <v>1.1115999999999999E-2</v>
      </c>
      <c r="AG15" s="802"/>
    </row>
    <row r="16" spans="1:33" ht="12"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2" customHeight="1">
      <c r="B17" s="808" t="s">
        <v>4373</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2" customHeight="1">
      <c r="A18" s="800" t="s">
        <v>4669</v>
      </c>
      <c r="B18" s="812" t="s">
        <v>4248</v>
      </c>
      <c r="C18" s="813">
        <v>0</v>
      </c>
      <c r="D18" s="813">
        <v>0</v>
      </c>
      <c r="E18" s="813">
        <v>0</v>
      </c>
      <c r="F18" s="813">
        <v>0</v>
      </c>
      <c r="G18" s="813">
        <v>0</v>
      </c>
      <c r="H18" s="813">
        <v>0</v>
      </c>
      <c r="I18" s="813">
        <v>0</v>
      </c>
      <c r="J18" s="813">
        <v>0</v>
      </c>
      <c r="K18" s="813">
        <v>0</v>
      </c>
      <c r="L18" s="813">
        <v>0</v>
      </c>
      <c r="M18" s="813">
        <v>0</v>
      </c>
      <c r="N18" s="813">
        <v>0</v>
      </c>
      <c r="O18" s="813">
        <v>0</v>
      </c>
      <c r="P18" s="813">
        <v>0</v>
      </c>
      <c r="Q18" s="813">
        <v>0</v>
      </c>
      <c r="R18" s="813">
        <v>0</v>
      </c>
      <c r="S18" s="813">
        <v>0</v>
      </c>
      <c r="T18" s="813">
        <v>0</v>
      </c>
      <c r="U18" s="813">
        <v>0</v>
      </c>
      <c r="V18" s="813">
        <v>0</v>
      </c>
      <c r="W18" s="813">
        <v>0</v>
      </c>
      <c r="X18" s="813">
        <v>0</v>
      </c>
      <c r="Y18" s="813">
        <v>0</v>
      </c>
      <c r="Z18" s="813">
        <v>0</v>
      </c>
      <c r="AA18" s="813">
        <v>0</v>
      </c>
      <c r="AB18" s="813">
        <v>0</v>
      </c>
      <c r="AC18" s="813">
        <v>0</v>
      </c>
      <c r="AD18" s="813">
        <v>0</v>
      </c>
      <c r="AE18" s="813">
        <v>0</v>
      </c>
      <c r="AF18" s="814" t="s">
        <v>2805</v>
      </c>
      <c r="AG18" s="802"/>
    </row>
    <row r="19" spans="1:33" ht="12" customHeight="1">
      <c r="A19" s="800" t="s">
        <v>4670</v>
      </c>
      <c r="B19" s="812" t="s">
        <v>4250</v>
      </c>
      <c r="C19" s="813">
        <v>0.844607</v>
      </c>
      <c r="D19" s="813">
        <v>0.87811399999999995</v>
      </c>
      <c r="E19" s="813">
        <v>0.85793699999999995</v>
      </c>
      <c r="F19" s="813">
        <v>0.88064100000000001</v>
      </c>
      <c r="G19" s="813">
        <v>0.92472900000000002</v>
      </c>
      <c r="H19" s="813">
        <v>0.96953500000000004</v>
      </c>
      <c r="I19" s="813">
        <v>0.994147</v>
      </c>
      <c r="J19" s="813">
        <v>0.96633000000000002</v>
      </c>
      <c r="K19" s="813">
        <v>0.93726799999999999</v>
      </c>
      <c r="L19" s="813">
        <v>0.91695099999999996</v>
      </c>
      <c r="M19" s="813">
        <v>0.90508999999999995</v>
      </c>
      <c r="N19" s="813">
        <v>0.89628300000000005</v>
      </c>
      <c r="O19" s="813">
        <v>0.89532699999999998</v>
      </c>
      <c r="P19" s="813">
        <v>0.89224800000000004</v>
      </c>
      <c r="Q19" s="813">
        <v>0.88761999999999996</v>
      </c>
      <c r="R19" s="813">
        <v>0.87859500000000001</v>
      </c>
      <c r="S19" s="813">
        <v>0.87012</v>
      </c>
      <c r="T19" s="813">
        <v>0.86165700000000001</v>
      </c>
      <c r="U19" s="813">
        <v>0.85232799999999997</v>
      </c>
      <c r="V19" s="813">
        <v>0.84276200000000001</v>
      </c>
      <c r="W19" s="813">
        <v>0.83708300000000002</v>
      </c>
      <c r="X19" s="813">
        <v>0.82527799999999996</v>
      </c>
      <c r="Y19" s="813">
        <v>0.81376000000000004</v>
      </c>
      <c r="Z19" s="813">
        <v>0.80326200000000003</v>
      </c>
      <c r="AA19" s="813">
        <v>0.79258399999999996</v>
      </c>
      <c r="AB19" s="813">
        <v>0.785636</v>
      </c>
      <c r="AC19" s="813">
        <v>0.77475300000000002</v>
      </c>
      <c r="AD19" s="813">
        <v>0.76238899999999998</v>
      </c>
      <c r="AE19" s="813">
        <v>0.75414499999999995</v>
      </c>
      <c r="AF19" s="814">
        <v>-4.0379999999999999E-3</v>
      </c>
      <c r="AG19" s="802"/>
    </row>
    <row r="20" spans="1:33" ht="12" customHeight="1">
      <c r="A20" s="800" t="s">
        <v>4671</v>
      </c>
      <c r="B20" s="812" t="s">
        <v>4377</v>
      </c>
      <c r="C20" s="813">
        <v>0</v>
      </c>
      <c r="D20" s="813">
        <v>0</v>
      </c>
      <c r="E20" s="813">
        <v>0</v>
      </c>
      <c r="F20" s="813">
        <v>0</v>
      </c>
      <c r="G20" s="813">
        <v>0</v>
      </c>
      <c r="H20" s="813">
        <v>0</v>
      </c>
      <c r="I20" s="813">
        <v>0</v>
      </c>
      <c r="J20" s="813">
        <v>0</v>
      </c>
      <c r="K20" s="813">
        <v>0</v>
      </c>
      <c r="L20" s="813">
        <v>0</v>
      </c>
      <c r="M20" s="813">
        <v>0</v>
      </c>
      <c r="N20" s="813">
        <v>0</v>
      </c>
      <c r="O20" s="813">
        <v>0</v>
      </c>
      <c r="P20" s="813">
        <v>0</v>
      </c>
      <c r="Q20" s="813">
        <v>0</v>
      </c>
      <c r="R20" s="813">
        <v>0</v>
      </c>
      <c r="S20" s="813">
        <v>0</v>
      </c>
      <c r="T20" s="813">
        <v>0</v>
      </c>
      <c r="U20" s="813">
        <v>0</v>
      </c>
      <c r="V20" s="813">
        <v>0</v>
      </c>
      <c r="W20" s="813">
        <v>0</v>
      </c>
      <c r="X20" s="813">
        <v>0</v>
      </c>
      <c r="Y20" s="813">
        <v>0</v>
      </c>
      <c r="Z20" s="813">
        <v>0</v>
      </c>
      <c r="AA20" s="813">
        <v>0</v>
      </c>
      <c r="AB20" s="813">
        <v>0</v>
      </c>
      <c r="AC20" s="813">
        <v>0</v>
      </c>
      <c r="AD20" s="813">
        <v>0</v>
      </c>
      <c r="AE20" s="813">
        <v>0</v>
      </c>
      <c r="AF20" s="814" t="s">
        <v>2805</v>
      </c>
      <c r="AG20" s="802"/>
    </row>
    <row r="21" spans="1:33" ht="12" customHeight="1">
      <c r="A21" s="800" t="s">
        <v>4672</v>
      </c>
      <c r="B21" s="812" t="s">
        <v>4254</v>
      </c>
      <c r="C21" s="813">
        <v>0</v>
      </c>
      <c r="D21" s="813">
        <v>0</v>
      </c>
      <c r="E21" s="813">
        <v>0</v>
      </c>
      <c r="F21" s="813">
        <v>0</v>
      </c>
      <c r="G21" s="813">
        <v>0</v>
      </c>
      <c r="H21" s="813">
        <v>0</v>
      </c>
      <c r="I21" s="813">
        <v>0</v>
      </c>
      <c r="J21" s="813">
        <v>0</v>
      </c>
      <c r="K21" s="813">
        <v>0</v>
      </c>
      <c r="L21" s="813">
        <v>0</v>
      </c>
      <c r="M21" s="813">
        <v>0</v>
      </c>
      <c r="N21" s="813">
        <v>0</v>
      </c>
      <c r="O21" s="813">
        <v>0</v>
      </c>
      <c r="P21" s="813">
        <v>0</v>
      </c>
      <c r="Q21" s="813">
        <v>0</v>
      </c>
      <c r="R21" s="813">
        <v>0</v>
      </c>
      <c r="S21" s="813">
        <v>0</v>
      </c>
      <c r="T21" s="813">
        <v>0</v>
      </c>
      <c r="U21" s="813">
        <v>0</v>
      </c>
      <c r="V21" s="813">
        <v>0</v>
      </c>
      <c r="W21" s="813">
        <v>0</v>
      </c>
      <c r="X21" s="813">
        <v>0</v>
      </c>
      <c r="Y21" s="813">
        <v>0</v>
      </c>
      <c r="Z21" s="813">
        <v>0</v>
      </c>
      <c r="AA21" s="813">
        <v>0</v>
      </c>
      <c r="AB21" s="813">
        <v>0</v>
      </c>
      <c r="AC21" s="813">
        <v>0</v>
      </c>
      <c r="AD21" s="813">
        <v>0</v>
      </c>
      <c r="AE21" s="813">
        <v>0</v>
      </c>
      <c r="AF21" s="814" t="s">
        <v>2805</v>
      </c>
      <c r="AG21" s="802"/>
    </row>
    <row r="22" spans="1:33" ht="12" customHeight="1">
      <c r="A22" s="800" t="s">
        <v>4673</v>
      </c>
      <c r="B22" s="812" t="s">
        <v>4379</v>
      </c>
      <c r="C22" s="813">
        <v>0</v>
      </c>
      <c r="D22" s="813">
        <v>0</v>
      </c>
      <c r="E22" s="813">
        <v>0</v>
      </c>
      <c r="F22" s="813">
        <v>0</v>
      </c>
      <c r="G22" s="813">
        <v>0</v>
      </c>
      <c r="H22" s="813">
        <v>0</v>
      </c>
      <c r="I22" s="813">
        <v>0</v>
      </c>
      <c r="J22" s="813">
        <v>0</v>
      </c>
      <c r="K22" s="813">
        <v>0</v>
      </c>
      <c r="L22" s="813">
        <v>0</v>
      </c>
      <c r="M22" s="813">
        <v>0</v>
      </c>
      <c r="N22" s="813">
        <v>0</v>
      </c>
      <c r="O22" s="813">
        <v>0</v>
      </c>
      <c r="P22" s="813">
        <v>0</v>
      </c>
      <c r="Q22" s="813">
        <v>0</v>
      </c>
      <c r="R22" s="813">
        <v>0</v>
      </c>
      <c r="S22" s="813">
        <v>0</v>
      </c>
      <c r="T22" s="813">
        <v>0</v>
      </c>
      <c r="U22" s="813">
        <v>0</v>
      </c>
      <c r="V22" s="813">
        <v>0</v>
      </c>
      <c r="W22" s="813">
        <v>0</v>
      </c>
      <c r="X22" s="813">
        <v>0</v>
      </c>
      <c r="Y22" s="813">
        <v>0</v>
      </c>
      <c r="Z22" s="813">
        <v>0</v>
      </c>
      <c r="AA22" s="813">
        <v>0</v>
      </c>
      <c r="AB22" s="813">
        <v>0</v>
      </c>
      <c r="AC22" s="813">
        <v>0</v>
      </c>
      <c r="AD22" s="813">
        <v>0</v>
      </c>
      <c r="AE22" s="813">
        <v>0</v>
      </c>
      <c r="AF22" s="814" t="s">
        <v>2805</v>
      </c>
      <c r="AG22" s="802"/>
    </row>
    <row r="23" spans="1:33" ht="12" customHeight="1">
      <c r="A23" s="800" t="s">
        <v>4674</v>
      </c>
      <c r="B23" s="812" t="s">
        <v>4260</v>
      </c>
      <c r="C23" s="813">
        <v>0.844607</v>
      </c>
      <c r="D23" s="813">
        <v>0.87811399999999995</v>
      </c>
      <c r="E23" s="813">
        <v>0.85793699999999995</v>
      </c>
      <c r="F23" s="813">
        <v>0.88064100000000001</v>
      </c>
      <c r="G23" s="813">
        <v>0.92472900000000002</v>
      </c>
      <c r="H23" s="813">
        <v>0.96953500000000004</v>
      </c>
      <c r="I23" s="813">
        <v>0.994147</v>
      </c>
      <c r="J23" s="813">
        <v>0.96633000000000002</v>
      </c>
      <c r="K23" s="813">
        <v>0.93726799999999999</v>
      </c>
      <c r="L23" s="813">
        <v>0.91695099999999996</v>
      </c>
      <c r="M23" s="813">
        <v>0.90508999999999995</v>
      </c>
      <c r="N23" s="813">
        <v>0.89628300000000005</v>
      </c>
      <c r="O23" s="813">
        <v>0.89532699999999998</v>
      </c>
      <c r="P23" s="813">
        <v>0.89224800000000004</v>
      </c>
      <c r="Q23" s="813">
        <v>0.88761999999999996</v>
      </c>
      <c r="R23" s="813">
        <v>0.87859500000000001</v>
      </c>
      <c r="S23" s="813">
        <v>0.87012</v>
      </c>
      <c r="T23" s="813">
        <v>0.86165700000000001</v>
      </c>
      <c r="U23" s="813">
        <v>0.85232799999999997</v>
      </c>
      <c r="V23" s="813">
        <v>0.84276200000000001</v>
      </c>
      <c r="W23" s="813">
        <v>0.83708300000000002</v>
      </c>
      <c r="X23" s="813">
        <v>0.82527799999999996</v>
      </c>
      <c r="Y23" s="813">
        <v>0.81376000000000004</v>
      </c>
      <c r="Z23" s="813">
        <v>0.80326200000000003</v>
      </c>
      <c r="AA23" s="813">
        <v>0.79258399999999996</v>
      </c>
      <c r="AB23" s="813">
        <v>0.785636</v>
      </c>
      <c r="AC23" s="813">
        <v>0.77475300000000002</v>
      </c>
      <c r="AD23" s="813">
        <v>0.76238899999999998</v>
      </c>
      <c r="AE23" s="813">
        <v>0.75414499999999995</v>
      </c>
      <c r="AF23" s="814">
        <v>-4.0379999999999999E-3</v>
      </c>
      <c r="AG23" s="802"/>
    </row>
    <row r="24" spans="1:33" ht="12" customHeight="1">
      <c r="A24" s="800" t="s">
        <v>4675</v>
      </c>
      <c r="B24" s="812" t="s">
        <v>4262</v>
      </c>
      <c r="C24" s="813">
        <v>101.656868</v>
      </c>
      <c r="D24" s="813">
        <v>97.401505</v>
      </c>
      <c r="E24" s="813">
        <v>97.488502999999994</v>
      </c>
      <c r="F24" s="813">
        <v>99.136559000000005</v>
      </c>
      <c r="G24" s="813">
        <v>101.982185</v>
      </c>
      <c r="H24" s="813">
        <v>103.701103</v>
      </c>
      <c r="I24" s="813">
        <v>104.283432</v>
      </c>
      <c r="J24" s="813">
        <v>103.770844</v>
      </c>
      <c r="K24" s="813">
        <v>102.752792</v>
      </c>
      <c r="L24" s="813">
        <v>102.057953</v>
      </c>
      <c r="M24" s="813">
        <v>101.69673899999999</v>
      </c>
      <c r="N24" s="813">
        <v>101.596664</v>
      </c>
      <c r="O24" s="813">
        <v>102.16707599999999</v>
      </c>
      <c r="P24" s="813">
        <v>102.917175</v>
      </c>
      <c r="Q24" s="813">
        <v>103.40831799999999</v>
      </c>
      <c r="R24" s="813">
        <v>104.044571</v>
      </c>
      <c r="S24" s="813">
        <v>104.591675</v>
      </c>
      <c r="T24" s="813">
        <v>105.349152</v>
      </c>
      <c r="U24" s="813">
        <v>105.138779</v>
      </c>
      <c r="V24" s="813">
        <v>105.85839799999999</v>
      </c>
      <c r="W24" s="813">
        <v>107.06729900000001</v>
      </c>
      <c r="X24" s="813">
        <v>107.884056</v>
      </c>
      <c r="Y24" s="813">
        <v>108.27295700000001</v>
      </c>
      <c r="Z24" s="813">
        <v>109.181854</v>
      </c>
      <c r="AA24" s="813">
        <v>110.041275</v>
      </c>
      <c r="AB24" s="813">
        <v>111.05939499999999</v>
      </c>
      <c r="AC24" s="813">
        <v>111.21835299999999</v>
      </c>
      <c r="AD24" s="813">
        <v>111.708618</v>
      </c>
      <c r="AE24" s="813">
        <v>112.934563</v>
      </c>
      <c r="AF24" s="814">
        <v>3.764E-3</v>
      </c>
      <c r="AG24" s="802"/>
    </row>
    <row r="25" spans="1:33" ht="12" customHeight="1">
      <c r="A25" s="800" t="s">
        <v>4676</v>
      </c>
      <c r="B25" s="812" t="s">
        <v>4383</v>
      </c>
      <c r="C25" s="813">
        <v>0</v>
      </c>
      <c r="D25" s="813">
        <v>0</v>
      </c>
      <c r="E25" s="813">
        <v>0</v>
      </c>
      <c r="F25" s="813">
        <v>0</v>
      </c>
      <c r="G25" s="813">
        <v>0</v>
      </c>
      <c r="H25" s="813">
        <v>0</v>
      </c>
      <c r="I25" s="813">
        <v>0</v>
      </c>
      <c r="J25" s="813">
        <v>0</v>
      </c>
      <c r="K25" s="813">
        <v>0</v>
      </c>
      <c r="L25" s="813">
        <v>0</v>
      </c>
      <c r="M25" s="813">
        <v>0</v>
      </c>
      <c r="N25" s="813">
        <v>0</v>
      </c>
      <c r="O25" s="813">
        <v>0</v>
      </c>
      <c r="P25" s="813">
        <v>0</v>
      </c>
      <c r="Q25" s="813">
        <v>0</v>
      </c>
      <c r="R25" s="813">
        <v>0</v>
      </c>
      <c r="S25" s="813">
        <v>0</v>
      </c>
      <c r="T25" s="813">
        <v>0</v>
      </c>
      <c r="U25" s="813">
        <v>0</v>
      </c>
      <c r="V25" s="813">
        <v>0</v>
      </c>
      <c r="W25" s="813">
        <v>0</v>
      </c>
      <c r="X25" s="813">
        <v>0</v>
      </c>
      <c r="Y25" s="813">
        <v>0</v>
      </c>
      <c r="Z25" s="813">
        <v>0</v>
      </c>
      <c r="AA25" s="813">
        <v>0</v>
      </c>
      <c r="AB25" s="813">
        <v>0</v>
      </c>
      <c r="AC25" s="813">
        <v>0</v>
      </c>
      <c r="AD25" s="813">
        <v>0</v>
      </c>
      <c r="AE25" s="813">
        <v>0</v>
      </c>
      <c r="AF25" s="814" t="s">
        <v>2805</v>
      </c>
      <c r="AG25" s="802"/>
    </row>
    <row r="26" spans="1:33" ht="15" customHeight="1">
      <c r="A26" s="800" t="s">
        <v>4677</v>
      </c>
      <c r="B26" s="812" t="s">
        <v>4385</v>
      </c>
      <c r="C26" s="813">
        <v>0</v>
      </c>
      <c r="D26" s="813">
        <v>0</v>
      </c>
      <c r="E26" s="813">
        <v>0</v>
      </c>
      <c r="F26" s="813">
        <v>0</v>
      </c>
      <c r="G26" s="813">
        <v>0</v>
      </c>
      <c r="H26" s="813">
        <v>0</v>
      </c>
      <c r="I26" s="813">
        <v>0</v>
      </c>
      <c r="J26" s="813">
        <v>0</v>
      </c>
      <c r="K26" s="813">
        <v>0</v>
      </c>
      <c r="L26" s="813">
        <v>0</v>
      </c>
      <c r="M26" s="813">
        <v>0</v>
      </c>
      <c r="N26" s="813">
        <v>0</v>
      </c>
      <c r="O26" s="813">
        <v>0</v>
      </c>
      <c r="P26" s="813">
        <v>0</v>
      </c>
      <c r="Q26" s="813">
        <v>0</v>
      </c>
      <c r="R26" s="813">
        <v>0</v>
      </c>
      <c r="S26" s="813">
        <v>0</v>
      </c>
      <c r="T26" s="813">
        <v>0</v>
      </c>
      <c r="U26" s="813">
        <v>0</v>
      </c>
      <c r="V26" s="813">
        <v>0</v>
      </c>
      <c r="W26" s="813">
        <v>0</v>
      </c>
      <c r="X26" s="813">
        <v>0</v>
      </c>
      <c r="Y26" s="813">
        <v>0</v>
      </c>
      <c r="Z26" s="813">
        <v>0</v>
      </c>
      <c r="AA26" s="813">
        <v>0</v>
      </c>
      <c r="AB26" s="813">
        <v>0</v>
      </c>
      <c r="AC26" s="813">
        <v>0</v>
      </c>
      <c r="AD26" s="813">
        <v>0</v>
      </c>
      <c r="AE26" s="813">
        <v>0</v>
      </c>
      <c r="AF26" s="814" t="s">
        <v>2805</v>
      </c>
      <c r="AG26" s="802"/>
    </row>
    <row r="27" spans="1:33" ht="15" customHeight="1">
      <c r="A27" s="800" t="s">
        <v>4678</v>
      </c>
      <c r="B27" s="812" t="s">
        <v>4274</v>
      </c>
      <c r="C27" s="813">
        <v>87.397773999999998</v>
      </c>
      <c r="D27" s="813">
        <v>88.451187000000004</v>
      </c>
      <c r="E27" s="813">
        <v>88.599723999999995</v>
      </c>
      <c r="F27" s="813">
        <v>89.533660999999995</v>
      </c>
      <c r="G27" s="813">
        <v>92.008895999999993</v>
      </c>
      <c r="H27" s="813">
        <v>93.555046000000004</v>
      </c>
      <c r="I27" s="813">
        <v>93.816162000000006</v>
      </c>
      <c r="J27" s="813">
        <v>92.939621000000002</v>
      </c>
      <c r="K27" s="813">
        <v>91.347365999999994</v>
      </c>
      <c r="L27" s="813">
        <v>90.051224000000005</v>
      </c>
      <c r="M27" s="813">
        <v>89.453711999999996</v>
      </c>
      <c r="N27" s="813">
        <v>88.994124999999997</v>
      </c>
      <c r="O27" s="813">
        <v>89.248947000000001</v>
      </c>
      <c r="P27" s="813">
        <v>89.677170000000004</v>
      </c>
      <c r="Q27" s="813">
        <v>89.862510999999998</v>
      </c>
      <c r="R27" s="813">
        <v>90.304496999999998</v>
      </c>
      <c r="S27" s="813">
        <v>90.940002000000007</v>
      </c>
      <c r="T27" s="813">
        <v>91.104918999999995</v>
      </c>
      <c r="U27" s="813">
        <v>88.433784000000003</v>
      </c>
      <c r="V27" s="813">
        <v>88.454398999999995</v>
      </c>
      <c r="W27" s="813">
        <v>89.269524000000004</v>
      </c>
      <c r="X27" s="813">
        <v>89.732078999999999</v>
      </c>
      <c r="Y27" s="813">
        <v>89.848877000000002</v>
      </c>
      <c r="Z27" s="813">
        <v>90.499343999999994</v>
      </c>
      <c r="AA27" s="813">
        <v>91.421088999999995</v>
      </c>
      <c r="AB27" s="813">
        <v>92.135063000000002</v>
      </c>
      <c r="AC27" s="813">
        <v>92.111435</v>
      </c>
      <c r="AD27" s="813">
        <v>92.408423999999997</v>
      </c>
      <c r="AE27" s="813">
        <v>93.367935000000003</v>
      </c>
      <c r="AF27" s="814">
        <v>2.3630000000000001E-3</v>
      </c>
      <c r="AG27" s="802"/>
    </row>
    <row r="28" spans="1:33" ht="15" customHeight="1">
      <c r="A28" s="800" t="s">
        <v>4679</v>
      </c>
      <c r="B28" s="808" t="s">
        <v>4276</v>
      </c>
      <c r="C28" s="811">
        <v>189.89924600000001</v>
      </c>
      <c r="D28" s="811">
        <v>186.73080400000001</v>
      </c>
      <c r="E28" s="811">
        <v>186.946167</v>
      </c>
      <c r="F28" s="811">
        <v>189.55085800000001</v>
      </c>
      <c r="G28" s="811">
        <v>194.91580200000001</v>
      </c>
      <c r="H28" s="811">
        <v>198.22567699999999</v>
      </c>
      <c r="I28" s="811">
        <v>199.09375</v>
      </c>
      <c r="J28" s="811">
        <v>197.67678799999999</v>
      </c>
      <c r="K28" s="811">
        <v>195.03743</v>
      </c>
      <c r="L28" s="811">
        <v>193.02612300000001</v>
      </c>
      <c r="M28" s="811">
        <v>192.055542</v>
      </c>
      <c r="N28" s="811">
        <v>191.487076</v>
      </c>
      <c r="O28" s="811">
        <v>192.31134</v>
      </c>
      <c r="P28" s="811">
        <v>193.486603</v>
      </c>
      <c r="Q28" s="811">
        <v>194.158447</v>
      </c>
      <c r="R28" s="811">
        <v>195.22766100000001</v>
      </c>
      <c r="S28" s="811">
        <v>196.401794</v>
      </c>
      <c r="T28" s="811">
        <v>197.31573499999999</v>
      </c>
      <c r="U28" s="811">
        <v>194.42489599999999</v>
      </c>
      <c r="V28" s="811">
        <v>195.155563</v>
      </c>
      <c r="W28" s="811">
        <v>197.17390399999999</v>
      </c>
      <c r="X28" s="811">
        <v>198.441406</v>
      </c>
      <c r="Y28" s="811">
        <v>198.93559300000001</v>
      </c>
      <c r="Z28" s="811">
        <v>200.484467</v>
      </c>
      <c r="AA28" s="811">
        <v>202.25494399999999</v>
      </c>
      <c r="AB28" s="811">
        <v>203.98010300000001</v>
      </c>
      <c r="AC28" s="811">
        <v>204.10453799999999</v>
      </c>
      <c r="AD28" s="811">
        <v>204.879425</v>
      </c>
      <c r="AE28" s="811">
        <v>207.05664100000001</v>
      </c>
      <c r="AF28" s="810">
        <v>3.094E-3</v>
      </c>
      <c r="AG28" s="802"/>
    </row>
    <row r="29" spans="1:33" ht="15" customHeight="1">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row>
    <row r="30" spans="1:33" ht="15" customHeight="1">
      <c r="B30" s="808" t="s">
        <v>4388</v>
      </c>
      <c r="C30" s="802"/>
      <c r="D30" s="802"/>
      <c r="E30" s="802"/>
      <c r="F30" s="802"/>
      <c r="G30" s="802"/>
      <c r="H30" s="802"/>
      <c r="I30" s="802"/>
      <c r="J30" s="802"/>
      <c r="K30" s="802"/>
      <c r="L30" s="802"/>
      <c r="M30" s="802"/>
      <c r="N30" s="802"/>
      <c r="O30" s="802"/>
      <c r="P30" s="802"/>
      <c r="Q30" s="802"/>
      <c r="R30" s="802"/>
      <c r="S30" s="802"/>
      <c r="T30" s="802"/>
      <c r="U30" s="802"/>
      <c r="V30" s="802"/>
      <c r="W30" s="802"/>
      <c r="X30" s="802"/>
      <c r="Y30" s="802"/>
      <c r="Z30" s="802"/>
      <c r="AA30" s="802"/>
      <c r="AB30" s="802"/>
      <c r="AC30" s="802"/>
      <c r="AD30" s="802"/>
      <c r="AE30" s="802"/>
      <c r="AF30" s="802"/>
      <c r="AG30" s="802"/>
    </row>
    <row r="31" spans="1:33" ht="15" customHeight="1">
      <c r="B31" s="808" t="s">
        <v>4389</v>
      </c>
      <c r="C31" s="802"/>
      <c r="D31" s="802"/>
      <c r="E31" s="802"/>
      <c r="F31" s="802"/>
      <c r="G31" s="802"/>
      <c r="H31" s="802"/>
      <c r="I31" s="802"/>
      <c r="J31" s="802"/>
      <c r="K31" s="802"/>
      <c r="L31" s="802"/>
      <c r="M31" s="802"/>
      <c r="N31" s="802"/>
      <c r="O31" s="802"/>
      <c r="P31" s="802"/>
      <c r="Q31" s="802"/>
      <c r="R31" s="802"/>
      <c r="S31" s="802"/>
      <c r="T31" s="802"/>
      <c r="U31" s="802"/>
      <c r="V31" s="802"/>
      <c r="W31" s="802"/>
      <c r="X31" s="802"/>
      <c r="Y31" s="802"/>
      <c r="Z31" s="802"/>
      <c r="AA31" s="802"/>
      <c r="AB31" s="802"/>
      <c r="AC31" s="802"/>
      <c r="AD31" s="802"/>
      <c r="AE31" s="802"/>
      <c r="AF31" s="802"/>
      <c r="AG31" s="802"/>
    </row>
    <row r="32" spans="1:33" ht="12" customHeight="1">
      <c r="A32" s="800" t="s">
        <v>4680</v>
      </c>
      <c r="B32" s="812" t="s">
        <v>4248</v>
      </c>
      <c r="C32" s="815">
        <v>0</v>
      </c>
      <c r="D32" s="815">
        <v>0</v>
      </c>
      <c r="E32" s="815">
        <v>0</v>
      </c>
      <c r="F32" s="815">
        <v>0</v>
      </c>
      <c r="G32" s="815">
        <v>0</v>
      </c>
      <c r="H32" s="815">
        <v>0</v>
      </c>
      <c r="I32" s="815">
        <v>0</v>
      </c>
      <c r="J32" s="815">
        <v>0</v>
      </c>
      <c r="K32" s="815">
        <v>0</v>
      </c>
      <c r="L32" s="815">
        <v>0</v>
      </c>
      <c r="M32" s="815">
        <v>0</v>
      </c>
      <c r="N32" s="815">
        <v>0</v>
      </c>
      <c r="O32" s="815">
        <v>0</v>
      </c>
      <c r="P32" s="815">
        <v>0</v>
      </c>
      <c r="Q32" s="815">
        <v>0</v>
      </c>
      <c r="R32" s="815">
        <v>0</v>
      </c>
      <c r="S32" s="815">
        <v>0</v>
      </c>
      <c r="T32" s="815">
        <v>0</v>
      </c>
      <c r="U32" s="815">
        <v>0</v>
      </c>
      <c r="V32" s="815">
        <v>0</v>
      </c>
      <c r="W32" s="815">
        <v>0</v>
      </c>
      <c r="X32" s="815">
        <v>0</v>
      </c>
      <c r="Y32" s="815">
        <v>0</v>
      </c>
      <c r="Z32" s="815">
        <v>0</v>
      </c>
      <c r="AA32" s="815">
        <v>0</v>
      </c>
      <c r="AB32" s="815">
        <v>0</v>
      </c>
      <c r="AC32" s="815">
        <v>0</v>
      </c>
      <c r="AD32" s="815">
        <v>0</v>
      </c>
      <c r="AE32" s="815">
        <v>0</v>
      </c>
      <c r="AF32" s="814" t="s">
        <v>2805</v>
      </c>
      <c r="AG32" s="802"/>
    </row>
    <row r="33" spans="1:33" ht="15" customHeight="1">
      <c r="A33" s="800" t="s">
        <v>4681</v>
      </c>
      <c r="B33" s="812" t="s">
        <v>4250</v>
      </c>
      <c r="C33" s="815">
        <v>2.1388000000000001E-2</v>
      </c>
      <c r="D33" s="815">
        <v>2.2512000000000001E-2</v>
      </c>
      <c r="E33" s="815">
        <v>2.1863E-2</v>
      </c>
      <c r="F33" s="815">
        <v>2.1807E-2</v>
      </c>
      <c r="G33" s="815">
        <v>2.2168E-2</v>
      </c>
      <c r="H33" s="815">
        <v>2.2756999999999999E-2</v>
      </c>
      <c r="I33" s="815">
        <v>2.3001000000000001E-2</v>
      </c>
      <c r="J33" s="815">
        <v>2.2183999999999999E-2</v>
      </c>
      <c r="K33" s="815">
        <v>2.1464E-2</v>
      </c>
      <c r="L33" s="815">
        <v>2.0912E-2</v>
      </c>
      <c r="M33" s="815">
        <v>2.0525999999999999E-2</v>
      </c>
      <c r="N33" s="815">
        <v>2.0147999999999999E-2</v>
      </c>
      <c r="O33" s="815">
        <v>1.9871E-2</v>
      </c>
      <c r="P33" s="815">
        <v>1.9546000000000001E-2</v>
      </c>
      <c r="Q33" s="815">
        <v>1.9265999999999998E-2</v>
      </c>
      <c r="R33" s="815">
        <v>1.8856999999999999E-2</v>
      </c>
      <c r="S33" s="815">
        <v>1.8471000000000001E-2</v>
      </c>
      <c r="T33" s="815">
        <v>1.8074E-2</v>
      </c>
      <c r="U33" s="815">
        <v>1.7746999999999999E-2</v>
      </c>
      <c r="V33" s="815">
        <v>1.7330000000000002E-2</v>
      </c>
      <c r="W33" s="815">
        <v>1.6944000000000001E-2</v>
      </c>
      <c r="X33" s="815">
        <v>1.6517E-2</v>
      </c>
      <c r="Y33" s="815">
        <v>1.6168999999999999E-2</v>
      </c>
      <c r="Z33" s="815">
        <v>1.5758999999999999E-2</v>
      </c>
      <c r="AA33" s="815">
        <v>1.5318E-2</v>
      </c>
      <c r="AB33" s="815">
        <v>1.4994E-2</v>
      </c>
      <c r="AC33" s="815">
        <v>1.4725E-2</v>
      </c>
      <c r="AD33" s="815">
        <v>1.438E-2</v>
      </c>
      <c r="AE33" s="815">
        <v>1.4012999999999999E-2</v>
      </c>
      <c r="AF33" s="814">
        <v>-1.4987E-2</v>
      </c>
      <c r="AG33" s="802"/>
    </row>
    <row r="34" spans="1:33" ht="15" customHeight="1">
      <c r="A34" s="800" t="s">
        <v>4682</v>
      </c>
      <c r="B34" s="812" t="s">
        <v>4377</v>
      </c>
      <c r="C34" s="815">
        <v>0</v>
      </c>
      <c r="D34" s="815">
        <v>0</v>
      </c>
      <c r="E34" s="815">
        <v>0</v>
      </c>
      <c r="F34" s="815">
        <v>0</v>
      </c>
      <c r="G34" s="815">
        <v>0</v>
      </c>
      <c r="H34" s="815">
        <v>0</v>
      </c>
      <c r="I34" s="815">
        <v>0</v>
      </c>
      <c r="J34" s="815">
        <v>0</v>
      </c>
      <c r="K34" s="815">
        <v>0</v>
      </c>
      <c r="L34" s="815">
        <v>0</v>
      </c>
      <c r="M34" s="815">
        <v>0</v>
      </c>
      <c r="N34" s="815">
        <v>0</v>
      </c>
      <c r="O34" s="815">
        <v>0</v>
      </c>
      <c r="P34" s="815">
        <v>0</v>
      </c>
      <c r="Q34" s="815">
        <v>0</v>
      </c>
      <c r="R34" s="815">
        <v>0</v>
      </c>
      <c r="S34" s="815">
        <v>0</v>
      </c>
      <c r="T34" s="815">
        <v>0</v>
      </c>
      <c r="U34" s="815">
        <v>0</v>
      </c>
      <c r="V34" s="815">
        <v>0</v>
      </c>
      <c r="W34" s="815">
        <v>0</v>
      </c>
      <c r="X34" s="815">
        <v>0</v>
      </c>
      <c r="Y34" s="815">
        <v>0</v>
      </c>
      <c r="Z34" s="815">
        <v>0</v>
      </c>
      <c r="AA34" s="815">
        <v>0</v>
      </c>
      <c r="AB34" s="815">
        <v>0</v>
      </c>
      <c r="AC34" s="815">
        <v>0</v>
      </c>
      <c r="AD34" s="815">
        <v>0</v>
      </c>
      <c r="AE34" s="815">
        <v>0</v>
      </c>
      <c r="AF34" s="814" t="s">
        <v>2805</v>
      </c>
      <c r="AG34" s="802"/>
    </row>
    <row r="35" spans="1:33" ht="15" customHeight="1">
      <c r="A35" s="800" t="s">
        <v>4683</v>
      </c>
      <c r="B35" s="812" t="s">
        <v>4254</v>
      </c>
      <c r="C35" s="815">
        <v>0</v>
      </c>
      <c r="D35" s="815">
        <v>0</v>
      </c>
      <c r="E35" s="815">
        <v>0</v>
      </c>
      <c r="F35" s="815">
        <v>0</v>
      </c>
      <c r="G35" s="815">
        <v>0</v>
      </c>
      <c r="H35" s="815">
        <v>0</v>
      </c>
      <c r="I35" s="815">
        <v>0</v>
      </c>
      <c r="J35" s="815">
        <v>0</v>
      </c>
      <c r="K35" s="815">
        <v>0</v>
      </c>
      <c r="L35" s="815">
        <v>0</v>
      </c>
      <c r="M35" s="815">
        <v>0</v>
      </c>
      <c r="N35" s="815">
        <v>0</v>
      </c>
      <c r="O35" s="815">
        <v>0</v>
      </c>
      <c r="P35" s="815">
        <v>0</v>
      </c>
      <c r="Q35" s="815">
        <v>0</v>
      </c>
      <c r="R35" s="815">
        <v>0</v>
      </c>
      <c r="S35" s="815">
        <v>0</v>
      </c>
      <c r="T35" s="815">
        <v>0</v>
      </c>
      <c r="U35" s="815">
        <v>0</v>
      </c>
      <c r="V35" s="815">
        <v>0</v>
      </c>
      <c r="W35" s="815">
        <v>0</v>
      </c>
      <c r="X35" s="815">
        <v>0</v>
      </c>
      <c r="Y35" s="815">
        <v>0</v>
      </c>
      <c r="Z35" s="815">
        <v>0</v>
      </c>
      <c r="AA35" s="815">
        <v>0</v>
      </c>
      <c r="AB35" s="815">
        <v>0</v>
      </c>
      <c r="AC35" s="815">
        <v>0</v>
      </c>
      <c r="AD35" s="815">
        <v>0</v>
      </c>
      <c r="AE35" s="815">
        <v>0</v>
      </c>
      <c r="AF35" s="814" t="s">
        <v>2805</v>
      </c>
      <c r="AG35" s="802"/>
    </row>
    <row r="36" spans="1:33" ht="15" customHeight="1">
      <c r="A36" s="800" t="s">
        <v>4684</v>
      </c>
      <c r="B36" s="812" t="s">
        <v>4379</v>
      </c>
      <c r="C36" s="815">
        <v>0</v>
      </c>
      <c r="D36" s="815">
        <v>0</v>
      </c>
      <c r="E36" s="815">
        <v>0</v>
      </c>
      <c r="F36" s="815">
        <v>0</v>
      </c>
      <c r="G36" s="815">
        <v>0</v>
      </c>
      <c r="H36" s="815">
        <v>0</v>
      </c>
      <c r="I36" s="815">
        <v>0</v>
      </c>
      <c r="J36" s="815">
        <v>0</v>
      </c>
      <c r="K36" s="815">
        <v>0</v>
      </c>
      <c r="L36" s="815">
        <v>0</v>
      </c>
      <c r="M36" s="815">
        <v>0</v>
      </c>
      <c r="N36" s="815">
        <v>0</v>
      </c>
      <c r="O36" s="815">
        <v>0</v>
      </c>
      <c r="P36" s="815">
        <v>0</v>
      </c>
      <c r="Q36" s="815">
        <v>0</v>
      </c>
      <c r="R36" s="815">
        <v>0</v>
      </c>
      <c r="S36" s="815">
        <v>0</v>
      </c>
      <c r="T36" s="815">
        <v>0</v>
      </c>
      <c r="U36" s="815">
        <v>0</v>
      </c>
      <c r="V36" s="815">
        <v>0</v>
      </c>
      <c r="W36" s="815">
        <v>0</v>
      </c>
      <c r="X36" s="815">
        <v>0</v>
      </c>
      <c r="Y36" s="815">
        <v>0</v>
      </c>
      <c r="Z36" s="815">
        <v>0</v>
      </c>
      <c r="AA36" s="815">
        <v>0</v>
      </c>
      <c r="AB36" s="815">
        <v>0</v>
      </c>
      <c r="AC36" s="815">
        <v>0</v>
      </c>
      <c r="AD36" s="815">
        <v>0</v>
      </c>
      <c r="AE36" s="815">
        <v>0</v>
      </c>
      <c r="AF36" s="814" t="s">
        <v>2805</v>
      </c>
      <c r="AG36" s="802"/>
    </row>
    <row r="37" spans="1:33" ht="15" customHeight="1">
      <c r="A37" s="800" t="s">
        <v>4685</v>
      </c>
      <c r="B37" s="812" t="s">
        <v>4260</v>
      </c>
      <c r="C37" s="815">
        <v>2.1388000000000001E-2</v>
      </c>
      <c r="D37" s="815">
        <v>2.2512000000000001E-2</v>
      </c>
      <c r="E37" s="815">
        <v>2.1863E-2</v>
      </c>
      <c r="F37" s="815">
        <v>2.1807E-2</v>
      </c>
      <c r="G37" s="815">
        <v>2.2168E-2</v>
      </c>
      <c r="H37" s="815">
        <v>2.2756999999999999E-2</v>
      </c>
      <c r="I37" s="815">
        <v>2.3001000000000001E-2</v>
      </c>
      <c r="J37" s="815">
        <v>2.2183999999999999E-2</v>
      </c>
      <c r="K37" s="815">
        <v>2.1464E-2</v>
      </c>
      <c r="L37" s="815">
        <v>2.0912E-2</v>
      </c>
      <c r="M37" s="815">
        <v>2.0525999999999999E-2</v>
      </c>
      <c r="N37" s="815">
        <v>2.0147999999999999E-2</v>
      </c>
      <c r="O37" s="815">
        <v>1.9871E-2</v>
      </c>
      <c r="P37" s="815">
        <v>1.9546000000000001E-2</v>
      </c>
      <c r="Q37" s="815">
        <v>1.9265999999999998E-2</v>
      </c>
      <c r="R37" s="815">
        <v>1.8856999999999999E-2</v>
      </c>
      <c r="S37" s="815">
        <v>1.8471000000000001E-2</v>
      </c>
      <c r="T37" s="815">
        <v>1.8074E-2</v>
      </c>
      <c r="U37" s="815">
        <v>1.7746999999999999E-2</v>
      </c>
      <c r="V37" s="815">
        <v>1.7330000000000002E-2</v>
      </c>
      <c r="W37" s="815">
        <v>1.6944000000000001E-2</v>
      </c>
      <c r="X37" s="815">
        <v>1.6517E-2</v>
      </c>
      <c r="Y37" s="815">
        <v>1.6168999999999999E-2</v>
      </c>
      <c r="Z37" s="815">
        <v>1.5758999999999999E-2</v>
      </c>
      <c r="AA37" s="815">
        <v>1.5318E-2</v>
      </c>
      <c r="AB37" s="815">
        <v>1.4994E-2</v>
      </c>
      <c r="AC37" s="815">
        <v>1.4725E-2</v>
      </c>
      <c r="AD37" s="815">
        <v>1.438E-2</v>
      </c>
      <c r="AE37" s="815">
        <v>1.4012999999999999E-2</v>
      </c>
      <c r="AF37" s="814">
        <v>-1.4987E-2</v>
      </c>
      <c r="AG37" s="802"/>
    </row>
    <row r="38" spans="1:33" ht="15" customHeight="1">
      <c r="A38" s="800" t="s">
        <v>4686</v>
      </c>
      <c r="B38" s="812" t="s">
        <v>4262</v>
      </c>
      <c r="C38" s="815">
        <v>2.574265</v>
      </c>
      <c r="D38" s="815">
        <v>2.497077</v>
      </c>
      <c r="E38" s="815">
        <v>2.4842939999999998</v>
      </c>
      <c r="F38" s="815">
        <v>2.4548779999999999</v>
      </c>
      <c r="G38" s="815">
        <v>2.4447700000000001</v>
      </c>
      <c r="H38" s="815">
        <v>2.434034</v>
      </c>
      <c r="I38" s="815">
        <v>2.4127290000000001</v>
      </c>
      <c r="J38" s="815">
        <v>2.382317</v>
      </c>
      <c r="K38" s="815">
        <v>2.353094</v>
      </c>
      <c r="L38" s="815">
        <v>2.3275790000000001</v>
      </c>
      <c r="M38" s="815">
        <v>2.3062860000000001</v>
      </c>
      <c r="N38" s="815">
        <v>2.2838080000000001</v>
      </c>
      <c r="O38" s="815">
        <v>2.2675209999999999</v>
      </c>
      <c r="P38" s="815">
        <v>2.2545600000000001</v>
      </c>
      <c r="Q38" s="815">
        <v>2.2444739999999999</v>
      </c>
      <c r="R38" s="815">
        <v>2.2331180000000002</v>
      </c>
      <c r="S38" s="815">
        <v>2.2203149999999998</v>
      </c>
      <c r="T38" s="815">
        <v>2.209835</v>
      </c>
      <c r="U38" s="815">
        <v>2.1891500000000002</v>
      </c>
      <c r="V38" s="815">
        <v>2.1767669999999999</v>
      </c>
      <c r="W38" s="815">
        <v>2.1672539999999998</v>
      </c>
      <c r="X38" s="815">
        <v>2.1591969999999998</v>
      </c>
      <c r="Y38" s="815">
        <v>2.1512950000000002</v>
      </c>
      <c r="Z38" s="815">
        <v>2.1419649999999999</v>
      </c>
      <c r="AA38" s="815">
        <v>2.1266889999999998</v>
      </c>
      <c r="AB38" s="815">
        <v>2.1195729999999999</v>
      </c>
      <c r="AC38" s="815">
        <v>2.113801</v>
      </c>
      <c r="AD38" s="815">
        <v>2.1070419999999999</v>
      </c>
      <c r="AE38" s="815">
        <v>2.0985459999999998</v>
      </c>
      <c r="AF38" s="814">
        <v>-7.2709999999999997E-3</v>
      </c>
      <c r="AG38" s="802"/>
    </row>
    <row r="39" spans="1:33" ht="15" customHeight="1">
      <c r="A39" s="800" t="s">
        <v>4687</v>
      </c>
      <c r="B39" s="812" t="s">
        <v>4383</v>
      </c>
      <c r="C39" s="815">
        <v>0</v>
      </c>
      <c r="D39" s="815">
        <v>0</v>
      </c>
      <c r="E39" s="815">
        <v>0</v>
      </c>
      <c r="F39" s="815">
        <v>0</v>
      </c>
      <c r="G39" s="815">
        <v>0</v>
      </c>
      <c r="H39" s="815">
        <v>0</v>
      </c>
      <c r="I39" s="815">
        <v>0</v>
      </c>
      <c r="J39" s="815">
        <v>0</v>
      </c>
      <c r="K39" s="815">
        <v>0</v>
      </c>
      <c r="L39" s="815">
        <v>0</v>
      </c>
      <c r="M39" s="815">
        <v>0</v>
      </c>
      <c r="N39" s="815">
        <v>0</v>
      </c>
      <c r="O39" s="815">
        <v>0</v>
      </c>
      <c r="P39" s="815">
        <v>0</v>
      </c>
      <c r="Q39" s="815">
        <v>0</v>
      </c>
      <c r="R39" s="815">
        <v>0</v>
      </c>
      <c r="S39" s="815">
        <v>0</v>
      </c>
      <c r="T39" s="815">
        <v>0</v>
      </c>
      <c r="U39" s="815">
        <v>0</v>
      </c>
      <c r="V39" s="815">
        <v>0</v>
      </c>
      <c r="W39" s="815">
        <v>0</v>
      </c>
      <c r="X39" s="815">
        <v>0</v>
      </c>
      <c r="Y39" s="815">
        <v>0</v>
      </c>
      <c r="Z39" s="815">
        <v>0</v>
      </c>
      <c r="AA39" s="815">
        <v>0</v>
      </c>
      <c r="AB39" s="815">
        <v>0</v>
      </c>
      <c r="AC39" s="815">
        <v>0</v>
      </c>
      <c r="AD39" s="815">
        <v>0</v>
      </c>
      <c r="AE39" s="815">
        <v>0</v>
      </c>
      <c r="AF39" s="814" t="s">
        <v>2805</v>
      </c>
      <c r="AG39" s="802"/>
    </row>
    <row r="40" spans="1:33" ht="15" customHeight="1">
      <c r="A40" s="800" t="s">
        <v>4688</v>
      </c>
      <c r="B40" s="812" t="s">
        <v>4385</v>
      </c>
      <c r="C40" s="815">
        <v>0</v>
      </c>
      <c r="D40" s="815">
        <v>0</v>
      </c>
      <c r="E40" s="815">
        <v>0</v>
      </c>
      <c r="F40" s="815">
        <v>0</v>
      </c>
      <c r="G40" s="815">
        <v>0</v>
      </c>
      <c r="H40" s="815">
        <v>0</v>
      </c>
      <c r="I40" s="815">
        <v>0</v>
      </c>
      <c r="J40" s="815">
        <v>0</v>
      </c>
      <c r="K40" s="815">
        <v>0</v>
      </c>
      <c r="L40" s="815">
        <v>0</v>
      </c>
      <c r="M40" s="815">
        <v>0</v>
      </c>
      <c r="N40" s="815">
        <v>0</v>
      </c>
      <c r="O40" s="815">
        <v>0</v>
      </c>
      <c r="P40" s="815">
        <v>0</v>
      </c>
      <c r="Q40" s="815">
        <v>0</v>
      </c>
      <c r="R40" s="815">
        <v>0</v>
      </c>
      <c r="S40" s="815">
        <v>0</v>
      </c>
      <c r="T40" s="815">
        <v>0</v>
      </c>
      <c r="U40" s="815">
        <v>0</v>
      </c>
      <c r="V40" s="815">
        <v>0</v>
      </c>
      <c r="W40" s="815">
        <v>0</v>
      </c>
      <c r="X40" s="815">
        <v>0</v>
      </c>
      <c r="Y40" s="815">
        <v>0</v>
      </c>
      <c r="Z40" s="815">
        <v>0</v>
      </c>
      <c r="AA40" s="815">
        <v>0</v>
      </c>
      <c r="AB40" s="815">
        <v>0</v>
      </c>
      <c r="AC40" s="815">
        <v>0</v>
      </c>
      <c r="AD40" s="815">
        <v>0</v>
      </c>
      <c r="AE40" s="815">
        <v>0</v>
      </c>
      <c r="AF40" s="814" t="s">
        <v>2805</v>
      </c>
      <c r="AG40" s="802"/>
    </row>
    <row r="41" spans="1:33" ht="15" customHeight="1">
      <c r="A41" s="800" t="s">
        <v>4689</v>
      </c>
      <c r="B41" s="812" t="s">
        <v>4274</v>
      </c>
      <c r="C41" s="815">
        <v>2.2131810000000001</v>
      </c>
      <c r="D41" s="815">
        <v>2.2676189999999998</v>
      </c>
      <c r="E41" s="815">
        <v>2.2577820000000002</v>
      </c>
      <c r="F41" s="815">
        <v>2.217085</v>
      </c>
      <c r="G41" s="815">
        <v>2.2056849999999999</v>
      </c>
      <c r="H41" s="815">
        <v>2.1958890000000002</v>
      </c>
      <c r="I41" s="815">
        <v>2.1705549999999998</v>
      </c>
      <c r="J41" s="815">
        <v>2.1336590000000002</v>
      </c>
      <c r="K41" s="815">
        <v>2.0919029999999998</v>
      </c>
      <c r="L41" s="815">
        <v>2.0537480000000001</v>
      </c>
      <c r="M41" s="815">
        <v>2.0286379999999999</v>
      </c>
      <c r="N41" s="815">
        <v>2.0005130000000002</v>
      </c>
      <c r="O41" s="815">
        <v>1.9808129999999999</v>
      </c>
      <c r="P41" s="815">
        <v>1.964518</v>
      </c>
      <c r="Q41" s="815">
        <v>1.9504630000000001</v>
      </c>
      <c r="R41" s="815">
        <v>1.938213</v>
      </c>
      <c r="S41" s="815">
        <v>1.930512</v>
      </c>
      <c r="T41" s="815">
        <v>1.911044</v>
      </c>
      <c r="U41" s="815">
        <v>1.8413269999999999</v>
      </c>
      <c r="V41" s="815">
        <v>1.818889</v>
      </c>
      <c r="W41" s="815">
        <v>1.8069919999999999</v>
      </c>
      <c r="X41" s="815">
        <v>1.7959020000000001</v>
      </c>
      <c r="Y41" s="815">
        <v>1.7852239999999999</v>
      </c>
      <c r="Z41" s="815">
        <v>1.7754460000000001</v>
      </c>
      <c r="AA41" s="815">
        <v>1.7668299999999999</v>
      </c>
      <c r="AB41" s="815">
        <v>1.7584010000000001</v>
      </c>
      <c r="AC41" s="815">
        <v>1.7506569999999999</v>
      </c>
      <c r="AD41" s="815">
        <v>1.7430030000000001</v>
      </c>
      <c r="AE41" s="815">
        <v>1.7349600000000001</v>
      </c>
      <c r="AF41" s="814">
        <v>-8.6569999999999998E-3</v>
      </c>
      <c r="AG41" s="802"/>
    </row>
    <row r="42" spans="1:33" ht="15" customHeight="1">
      <c r="A42" s="800" t="s">
        <v>4690</v>
      </c>
      <c r="B42" s="808" t="s">
        <v>4276</v>
      </c>
      <c r="C42" s="816">
        <v>4.8088350000000002</v>
      </c>
      <c r="D42" s="816">
        <v>4.7872089999999998</v>
      </c>
      <c r="E42" s="816">
        <v>4.7639389999999997</v>
      </c>
      <c r="F42" s="816">
        <v>4.6937699999999998</v>
      </c>
      <c r="G42" s="816">
        <v>4.6726239999999999</v>
      </c>
      <c r="H42" s="816">
        <v>4.6526800000000001</v>
      </c>
      <c r="I42" s="816">
        <v>4.6062849999999997</v>
      </c>
      <c r="J42" s="816">
        <v>4.5381609999999997</v>
      </c>
      <c r="K42" s="816">
        <v>4.4664609999999998</v>
      </c>
      <c r="L42" s="816">
        <v>4.4022389999999998</v>
      </c>
      <c r="M42" s="816">
        <v>4.3554500000000003</v>
      </c>
      <c r="N42" s="816">
        <v>4.304468</v>
      </c>
      <c r="O42" s="816">
        <v>4.2682060000000002</v>
      </c>
      <c r="P42" s="816">
        <v>4.2386239999999997</v>
      </c>
      <c r="Q42" s="816">
        <v>4.2142030000000004</v>
      </c>
      <c r="R42" s="816">
        <v>4.190188</v>
      </c>
      <c r="S42" s="816">
        <v>4.1692980000000004</v>
      </c>
      <c r="T42" s="816">
        <v>4.1389529999999999</v>
      </c>
      <c r="U42" s="816">
        <v>4.0482230000000001</v>
      </c>
      <c r="V42" s="816">
        <v>4.0129859999999997</v>
      </c>
      <c r="W42" s="816">
        <v>3.99119</v>
      </c>
      <c r="X42" s="816">
        <v>3.971616</v>
      </c>
      <c r="Y42" s="816">
        <v>3.9526880000000002</v>
      </c>
      <c r="Z42" s="816">
        <v>3.9331700000000001</v>
      </c>
      <c r="AA42" s="816">
        <v>3.9088370000000001</v>
      </c>
      <c r="AB42" s="816">
        <v>3.8929680000000002</v>
      </c>
      <c r="AC42" s="816">
        <v>3.8791820000000001</v>
      </c>
      <c r="AD42" s="816">
        <v>3.8644250000000002</v>
      </c>
      <c r="AE42" s="816">
        <v>3.8475199999999998</v>
      </c>
      <c r="AF42" s="810">
        <v>-7.9340000000000001E-3</v>
      </c>
      <c r="AG42" s="802"/>
    </row>
    <row r="43" spans="1:33" ht="15" customHeight="1">
      <c r="B43" s="802"/>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2"/>
    </row>
    <row r="44" spans="1:33" ht="15" customHeight="1">
      <c r="B44" s="808" t="s">
        <v>4400</v>
      </c>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row>
    <row r="45" spans="1:33" ht="12" customHeight="1">
      <c r="A45" s="800" t="s">
        <v>4691</v>
      </c>
      <c r="B45" s="808" t="s">
        <v>4279</v>
      </c>
      <c r="C45" s="809">
        <v>15.618164</v>
      </c>
      <c r="D45" s="809">
        <v>14.957636000000001</v>
      </c>
      <c r="E45" s="809">
        <v>14.695399999999999</v>
      </c>
      <c r="F45" s="809">
        <v>14.06171</v>
      </c>
      <c r="G45" s="809">
        <v>13.431772</v>
      </c>
      <c r="H45" s="809">
        <v>12.656522000000001</v>
      </c>
      <c r="I45" s="809">
        <v>11.851706</v>
      </c>
      <c r="J45" s="809">
        <v>11.167351999999999</v>
      </c>
      <c r="K45" s="809">
        <v>10.594436</v>
      </c>
      <c r="L45" s="809">
        <v>10.277965</v>
      </c>
      <c r="M45" s="809">
        <v>10.088464999999999</v>
      </c>
      <c r="N45" s="809">
        <v>10.019302</v>
      </c>
      <c r="O45" s="809">
        <v>9.9638430000000007</v>
      </c>
      <c r="P45" s="809">
        <v>9.9784249999999997</v>
      </c>
      <c r="Q45" s="809">
        <v>9.9668430000000008</v>
      </c>
      <c r="R45" s="809">
        <v>9.950189</v>
      </c>
      <c r="S45" s="809">
        <v>9.9318919999999995</v>
      </c>
      <c r="T45" s="809">
        <v>9.9305099999999999</v>
      </c>
      <c r="U45" s="809">
        <v>9.7794450000000008</v>
      </c>
      <c r="V45" s="809">
        <v>9.8325340000000008</v>
      </c>
      <c r="W45" s="809">
        <v>9.9352319999999992</v>
      </c>
      <c r="X45" s="809">
        <v>9.9613549999999993</v>
      </c>
      <c r="Y45" s="809">
        <v>9.9086909999999992</v>
      </c>
      <c r="Z45" s="809">
        <v>9.9223610000000004</v>
      </c>
      <c r="AA45" s="809">
        <v>9.9201090000000001</v>
      </c>
      <c r="AB45" s="809">
        <v>9.9562539999999995</v>
      </c>
      <c r="AC45" s="809">
        <v>9.8980340000000009</v>
      </c>
      <c r="AD45" s="809">
        <v>9.9029720000000001</v>
      </c>
      <c r="AE45" s="809">
        <v>9.9326640000000008</v>
      </c>
      <c r="AF45" s="810">
        <v>-1.6035000000000001E-2</v>
      </c>
      <c r="AG45" s="802"/>
    </row>
    <row r="46" spans="1:33" ht="15" customHeight="1">
      <c r="B46" s="802"/>
      <c r="C46" s="802"/>
      <c r="D46" s="802"/>
      <c r="E46" s="802"/>
      <c r="F46" s="802"/>
      <c r="G46" s="802"/>
      <c r="H46" s="802"/>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2"/>
    </row>
    <row r="47" spans="1:33" ht="15" customHeight="1">
      <c r="B47" s="802"/>
      <c r="C47" s="802"/>
      <c r="D47" s="802"/>
      <c r="E47" s="802"/>
      <c r="F47" s="80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c r="AF47" s="802"/>
      <c r="AG47" s="802"/>
    </row>
    <row r="48" spans="1:33" ht="15" customHeight="1">
      <c r="B48" s="808" t="s">
        <v>4402</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row>
    <row r="49" spans="1:33" ht="15" customHeight="1">
      <c r="B49" s="808" t="s">
        <v>4403</v>
      </c>
      <c r="C49" s="802"/>
      <c r="D49" s="802"/>
      <c r="E49" s="802"/>
      <c r="F49" s="802"/>
      <c r="G49" s="802"/>
      <c r="H49" s="802"/>
      <c r="I49" s="802"/>
      <c r="J49" s="802"/>
      <c r="K49" s="802"/>
      <c r="L49" s="802"/>
      <c r="M49" s="802"/>
      <c r="N49" s="802"/>
      <c r="O49" s="802"/>
      <c r="P49" s="802"/>
      <c r="Q49" s="802"/>
      <c r="R49" s="802"/>
      <c r="S49" s="802"/>
      <c r="T49" s="802"/>
      <c r="U49" s="802"/>
      <c r="V49" s="802"/>
      <c r="W49" s="802"/>
      <c r="X49" s="802"/>
      <c r="Y49" s="802"/>
      <c r="Z49" s="802"/>
      <c r="AA49" s="802"/>
      <c r="AB49" s="802"/>
      <c r="AC49" s="802"/>
      <c r="AD49" s="802"/>
      <c r="AE49" s="802"/>
      <c r="AF49" s="802"/>
      <c r="AG49" s="802"/>
    </row>
    <row r="50" spans="1:33" ht="15" customHeight="1">
      <c r="A50" s="800" t="s">
        <v>4692</v>
      </c>
      <c r="B50" s="812" t="s">
        <v>4323</v>
      </c>
      <c r="C50" s="815">
        <v>0</v>
      </c>
      <c r="D50" s="815">
        <v>0</v>
      </c>
      <c r="E50" s="815">
        <v>0</v>
      </c>
      <c r="F50" s="815">
        <v>0</v>
      </c>
      <c r="G50" s="815">
        <v>0</v>
      </c>
      <c r="H50" s="815">
        <v>0</v>
      </c>
      <c r="I50" s="815">
        <v>0</v>
      </c>
      <c r="J50" s="815">
        <v>0</v>
      </c>
      <c r="K50" s="815">
        <v>0</v>
      </c>
      <c r="L50" s="815">
        <v>0</v>
      </c>
      <c r="M50" s="815">
        <v>0</v>
      </c>
      <c r="N50" s="815">
        <v>0</v>
      </c>
      <c r="O50" s="815">
        <v>0</v>
      </c>
      <c r="P50" s="815">
        <v>0</v>
      </c>
      <c r="Q50" s="815">
        <v>0</v>
      </c>
      <c r="R50" s="815">
        <v>0</v>
      </c>
      <c r="S50" s="815">
        <v>0</v>
      </c>
      <c r="T50" s="815">
        <v>0</v>
      </c>
      <c r="U50" s="815">
        <v>0</v>
      </c>
      <c r="V50" s="815">
        <v>0</v>
      </c>
      <c r="W50" s="815">
        <v>0</v>
      </c>
      <c r="X50" s="815">
        <v>0</v>
      </c>
      <c r="Y50" s="815">
        <v>0</v>
      </c>
      <c r="Z50" s="815">
        <v>0</v>
      </c>
      <c r="AA50" s="815">
        <v>0</v>
      </c>
      <c r="AB50" s="815">
        <v>0</v>
      </c>
      <c r="AC50" s="815">
        <v>0</v>
      </c>
      <c r="AD50" s="815">
        <v>0</v>
      </c>
      <c r="AE50" s="815">
        <v>0</v>
      </c>
      <c r="AF50" s="814" t="s">
        <v>2805</v>
      </c>
      <c r="AG50" s="802"/>
    </row>
    <row r="51" spans="1:33" ht="15" customHeight="1">
      <c r="A51" s="800" t="s">
        <v>4693</v>
      </c>
      <c r="B51" s="812" t="s">
        <v>4297</v>
      </c>
      <c r="C51" s="815">
        <v>2.8E-5</v>
      </c>
      <c r="D51" s="815">
        <v>4.3000000000000002E-5</v>
      </c>
      <c r="E51" s="815">
        <v>5.3999999999999998E-5</v>
      </c>
      <c r="F51" s="815">
        <v>6.0000000000000002E-5</v>
      </c>
      <c r="G51" s="815">
        <v>6.6000000000000005E-5</v>
      </c>
      <c r="H51" s="815">
        <v>7.2000000000000002E-5</v>
      </c>
      <c r="I51" s="815">
        <v>7.7999999999999999E-5</v>
      </c>
      <c r="J51" s="815">
        <v>8.3999999999999995E-5</v>
      </c>
      <c r="K51" s="815">
        <v>9.0000000000000006E-5</v>
      </c>
      <c r="L51" s="815">
        <v>9.7E-5</v>
      </c>
      <c r="M51" s="815">
        <v>1.0399999999999999E-4</v>
      </c>
      <c r="N51" s="815">
        <v>1.13E-4</v>
      </c>
      <c r="O51" s="815">
        <v>1.22E-4</v>
      </c>
      <c r="P51" s="815">
        <v>1.3200000000000001E-4</v>
      </c>
      <c r="Q51" s="815">
        <v>1.4200000000000001E-4</v>
      </c>
      <c r="R51" s="815">
        <v>1.54E-4</v>
      </c>
      <c r="S51" s="815">
        <v>1.66E-4</v>
      </c>
      <c r="T51" s="815">
        <v>1.7899999999999999E-4</v>
      </c>
      <c r="U51" s="815">
        <v>1.93E-4</v>
      </c>
      <c r="V51" s="815">
        <v>2.0699999999999999E-4</v>
      </c>
      <c r="W51" s="815">
        <v>2.2100000000000001E-4</v>
      </c>
      <c r="X51" s="815">
        <v>2.3699999999999999E-4</v>
      </c>
      <c r="Y51" s="815">
        <v>2.52E-4</v>
      </c>
      <c r="Z51" s="815">
        <v>2.6800000000000001E-4</v>
      </c>
      <c r="AA51" s="815">
        <v>2.8400000000000002E-4</v>
      </c>
      <c r="AB51" s="815">
        <v>2.9999999999999997E-4</v>
      </c>
      <c r="AC51" s="815">
        <v>3.1700000000000001E-4</v>
      </c>
      <c r="AD51" s="815">
        <v>3.3500000000000001E-4</v>
      </c>
      <c r="AE51" s="815">
        <v>3.5300000000000002E-4</v>
      </c>
      <c r="AF51" s="814">
        <v>9.4625000000000001E-2</v>
      </c>
      <c r="AG51" s="802"/>
    </row>
    <row r="52" spans="1:33" ht="15" customHeight="1">
      <c r="A52" s="800" t="s">
        <v>4694</v>
      </c>
      <c r="B52" s="812" t="s">
        <v>4326</v>
      </c>
      <c r="C52" s="815">
        <v>0</v>
      </c>
      <c r="D52" s="815">
        <v>0</v>
      </c>
      <c r="E52" s="815">
        <v>0</v>
      </c>
      <c r="F52" s="815">
        <v>0</v>
      </c>
      <c r="G52" s="815">
        <v>0</v>
      </c>
      <c r="H52" s="815">
        <v>0</v>
      </c>
      <c r="I52" s="815">
        <v>0</v>
      </c>
      <c r="J52" s="815">
        <v>0</v>
      </c>
      <c r="K52" s="815">
        <v>0</v>
      </c>
      <c r="L52" s="815">
        <v>0</v>
      </c>
      <c r="M52" s="815">
        <v>0</v>
      </c>
      <c r="N52" s="815">
        <v>0</v>
      </c>
      <c r="O52" s="815">
        <v>0</v>
      </c>
      <c r="P52" s="815">
        <v>0</v>
      </c>
      <c r="Q52" s="815">
        <v>0</v>
      </c>
      <c r="R52" s="815">
        <v>0</v>
      </c>
      <c r="S52" s="815">
        <v>0</v>
      </c>
      <c r="T52" s="815">
        <v>0</v>
      </c>
      <c r="U52" s="815">
        <v>0</v>
      </c>
      <c r="V52" s="815">
        <v>0</v>
      </c>
      <c r="W52" s="815">
        <v>0</v>
      </c>
      <c r="X52" s="815">
        <v>0</v>
      </c>
      <c r="Y52" s="815">
        <v>0</v>
      </c>
      <c r="Z52" s="815">
        <v>0</v>
      </c>
      <c r="AA52" s="815">
        <v>0</v>
      </c>
      <c r="AB52" s="815">
        <v>0</v>
      </c>
      <c r="AC52" s="815">
        <v>0</v>
      </c>
      <c r="AD52" s="815">
        <v>0</v>
      </c>
      <c r="AE52" s="815">
        <v>0</v>
      </c>
      <c r="AF52" s="814" t="s">
        <v>2805</v>
      </c>
      <c r="AG52" s="802"/>
    </row>
    <row r="53" spans="1:33" ht="15" customHeight="1">
      <c r="A53" s="800" t="s">
        <v>4695</v>
      </c>
      <c r="B53" s="812" t="s">
        <v>4408</v>
      </c>
      <c r="C53" s="815">
        <v>0</v>
      </c>
      <c r="D53" s="815">
        <v>0</v>
      </c>
      <c r="E53" s="815">
        <v>0</v>
      </c>
      <c r="F53" s="815">
        <v>0</v>
      </c>
      <c r="G53" s="815">
        <v>0</v>
      </c>
      <c r="H53" s="815">
        <v>0</v>
      </c>
      <c r="I53" s="815">
        <v>0</v>
      </c>
      <c r="J53" s="815">
        <v>0</v>
      </c>
      <c r="K53" s="815">
        <v>0</v>
      </c>
      <c r="L53" s="815">
        <v>0</v>
      </c>
      <c r="M53" s="815">
        <v>0</v>
      </c>
      <c r="N53" s="815">
        <v>0</v>
      </c>
      <c r="O53" s="815">
        <v>0</v>
      </c>
      <c r="P53" s="815">
        <v>0</v>
      </c>
      <c r="Q53" s="815">
        <v>0</v>
      </c>
      <c r="R53" s="815">
        <v>0</v>
      </c>
      <c r="S53" s="815">
        <v>0</v>
      </c>
      <c r="T53" s="815">
        <v>0</v>
      </c>
      <c r="U53" s="815">
        <v>0</v>
      </c>
      <c r="V53" s="815">
        <v>0</v>
      </c>
      <c r="W53" s="815">
        <v>0</v>
      </c>
      <c r="X53" s="815">
        <v>0</v>
      </c>
      <c r="Y53" s="815">
        <v>0</v>
      </c>
      <c r="Z53" s="815">
        <v>0</v>
      </c>
      <c r="AA53" s="815">
        <v>0</v>
      </c>
      <c r="AB53" s="815">
        <v>0</v>
      </c>
      <c r="AC53" s="815">
        <v>0</v>
      </c>
      <c r="AD53" s="815">
        <v>0</v>
      </c>
      <c r="AE53" s="815">
        <v>0</v>
      </c>
      <c r="AF53" s="814" t="s">
        <v>2805</v>
      </c>
      <c r="AG53" s="802"/>
    </row>
    <row r="54" spans="1:33" ht="15" customHeight="1">
      <c r="A54" s="800" t="s">
        <v>4696</v>
      </c>
      <c r="B54" s="808" t="s">
        <v>4303</v>
      </c>
      <c r="C54" s="816">
        <v>2.8E-5</v>
      </c>
      <c r="D54" s="816">
        <v>4.3000000000000002E-5</v>
      </c>
      <c r="E54" s="816">
        <v>5.3999999999999998E-5</v>
      </c>
      <c r="F54" s="816">
        <v>6.0000000000000002E-5</v>
      </c>
      <c r="G54" s="816">
        <v>6.6000000000000005E-5</v>
      </c>
      <c r="H54" s="816">
        <v>7.2000000000000002E-5</v>
      </c>
      <c r="I54" s="816">
        <v>7.7999999999999999E-5</v>
      </c>
      <c r="J54" s="816">
        <v>8.3999999999999995E-5</v>
      </c>
      <c r="K54" s="816">
        <v>9.0000000000000006E-5</v>
      </c>
      <c r="L54" s="816">
        <v>9.7E-5</v>
      </c>
      <c r="M54" s="816">
        <v>1.0399999999999999E-4</v>
      </c>
      <c r="N54" s="816">
        <v>1.13E-4</v>
      </c>
      <c r="O54" s="816">
        <v>1.22E-4</v>
      </c>
      <c r="P54" s="816">
        <v>1.3200000000000001E-4</v>
      </c>
      <c r="Q54" s="816">
        <v>1.4200000000000001E-4</v>
      </c>
      <c r="R54" s="816">
        <v>1.54E-4</v>
      </c>
      <c r="S54" s="816">
        <v>1.66E-4</v>
      </c>
      <c r="T54" s="816">
        <v>1.7899999999999999E-4</v>
      </c>
      <c r="U54" s="816">
        <v>1.93E-4</v>
      </c>
      <c r="V54" s="816">
        <v>2.0699999999999999E-4</v>
      </c>
      <c r="W54" s="816">
        <v>2.2100000000000001E-4</v>
      </c>
      <c r="X54" s="816">
        <v>2.3699999999999999E-4</v>
      </c>
      <c r="Y54" s="816">
        <v>2.52E-4</v>
      </c>
      <c r="Z54" s="816">
        <v>2.6800000000000001E-4</v>
      </c>
      <c r="AA54" s="816">
        <v>2.8400000000000002E-4</v>
      </c>
      <c r="AB54" s="816">
        <v>2.9999999999999997E-4</v>
      </c>
      <c r="AC54" s="816">
        <v>3.1700000000000001E-4</v>
      </c>
      <c r="AD54" s="816">
        <v>3.3500000000000001E-4</v>
      </c>
      <c r="AE54" s="816">
        <v>3.5300000000000002E-4</v>
      </c>
      <c r="AF54" s="810">
        <v>9.4625000000000001E-2</v>
      </c>
      <c r="AG54" s="802"/>
    </row>
    <row r="55" spans="1:33" ht="15" customHeight="1">
      <c r="B55" s="808" t="s">
        <v>4330</v>
      </c>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802"/>
      <c r="AE55" s="802"/>
      <c r="AF55" s="802"/>
      <c r="AG55" s="802"/>
    </row>
    <row r="56" spans="1:33" ht="15" customHeight="1">
      <c r="A56" s="800" t="s">
        <v>4697</v>
      </c>
      <c r="B56" s="812" t="s">
        <v>4323</v>
      </c>
      <c r="C56" s="815">
        <v>0</v>
      </c>
      <c r="D56" s="815">
        <v>0</v>
      </c>
      <c r="E56" s="815">
        <v>0</v>
      </c>
      <c r="F56" s="815">
        <v>0</v>
      </c>
      <c r="G56" s="815">
        <v>0</v>
      </c>
      <c r="H56" s="815">
        <v>0</v>
      </c>
      <c r="I56" s="815">
        <v>0</v>
      </c>
      <c r="J56" s="815">
        <v>0</v>
      </c>
      <c r="K56" s="815">
        <v>0</v>
      </c>
      <c r="L56" s="815">
        <v>0</v>
      </c>
      <c r="M56" s="815">
        <v>0</v>
      </c>
      <c r="N56" s="815">
        <v>0</v>
      </c>
      <c r="O56" s="815">
        <v>0</v>
      </c>
      <c r="P56" s="815">
        <v>0</v>
      </c>
      <c r="Q56" s="815">
        <v>0</v>
      </c>
      <c r="R56" s="815">
        <v>0</v>
      </c>
      <c r="S56" s="815">
        <v>0</v>
      </c>
      <c r="T56" s="815">
        <v>0</v>
      </c>
      <c r="U56" s="815">
        <v>0</v>
      </c>
      <c r="V56" s="815">
        <v>0</v>
      </c>
      <c r="W56" s="815">
        <v>0</v>
      </c>
      <c r="X56" s="815">
        <v>0</v>
      </c>
      <c r="Y56" s="815">
        <v>0</v>
      </c>
      <c r="Z56" s="815">
        <v>0</v>
      </c>
      <c r="AA56" s="815">
        <v>0</v>
      </c>
      <c r="AB56" s="815">
        <v>0</v>
      </c>
      <c r="AC56" s="815">
        <v>0</v>
      </c>
      <c r="AD56" s="815">
        <v>0</v>
      </c>
      <c r="AE56" s="815">
        <v>0</v>
      </c>
      <c r="AF56" s="814" t="s">
        <v>2805</v>
      </c>
      <c r="AG56" s="802"/>
    </row>
    <row r="57" spans="1:33" ht="15" customHeight="1">
      <c r="A57" s="800" t="s">
        <v>4698</v>
      </c>
      <c r="B57" s="812" t="s">
        <v>4297</v>
      </c>
      <c r="C57" s="815">
        <v>4.6999999999999997E-5</v>
      </c>
      <c r="D57" s="815">
        <v>7.2999999999999999E-5</v>
      </c>
      <c r="E57" s="815">
        <v>9.3999999999999994E-5</v>
      </c>
      <c r="F57" s="815">
        <v>1.06E-4</v>
      </c>
      <c r="G57" s="815">
        <v>1.1900000000000001E-4</v>
      </c>
      <c r="H57" s="815">
        <v>1.3200000000000001E-4</v>
      </c>
      <c r="I57" s="815">
        <v>1.46E-4</v>
      </c>
      <c r="J57" s="815">
        <v>1.6100000000000001E-4</v>
      </c>
      <c r="K57" s="815">
        <v>1.76E-4</v>
      </c>
      <c r="L57" s="815">
        <v>1.94E-4</v>
      </c>
      <c r="M57" s="815">
        <v>2.14E-4</v>
      </c>
      <c r="N57" s="815">
        <v>2.3800000000000001E-4</v>
      </c>
      <c r="O57" s="815">
        <v>2.6499999999999999E-4</v>
      </c>
      <c r="P57" s="815">
        <v>2.9599999999999998E-4</v>
      </c>
      <c r="Q57" s="815">
        <v>3.3100000000000002E-4</v>
      </c>
      <c r="R57" s="815">
        <v>3.6900000000000002E-4</v>
      </c>
      <c r="S57" s="815">
        <v>4.1100000000000002E-4</v>
      </c>
      <c r="T57" s="815">
        <v>4.57E-4</v>
      </c>
      <c r="U57" s="815">
        <v>5.0600000000000005E-4</v>
      </c>
      <c r="V57" s="815">
        <v>5.5999999999999995E-4</v>
      </c>
      <c r="W57" s="815">
        <v>6.1700000000000004E-4</v>
      </c>
      <c r="X57" s="815">
        <v>6.78E-4</v>
      </c>
      <c r="Y57" s="815">
        <v>7.4100000000000001E-4</v>
      </c>
      <c r="Z57" s="815">
        <v>8.0699999999999999E-4</v>
      </c>
      <c r="AA57" s="815">
        <v>8.7699999999999996E-4</v>
      </c>
      <c r="AB57" s="815">
        <v>9.5E-4</v>
      </c>
      <c r="AC57" s="815">
        <v>1.0280000000000001E-3</v>
      </c>
      <c r="AD57" s="815">
        <v>1.109E-3</v>
      </c>
      <c r="AE57" s="815">
        <v>1.1950000000000001E-3</v>
      </c>
      <c r="AF57" s="814">
        <v>0.12291000000000001</v>
      </c>
      <c r="AG57" s="802"/>
    </row>
    <row r="58" spans="1:33" ht="15" customHeight="1">
      <c r="A58" s="800" t="s">
        <v>4699</v>
      </c>
      <c r="B58" s="812" t="s">
        <v>4326</v>
      </c>
      <c r="C58" s="815">
        <v>0</v>
      </c>
      <c r="D58" s="815">
        <v>0</v>
      </c>
      <c r="E58" s="815">
        <v>0</v>
      </c>
      <c r="F58" s="815">
        <v>0</v>
      </c>
      <c r="G58" s="815">
        <v>0</v>
      </c>
      <c r="H58" s="815">
        <v>0</v>
      </c>
      <c r="I58" s="815">
        <v>0</v>
      </c>
      <c r="J58" s="815">
        <v>0</v>
      </c>
      <c r="K58" s="815">
        <v>0</v>
      </c>
      <c r="L58" s="815">
        <v>0</v>
      </c>
      <c r="M58" s="815">
        <v>0</v>
      </c>
      <c r="N58" s="815">
        <v>0</v>
      </c>
      <c r="O58" s="815">
        <v>0</v>
      </c>
      <c r="P58" s="815">
        <v>0</v>
      </c>
      <c r="Q58" s="815">
        <v>0</v>
      </c>
      <c r="R58" s="815">
        <v>0</v>
      </c>
      <c r="S58" s="815">
        <v>0</v>
      </c>
      <c r="T58" s="815">
        <v>0</v>
      </c>
      <c r="U58" s="815">
        <v>0</v>
      </c>
      <c r="V58" s="815">
        <v>0</v>
      </c>
      <c r="W58" s="815">
        <v>0</v>
      </c>
      <c r="X58" s="815">
        <v>0</v>
      </c>
      <c r="Y58" s="815">
        <v>0</v>
      </c>
      <c r="Z58" s="815">
        <v>0</v>
      </c>
      <c r="AA58" s="815">
        <v>0</v>
      </c>
      <c r="AB58" s="815">
        <v>0</v>
      </c>
      <c r="AC58" s="815">
        <v>0</v>
      </c>
      <c r="AD58" s="815">
        <v>0</v>
      </c>
      <c r="AE58" s="815">
        <v>0</v>
      </c>
      <c r="AF58" s="814" t="s">
        <v>2805</v>
      </c>
      <c r="AG58" s="802"/>
    </row>
    <row r="59" spans="1:33" ht="12" customHeight="1">
      <c r="A59" s="800" t="s">
        <v>4700</v>
      </c>
      <c r="B59" s="812" t="s">
        <v>4408</v>
      </c>
      <c r="C59" s="815">
        <v>0</v>
      </c>
      <c r="D59" s="815">
        <v>0</v>
      </c>
      <c r="E59" s="815">
        <v>0</v>
      </c>
      <c r="F59" s="815">
        <v>0</v>
      </c>
      <c r="G59" s="815">
        <v>0</v>
      </c>
      <c r="H59" s="815">
        <v>0</v>
      </c>
      <c r="I59" s="815">
        <v>0</v>
      </c>
      <c r="J59" s="815">
        <v>0</v>
      </c>
      <c r="K59" s="815">
        <v>0</v>
      </c>
      <c r="L59" s="815">
        <v>0</v>
      </c>
      <c r="M59" s="815">
        <v>0</v>
      </c>
      <c r="N59" s="815">
        <v>0</v>
      </c>
      <c r="O59" s="815">
        <v>0</v>
      </c>
      <c r="P59" s="815">
        <v>0</v>
      </c>
      <c r="Q59" s="815">
        <v>0</v>
      </c>
      <c r="R59" s="815">
        <v>0</v>
      </c>
      <c r="S59" s="815">
        <v>0</v>
      </c>
      <c r="T59" s="815">
        <v>0</v>
      </c>
      <c r="U59" s="815">
        <v>0</v>
      </c>
      <c r="V59" s="815">
        <v>0</v>
      </c>
      <c r="W59" s="815">
        <v>0</v>
      </c>
      <c r="X59" s="815">
        <v>0</v>
      </c>
      <c r="Y59" s="815">
        <v>0</v>
      </c>
      <c r="Z59" s="815">
        <v>0</v>
      </c>
      <c r="AA59" s="815">
        <v>0</v>
      </c>
      <c r="AB59" s="815">
        <v>0</v>
      </c>
      <c r="AC59" s="815">
        <v>0</v>
      </c>
      <c r="AD59" s="815">
        <v>0</v>
      </c>
      <c r="AE59" s="815">
        <v>0</v>
      </c>
      <c r="AF59" s="814" t="s">
        <v>2805</v>
      </c>
      <c r="AG59" s="802"/>
    </row>
    <row r="60" spans="1:33" ht="15" customHeight="1">
      <c r="A60" s="800" t="s">
        <v>4701</v>
      </c>
      <c r="B60" s="808" t="s">
        <v>4303</v>
      </c>
      <c r="C60" s="816">
        <v>4.6999999999999997E-5</v>
      </c>
      <c r="D60" s="816">
        <v>7.2999999999999999E-5</v>
      </c>
      <c r="E60" s="816">
        <v>9.3999999999999994E-5</v>
      </c>
      <c r="F60" s="816">
        <v>1.06E-4</v>
      </c>
      <c r="G60" s="816">
        <v>1.1900000000000001E-4</v>
      </c>
      <c r="H60" s="816">
        <v>1.3200000000000001E-4</v>
      </c>
      <c r="I60" s="816">
        <v>1.46E-4</v>
      </c>
      <c r="J60" s="816">
        <v>1.6100000000000001E-4</v>
      </c>
      <c r="K60" s="816">
        <v>1.76E-4</v>
      </c>
      <c r="L60" s="816">
        <v>1.94E-4</v>
      </c>
      <c r="M60" s="816">
        <v>2.14E-4</v>
      </c>
      <c r="N60" s="816">
        <v>2.3800000000000001E-4</v>
      </c>
      <c r="O60" s="816">
        <v>2.6499999999999999E-4</v>
      </c>
      <c r="P60" s="816">
        <v>2.9599999999999998E-4</v>
      </c>
      <c r="Q60" s="816">
        <v>3.3100000000000002E-4</v>
      </c>
      <c r="R60" s="816">
        <v>3.6900000000000002E-4</v>
      </c>
      <c r="S60" s="816">
        <v>4.1100000000000002E-4</v>
      </c>
      <c r="T60" s="816">
        <v>4.57E-4</v>
      </c>
      <c r="U60" s="816">
        <v>5.0600000000000005E-4</v>
      </c>
      <c r="V60" s="816">
        <v>5.5999999999999995E-4</v>
      </c>
      <c r="W60" s="816">
        <v>6.1700000000000004E-4</v>
      </c>
      <c r="X60" s="816">
        <v>6.78E-4</v>
      </c>
      <c r="Y60" s="816">
        <v>7.4100000000000001E-4</v>
      </c>
      <c r="Z60" s="816">
        <v>8.0699999999999999E-4</v>
      </c>
      <c r="AA60" s="816">
        <v>8.7699999999999996E-4</v>
      </c>
      <c r="AB60" s="816">
        <v>9.5E-4</v>
      </c>
      <c r="AC60" s="816">
        <v>1.0280000000000001E-3</v>
      </c>
      <c r="AD60" s="816">
        <v>1.109E-3</v>
      </c>
      <c r="AE60" s="816">
        <v>1.1950000000000001E-3</v>
      </c>
      <c r="AF60" s="810">
        <v>0.12291000000000001</v>
      </c>
      <c r="AG60" s="802"/>
    </row>
    <row r="61" spans="1:33" ht="15" customHeight="1">
      <c r="B61" s="808" t="s">
        <v>4336</v>
      </c>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row>
    <row r="62" spans="1:33" ht="12" customHeight="1">
      <c r="A62" s="800" t="s">
        <v>4702</v>
      </c>
      <c r="B62" s="812" t="s">
        <v>4338</v>
      </c>
      <c r="C62" s="815">
        <v>1.2999999999999999E-5</v>
      </c>
      <c r="D62" s="815">
        <v>2.0000000000000002E-5</v>
      </c>
      <c r="E62" s="815">
        <v>2.5999999999999998E-5</v>
      </c>
      <c r="F62" s="815">
        <v>2.9E-5</v>
      </c>
      <c r="G62" s="815">
        <v>3.3000000000000003E-5</v>
      </c>
      <c r="H62" s="815">
        <v>3.6000000000000001E-5</v>
      </c>
      <c r="I62" s="815">
        <v>4.0000000000000003E-5</v>
      </c>
      <c r="J62" s="815">
        <v>4.3999999999999999E-5</v>
      </c>
      <c r="K62" s="815">
        <v>4.8000000000000001E-5</v>
      </c>
      <c r="L62" s="815">
        <v>5.3000000000000001E-5</v>
      </c>
      <c r="M62" s="815">
        <v>5.8E-5</v>
      </c>
      <c r="N62" s="815">
        <v>6.4999999999999994E-5</v>
      </c>
      <c r="O62" s="815">
        <v>7.2000000000000002E-5</v>
      </c>
      <c r="P62" s="815">
        <v>8.1000000000000004E-5</v>
      </c>
      <c r="Q62" s="815">
        <v>9.0000000000000006E-5</v>
      </c>
      <c r="R62" s="815">
        <v>1.01E-4</v>
      </c>
      <c r="S62" s="815">
        <v>1.12E-4</v>
      </c>
      <c r="T62" s="815">
        <v>1.25E-4</v>
      </c>
      <c r="U62" s="815">
        <v>1.3799999999999999E-4</v>
      </c>
      <c r="V62" s="815">
        <v>1.5300000000000001E-4</v>
      </c>
      <c r="W62" s="815">
        <v>1.6799999999999999E-4</v>
      </c>
      <c r="X62" s="815">
        <v>1.85E-4</v>
      </c>
      <c r="Y62" s="815">
        <v>2.02E-4</v>
      </c>
      <c r="Z62" s="815">
        <v>2.2000000000000001E-4</v>
      </c>
      <c r="AA62" s="815">
        <v>2.3900000000000001E-4</v>
      </c>
      <c r="AB62" s="815">
        <v>2.5900000000000001E-4</v>
      </c>
      <c r="AC62" s="815">
        <v>2.81E-4</v>
      </c>
      <c r="AD62" s="815">
        <v>3.0299999999999999E-4</v>
      </c>
      <c r="AE62" s="815">
        <v>3.2600000000000001E-4</v>
      </c>
      <c r="AF62" s="814">
        <v>0.12291000000000001</v>
      </c>
      <c r="AG62" s="802"/>
    </row>
    <row r="63" spans="1:33" ht="12" customHeight="1" thickBot="1">
      <c r="A63" s="800" t="s">
        <v>4703</v>
      </c>
      <c r="B63" s="812" t="s">
        <v>4340</v>
      </c>
      <c r="C63" s="815">
        <v>3.4E-5</v>
      </c>
      <c r="D63" s="815">
        <v>5.3000000000000001E-5</v>
      </c>
      <c r="E63" s="815">
        <v>6.7999999999999999E-5</v>
      </c>
      <c r="F63" s="815">
        <v>7.7000000000000001E-5</v>
      </c>
      <c r="G63" s="815">
        <v>8.7000000000000001E-5</v>
      </c>
      <c r="H63" s="815">
        <v>9.6000000000000002E-5</v>
      </c>
      <c r="I63" s="815">
        <v>1.06E-4</v>
      </c>
      <c r="J63" s="815">
        <v>1.17E-4</v>
      </c>
      <c r="K63" s="815">
        <v>1.2799999999999999E-4</v>
      </c>
      <c r="L63" s="815">
        <v>1.4100000000000001E-4</v>
      </c>
      <c r="M63" s="815">
        <v>1.56E-4</v>
      </c>
      <c r="N63" s="815">
        <v>1.73E-4</v>
      </c>
      <c r="O63" s="815">
        <v>1.93E-4</v>
      </c>
      <c r="P63" s="815">
        <v>2.1499999999999999E-4</v>
      </c>
      <c r="Q63" s="815">
        <v>2.4000000000000001E-4</v>
      </c>
      <c r="R63" s="815">
        <v>2.6800000000000001E-4</v>
      </c>
      <c r="S63" s="815">
        <v>2.99E-4</v>
      </c>
      <c r="T63" s="815">
        <v>3.3199999999999999E-4</v>
      </c>
      <c r="U63" s="815">
        <v>3.68E-4</v>
      </c>
      <c r="V63" s="815">
        <v>4.0700000000000003E-4</v>
      </c>
      <c r="W63" s="815">
        <v>4.4900000000000002E-4</v>
      </c>
      <c r="X63" s="815">
        <v>4.9299999999999995E-4</v>
      </c>
      <c r="Y63" s="815">
        <v>5.3899999999999998E-4</v>
      </c>
      <c r="Z63" s="815">
        <v>5.8699999999999996E-4</v>
      </c>
      <c r="AA63" s="815">
        <v>6.3699999999999998E-4</v>
      </c>
      <c r="AB63" s="815">
        <v>6.9099999999999999E-4</v>
      </c>
      <c r="AC63" s="815">
        <v>7.4700000000000005E-4</v>
      </c>
      <c r="AD63" s="815">
        <v>8.0699999999999999E-4</v>
      </c>
      <c r="AE63" s="815">
        <v>8.6899999999999998E-4</v>
      </c>
      <c r="AF63" s="814">
        <v>0.12291000000000001</v>
      </c>
      <c r="AG63" s="802"/>
    </row>
    <row r="64" spans="1:33" ht="15" customHeight="1">
      <c r="B64" s="818" t="s">
        <v>4417</v>
      </c>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9"/>
    </row>
    <row r="65" spans="2:33" ht="15" customHeight="1">
      <c r="B65" s="802" t="s">
        <v>4418</v>
      </c>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2:33" ht="15" customHeight="1">
      <c r="B66" s="802" t="s">
        <v>4419</v>
      </c>
      <c r="C66" s="802"/>
      <c r="D66" s="802"/>
      <c r="E66" s="802"/>
      <c r="F66" s="802"/>
      <c r="G66" s="802"/>
      <c r="H66" s="802"/>
      <c r="I66" s="802"/>
      <c r="J66" s="802"/>
      <c r="K66" s="802"/>
      <c r="L66" s="802"/>
      <c r="M66" s="802"/>
      <c r="N66" s="802"/>
      <c r="O66" s="802"/>
      <c r="P66" s="802"/>
      <c r="Q66" s="802"/>
      <c r="R66" s="802"/>
      <c r="S66" s="802"/>
      <c r="T66" s="802"/>
      <c r="U66" s="802"/>
      <c r="V66" s="802"/>
      <c r="W66" s="802"/>
      <c r="X66" s="802"/>
      <c r="Y66" s="802"/>
      <c r="Z66" s="802"/>
      <c r="AA66" s="802"/>
      <c r="AB66" s="802"/>
      <c r="AC66" s="802"/>
      <c r="AD66" s="802"/>
      <c r="AE66" s="802"/>
      <c r="AF66" s="802"/>
      <c r="AG66" s="802"/>
    </row>
    <row r="67" spans="2:33" ht="15" customHeight="1">
      <c r="B67" s="802" t="s">
        <v>4420</v>
      </c>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row>
    <row r="68" spans="2:33" ht="15" customHeight="1">
      <c r="B68" s="802" t="s">
        <v>4421</v>
      </c>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row>
    <row r="69" spans="2:33" ht="15" customHeight="1">
      <c r="B69" s="802" t="s">
        <v>4422</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2:33" ht="15" customHeight="1">
      <c r="B70" s="802" t="s">
        <v>4423</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2:33" ht="15" customHeight="1">
      <c r="B71" s="802" t="s">
        <v>4363</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2:33" ht="15" customHeight="1">
      <c r="B72" s="802" t="s">
        <v>4364</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2:33" ht="15" customHeight="1">
      <c r="B73" s="802" t="s">
        <v>4704</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2:33" ht="15" customHeight="1">
      <c r="B74" s="802" t="s">
        <v>4705</v>
      </c>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2:33" ht="15" customHeight="1">
      <c r="B75" s="802" t="s">
        <v>4366</v>
      </c>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2:33" ht="15" customHeight="1">
      <c r="B76" s="802" t="s">
        <v>4424</v>
      </c>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2:33" ht="15" customHeight="1">
      <c r="B77" s="802" t="s">
        <v>4425</v>
      </c>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2:33" ht="15" customHeight="1">
      <c r="B78" s="802"/>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2:33" ht="15" customHeight="1">
      <c r="B79" s="802"/>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2:33" ht="15" customHeight="1">
      <c r="B80" s="1261"/>
      <c r="C80" s="1261"/>
      <c r="D80" s="1261"/>
      <c r="E80" s="1261"/>
      <c r="F80" s="1261"/>
      <c r="G80" s="1261"/>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802"/>
    </row>
    <row r="81" spans="2:33" ht="15" customHeight="1">
      <c r="B81" s="802"/>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2:33" ht="15" customHeight="1">
      <c r="B82" s="802"/>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2:33" ht="15" customHeight="1">
      <c r="B83" s="802"/>
      <c r="C83" s="802"/>
      <c r="D83" s="802"/>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2"/>
      <c r="AE83" s="802"/>
      <c r="AF83" s="802"/>
      <c r="AG83" s="802"/>
    </row>
    <row r="84" spans="2: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t="s">
        <v>1505</v>
      </c>
      <c r="AG84" s="802"/>
    </row>
    <row r="94" spans="2:33" ht="12" customHeight="1"/>
    <row r="95" spans="2:33" ht="12" customHeight="1"/>
    <row r="96" spans="2:33" ht="12" customHeight="1"/>
    <row r="97" ht="12" customHeight="1"/>
    <row r="98" ht="12" customHeight="1"/>
    <row r="99" ht="12" customHeight="1"/>
    <row r="100" ht="12" customHeight="1"/>
    <row r="119" ht="12" customHeight="1"/>
    <row r="131" ht="12" customHeight="1"/>
    <row r="143" ht="12" customHeight="1"/>
    <row r="155" ht="12" customHeight="1"/>
    <row r="156" ht="12" customHeight="1"/>
    <row r="168" ht="12" customHeight="1"/>
    <row r="175" ht="12" customHeight="1"/>
    <row r="183" ht="12" customHeight="1"/>
    <row r="191" ht="12" customHeight="1"/>
    <row r="192" ht="12" customHeight="1"/>
    <row r="196"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68" ht="12" customHeight="1"/>
    <row r="280" ht="12" customHeight="1"/>
    <row r="294" ht="12" customHeight="1"/>
    <row r="295" ht="12" customHeight="1"/>
    <row r="300" ht="12" customHeight="1"/>
    <row r="306" ht="12" customHeight="1"/>
    <row r="312" ht="12" customHeight="1"/>
    <row r="313" ht="12" customHeight="1"/>
    <row r="315" ht="12" customHeight="1"/>
    <row r="345" ht="12" customHeight="1"/>
    <row r="346" ht="12" customHeight="1"/>
    <row r="347" ht="12" customHeight="1"/>
    <row r="348" ht="12" customHeight="1"/>
    <row r="349" ht="12" customHeight="1"/>
    <row r="350" ht="12" customHeight="1"/>
    <row r="369" ht="12" customHeight="1"/>
    <row r="380" ht="12" customHeight="1"/>
    <row r="394" ht="12" customHeight="1"/>
    <row r="395" ht="12" customHeight="1"/>
    <row r="396" ht="12" customHeight="1"/>
    <row r="397" ht="12" customHeight="1"/>
    <row r="402" ht="12" customHeight="1"/>
    <row r="408" ht="12" customHeight="1"/>
    <row r="414" ht="12" customHeight="1"/>
    <row r="415" ht="12" customHeight="1"/>
    <row r="416" ht="12" customHeight="1"/>
    <row r="41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82" ht="12" customHeight="1"/>
    <row r="484" ht="12" customHeight="1"/>
    <row r="486" ht="12" customHeight="1"/>
    <row r="491" ht="12" customHeight="1"/>
    <row r="525" ht="12" customHeight="1"/>
    <row r="527"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32" ht="12" customHeight="1"/>
    <row r="634" ht="12" customHeight="1"/>
    <row r="636" ht="12" customHeight="1"/>
    <row r="641" ht="12" customHeight="1"/>
    <row r="675" ht="12" customHeight="1"/>
    <row r="677"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82" ht="12" customHeight="1"/>
    <row r="784" ht="12" customHeight="1"/>
    <row r="786" ht="12" customHeight="1"/>
    <row r="791" ht="12" customHeight="1"/>
    <row r="825" ht="12" customHeight="1"/>
    <row r="827"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32" ht="12" customHeight="1"/>
    <row r="934" ht="12" customHeight="1"/>
    <row r="936" ht="12" customHeight="1"/>
    <row r="941" ht="12" customHeight="1"/>
    <row r="975" ht="12" customHeight="1"/>
    <row r="977"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82" ht="12" customHeight="1"/>
    <row r="1084" ht="12" customHeight="1"/>
    <row r="1086" ht="12" customHeight="1"/>
    <row r="1091" ht="12" customHeight="1"/>
    <row r="1125" ht="12" customHeight="1"/>
    <row r="1127"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32" ht="12" customHeight="1"/>
    <row r="1234" ht="12" customHeight="1"/>
    <row r="1236" ht="12" customHeight="1"/>
    <row r="1241" ht="12" customHeight="1"/>
    <row r="1275" ht="12" customHeight="1"/>
    <row r="1277"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82" ht="12" customHeight="1"/>
    <row r="1384" ht="12" customHeight="1"/>
    <row r="1386" ht="12" customHeight="1"/>
    <row r="1391" ht="12" customHeight="1"/>
    <row r="1425" ht="12" customHeight="1"/>
    <row r="1427"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32" ht="12" customHeight="1"/>
    <row r="1534" ht="12" customHeight="1"/>
    <row r="1536" ht="12" customHeight="1"/>
    <row r="1541" ht="12" customHeight="1"/>
    <row r="1575" ht="12" customHeight="1"/>
    <row r="1577"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82" ht="12" customHeight="1"/>
    <row r="1684" ht="12" customHeight="1"/>
    <row r="1686" ht="12" customHeight="1"/>
    <row r="1691" ht="12" customHeight="1"/>
    <row r="1725" ht="12" customHeight="1"/>
    <row r="1727" ht="12" customHeight="1"/>
  </sheetData>
  <mergeCells count="1">
    <mergeCell ref="B80:AF80"/>
  </mergeCells>
  <pageMargins left="0.75" right="0.75" top="1" bottom="1" header="0.5" footer="0.5"/>
  <pageSetup orientation="portrait"/>
  <headerFooter>
    <oddFooter>&amp;R_x000D_&amp;1#&amp;"Aptos"&amp;10&amp;K000000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03C4-7235-45AD-8269-AD9D70C3F7DF}">
  <sheetPr>
    <tabColor theme="3" tint="0.749992370372631"/>
  </sheetPr>
  <dimension ref="A1:Q142"/>
  <sheetViews>
    <sheetView zoomScale="130" zoomScaleNormal="130" workbookViewId="0"/>
  </sheetViews>
  <sheetFormatPr defaultRowHeight="15"/>
  <cols>
    <col min="1" max="1" width="24.85546875" customWidth="1"/>
    <col min="2" max="7" width="14" style="33" customWidth="1"/>
    <col min="11" max="11" width="19.85546875" customWidth="1"/>
    <col min="12" max="12" width="25" customWidth="1"/>
    <col min="13" max="13" width="21.28515625" customWidth="1"/>
    <col min="14" max="17" width="17.140625" customWidth="1"/>
  </cols>
  <sheetData>
    <row r="1" spans="1:13">
      <c r="A1" s="23" t="s">
        <v>200</v>
      </c>
    </row>
    <row r="2" spans="1:13">
      <c r="A2" t="s">
        <v>201</v>
      </c>
      <c r="K2" s="23" t="s">
        <v>202</v>
      </c>
      <c r="L2" s="1087">
        <f>'Other Country-Specific Data'!K121</f>
        <v>2.8611905882000001E-2</v>
      </c>
      <c r="M2" s="49" t="s">
        <v>203</v>
      </c>
    </row>
    <row r="3" spans="1:13">
      <c r="A3" t="s">
        <v>204</v>
      </c>
      <c r="K3" s="23" t="s">
        <v>202</v>
      </c>
      <c r="L3">
        <f>L2*'Unit Conversions'!E6*10^9</f>
        <v>0.10299999999999999</v>
      </c>
      <c r="M3" s="49" t="s">
        <v>205</v>
      </c>
    </row>
    <row r="4" spans="1:13">
      <c r="A4" t="s">
        <v>206</v>
      </c>
      <c r="K4" s="23" t="s">
        <v>202</v>
      </c>
      <c r="L4">
        <f>L3*10^3</f>
        <v>103</v>
      </c>
      <c r="M4" s="49" t="s">
        <v>207</v>
      </c>
    </row>
    <row r="5" spans="1:13" ht="15.75" thickBot="1"/>
    <row r="6" spans="1:13" ht="45">
      <c r="A6" s="23" t="s">
        <v>208</v>
      </c>
      <c r="K6" s="1098" t="s">
        <v>209</v>
      </c>
      <c r="L6" s="1099" t="s">
        <v>210</v>
      </c>
      <c r="M6" s="1100" t="s">
        <v>211</v>
      </c>
    </row>
    <row r="7" spans="1:13">
      <c r="A7" t="s">
        <v>212</v>
      </c>
      <c r="K7" s="1101">
        <v>0</v>
      </c>
      <c r="L7" s="648">
        <f>($L$4-K7)/$L$4</f>
        <v>1</v>
      </c>
      <c r="M7" s="1130">
        <f>'H2 Production Cost'!E174</f>
        <v>0.30539004379663309</v>
      </c>
    </row>
    <row r="8" spans="1:13">
      <c r="A8" t="s">
        <v>213</v>
      </c>
      <c r="K8" s="1101">
        <v>20</v>
      </c>
      <c r="L8" s="648">
        <f>($L$4-K8)/$L$4</f>
        <v>0.80582524271844658</v>
      </c>
      <c r="M8" s="1130">
        <f>'H2 Production Cost'!E175</f>
        <v>1.1826073932703174</v>
      </c>
    </row>
    <row r="9" spans="1:13">
      <c r="A9" t="s">
        <v>214</v>
      </c>
      <c r="K9" s="1101">
        <v>40</v>
      </c>
      <c r="L9" s="648">
        <f t="shared" ref="L9:L17" si="0">($L$4-K9)/$L$4</f>
        <v>0.61165048543689315</v>
      </c>
      <c r="M9" s="1130">
        <f>'H2 Production Cost'!E176</f>
        <v>2.0598247427440017</v>
      </c>
    </row>
    <row r="10" spans="1:13">
      <c r="K10" s="1101">
        <v>60</v>
      </c>
      <c r="L10" s="648">
        <f t="shared" si="0"/>
        <v>0.41747572815533979</v>
      </c>
      <c r="M10" s="1130">
        <f>'H2 Production Cost'!E177</f>
        <v>2.9370420922176859</v>
      </c>
    </row>
    <row r="11" spans="1:13">
      <c r="A11" s="106" t="s">
        <v>215</v>
      </c>
      <c r="K11" s="1101">
        <v>80</v>
      </c>
      <c r="L11" s="648">
        <f t="shared" si="0"/>
        <v>0.22330097087378642</v>
      </c>
      <c r="M11" s="1130">
        <f>'H2 Production Cost'!E178</f>
        <v>3.8142594416913704</v>
      </c>
    </row>
    <row r="12" spans="1:13">
      <c r="K12" s="1101">
        <v>100</v>
      </c>
      <c r="L12" s="648">
        <f t="shared" si="0"/>
        <v>2.9126213592233011E-2</v>
      </c>
      <c r="M12" s="1130">
        <f>'H2 Production Cost'!E179</f>
        <v>4.691476791165055</v>
      </c>
    </row>
    <row r="13" spans="1:13">
      <c r="A13" s="23" t="s">
        <v>216</v>
      </c>
      <c r="K13" s="1101">
        <v>120</v>
      </c>
      <c r="L13" s="648">
        <f t="shared" si="0"/>
        <v>-0.1650485436893204</v>
      </c>
      <c r="M13" s="1102"/>
    </row>
    <row r="14" spans="1:13">
      <c r="K14" s="1101">
        <v>140</v>
      </c>
      <c r="L14" s="648">
        <f t="shared" si="0"/>
        <v>-0.35922330097087379</v>
      </c>
      <c r="M14" s="1102"/>
    </row>
    <row r="15" spans="1:13">
      <c r="A15" t="s">
        <v>217</v>
      </c>
      <c r="K15" s="1101">
        <v>160</v>
      </c>
      <c r="L15" s="648">
        <f t="shared" si="0"/>
        <v>-0.55339805825242716</v>
      </c>
      <c r="M15" s="1102"/>
    </row>
    <row r="16" spans="1:13">
      <c r="K16" s="1101">
        <v>180</v>
      </c>
      <c r="L16" s="648">
        <f t="shared" si="0"/>
        <v>-0.74757281553398058</v>
      </c>
      <c r="M16" s="1102"/>
    </row>
    <row r="17" spans="1:13" ht="15.75" thickBot="1">
      <c r="A17" t="s">
        <v>218</v>
      </c>
      <c r="B17" s="1095">
        <f>L15</f>
        <v>-0.55339805825242716</v>
      </c>
      <c r="K17" s="1103">
        <v>200</v>
      </c>
      <c r="L17" s="1104">
        <f t="shared" si="0"/>
        <v>-0.94174757281553401</v>
      </c>
      <c r="M17" s="1105"/>
    </row>
    <row r="18" spans="1:13">
      <c r="A18" t="s">
        <v>219</v>
      </c>
      <c r="B18" s="1096">
        <v>244.55726574748121</v>
      </c>
      <c r="K18" s="58" t="s">
        <v>220</v>
      </c>
    </row>
    <row r="20" spans="1:13">
      <c r="A20" t="s">
        <v>221</v>
      </c>
    </row>
    <row r="21" spans="1:13">
      <c r="A21" t="s">
        <v>222</v>
      </c>
    </row>
    <row r="23" spans="1:13">
      <c r="A23" t="s">
        <v>223</v>
      </c>
      <c r="B23" s="1132">
        <f>M9</f>
        <v>2.0598247427440017</v>
      </c>
    </row>
    <row r="25" spans="1:13">
      <c r="A25" s="106" t="s">
        <v>224</v>
      </c>
    </row>
    <row r="27" spans="1:13">
      <c r="A27" s="23" t="s">
        <v>225</v>
      </c>
    </row>
    <row r="28" spans="1:13">
      <c r="A28" t="s">
        <v>226</v>
      </c>
    </row>
    <row r="29" spans="1:13">
      <c r="A29" t="s">
        <v>227</v>
      </c>
    </row>
    <row r="30" spans="1:13">
      <c r="A30" t="s">
        <v>228</v>
      </c>
    </row>
    <row r="31" spans="1:13">
      <c r="A31" t="s">
        <v>229</v>
      </c>
    </row>
    <row r="32" spans="1:13">
      <c r="A32" s="58" t="s">
        <v>230</v>
      </c>
    </row>
    <row r="34" spans="1:7">
      <c r="A34" s="23" t="s">
        <v>231</v>
      </c>
    </row>
    <row r="35" spans="1:7">
      <c r="A35" t="s">
        <v>232</v>
      </c>
    </row>
    <row r="36" spans="1:7">
      <c r="A36" t="s">
        <v>233</v>
      </c>
    </row>
    <row r="38" spans="1:7">
      <c r="A38" s="23" t="s">
        <v>234</v>
      </c>
    </row>
    <row r="39" spans="1:7">
      <c r="A39" t="s">
        <v>235</v>
      </c>
    </row>
    <row r="40" spans="1:7">
      <c r="A40" t="s">
        <v>236</v>
      </c>
    </row>
    <row r="42" spans="1:7">
      <c r="A42" s="535" t="s">
        <v>237</v>
      </c>
      <c r="B42" s="1097"/>
      <c r="C42" s="1097"/>
      <c r="D42" s="1097"/>
    </row>
    <row r="43" spans="1:7">
      <c r="A43" t="s">
        <v>54</v>
      </c>
      <c r="B43" s="1107">
        <f>Graphs!B208</f>
        <v>-49.477871314940785</v>
      </c>
      <c r="C43" t="s">
        <v>85</v>
      </c>
      <c r="G43"/>
    </row>
    <row r="44" spans="1:7">
      <c r="A44" t="s">
        <v>55</v>
      </c>
      <c r="B44" s="1107">
        <f>Graphs!B209</f>
        <v>17.746447500528575</v>
      </c>
      <c r="C44" t="s">
        <v>85</v>
      </c>
    </row>
    <row r="45" spans="1:7">
      <c r="A45" t="s">
        <v>56</v>
      </c>
      <c r="B45" s="1107">
        <f>Graphs!B210</f>
        <v>-0.55942570353636256</v>
      </c>
      <c r="C45" t="s">
        <v>85</v>
      </c>
      <c r="G45" s="780"/>
    </row>
    <row r="46" spans="1:7">
      <c r="A46" t="s">
        <v>57</v>
      </c>
      <c r="B46" s="1107">
        <f>Graphs!B211</f>
        <v>87.260175993635926</v>
      </c>
      <c r="C46" t="s">
        <v>85</v>
      </c>
      <c r="G46" s="780"/>
    </row>
    <row r="47" spans="1:7">
      <c r="G47" s="780"/>
    </row>
    <row r="48" spans="1:7">
      <c r="B48" s="1070"/>
      <c r="C48"/>
      <c r="G48" s="780"/>
    </row>
    <row r="49" spans="1:17">
      <c r="A49" s="106" t="s">
        <v>238</v>
      </c>
      <c r="B49" s="1106"/>
      <c r="C49" s="1106"/>
      <c r="D49" s="1106"/>
      <c r="E49" s="1106"/>
      <c r="F49" s="1106"/>
      <c r="G49" s="780"/>
    </row>
    <row r="50" spans="1:17">
      <c r="G50" s="780"/>
    </row>
    <row r="51" spans="1:17">
      <c r="A51" s="535" t="s">
        <v>17</v>
      </c>
      <c r="B51" s="536"/>
      <c r="C51" s="536"/>
      <c r="D51" s="536"/>
      <c r="E51" s="536"/>
      <c r="F51" s="536"/>
      <c r="G51" s="1109"/>
      <c r="H51" s="536"/>
      <c r="I51" s="536"/>
      <c r="J51" s="536"/>
      <c r="K51" s="536"/>
      <c r="L51" s="1109"/>
      <c r="M51" s="1109"/>
      <c r="N51" s="1109"/>
      <c r="O51" s="33"/>
      <c r="P51" s="33"/>
      <c r="Q51" s="780"/>
    </row>
    <row r="52" spans="1:17">
      <c r="B52" s="24" t="s">
        <v>239</v>
      </c>
      <c r="C52" s="104"/>
      <c r="D52" s="104"/>
      <c r="E52" s="104"/>
      <c r="F52" s="104"/>
      <c r="G52" s="780"/>
      <c r="L52" s="780"/>
      <c r="M52" s="780"/>
      <c r="N52" s="780"/>
      <c r="O52" s="33"/>
      <c r="P52" s="33"/>
      <c r="Q52" s="780"/>
    </row>
    <row r="53" spans="1:17" ht="30">
      <c r="A53" s="100" t="s">
        <v>209</v>
      </c>
      <c r="B53" s="101" t="s">
        <v>240</v>
      </c>
      <c r="C53" s="101" t="s">
        <v>54</v>
      </c>
      <c r="D53" s="101" t="s">
        <v>55</v>
      </c>
      <c r="E53" s="101" t="s">
        <v>56</v>
      </c>
      <c r="F53" s="101" t="s">
        <v>57</v>
      </c>
      <c r="G53" s="101"/>
      <c r="L53" s="780"/>
      <c r="M53" s="780"/>
      <c r="N53" s="780"/>
      <c r="O53" s="33"/>
      <c r="P53" s="780"/>
      <c r="Q53" s="780"/>
    </row>
    <row r="54" spans="1:17">
      <c r="A54">
        <v>0</v>
      </c>
      <c r="B54" s="780">
        <v>0</v>
      </c>
      <c r="C54" s="780"/>
      <c r="E54" s="33">
        <v>47.157369908207855</v>
      </c>
      <c r="G54" s="780"/>
      <c r="L54" s="780"/>
      <c r="M54" s="780"/>
      <c r="N54" s="780"/>
      <c r="O54" s="33"/>
      <c r="P54" s="780"/>
      <c r="Q54" s="780"/>
    </row>
    <row r="55" spans="1:17">
      <c r="A55">
        <v>20</v>
      </c>
      <c r="B55" s="780"/>
      <c r="C55" s="780"/>
      <c r="F55" s="33">
        <v>116.80067622299875</v>
      </c>
      <c r="G55" s="780"/>
    </row>
    <row r="56" spans="1:17">
      <c r="A56">
        <v>40</v>
      </c>
      <c r="B56" s="780"/>
      <c r="C56" s="780"/>
      <c r="G56" s="780"/>
    </row>
    <row r="57" spans="1:17">
      <c r="A57">
        <v>60</v>
      </c>
      <c r="B57" s="780"/>
      <c r="C57" s="780"/>
      <c r="F57" s="33">
        <v>380.00479220501234</v>
      </c>
    </row>
    <row r="58" spans="1:17">
      <c r="A58">
        <v>80</v>
      </c>
      <c r="B58" s="780"/>
      <c r="C58" s="780"/>
      <c r="D58" s="33">
        <v>48.035701449508686</v>
      </c>
    </row>
    <row r="59" spans="1:17">
      <c r="A59">
        <v>100</v>
      </c>
      <c r="B59" s="780"/>
      <c r="C59" s="780"/>
    </row>
    <row r="60" spans="1:17">
      <c r="A60">
        <v>120</v>
      </c>
      <c r="B60" s="780"/>
      <c r="C60" s="780"/>
    </row>
    <row r="61" spans="1:17">
      <c r="A61">
        <v>140</v>
      </c>
      <c r="B61" s="780"/>
      <c r="C61" s="780"/>
      <c r="D61" s="33">
        <v>182.51581855413863</v>
      </c>
    </row>
    <row r="62" spans="1:17">
      <c r="A62">
        <v>160</v>
      </c>
      <c r="B62" s="780"/>
      <c r="C62" s="780">
        <v>67.331328659314082</v>
      </c>
      <c r="D62" s="780"/>
    </row>
    <row r="63" spans="1:17">
      <c r="A63">
        <v>180</v>
      </c>
      <c r="B63" s="780"/>
      <c r="C63" s="780"/>
      <c r="D63" s="780"/>
    </row>
    <row r="64" spans="1:17">
      <c r="A64">
        <v>200</v>
      </c>
      <c r="B64" s="780">
        <v>0</v>
      </c>
      <c r="C64" s="780">
        <v>110.51697691537177</v>
      </c>
      <c r="D64" s="780"/>
      <c r="E64" s="33">
        <v>47.157369908207855</v>
      </c>
    </row>
    <row r="90" spans="1:14">
      <c r="A90" s="535" t="s">
        <v>142</v>
      </c>
      <c r="B90" s="536"/>
      <c r="C90" s="536"/>
      <c r="D90" s="536"/>
      <c r="E90" s="536"/>
      <c r="F90" s="536"/>
      <c r="G90" s="1097"/>
      <c r="H90" s="536"/>
      <c r="I90" s="536"/>
      <c r="J90" s="536"/>
      <c r="K90" s="536"/>
      <c r="L90" s="536"/>
      <c r="M90" s="536"/>
      <c r="N90" s="536"/>
    </row>
    <row r="91" spans="1:14">
      <c r="B91" s="24" t="s">
        <v>239</v>
      </c>
      <c r="C91" s="104"/>
      <c r="D91" s="104"/>
      <c r="E91" s="104"/>
      <c r="F91" s="104"/>
    </row>
    <row r="92" spans="1:14" ht="30">
      <c r="A92" s="100" t="s">
        <v>209</v>
      </c>
      <c r="B92" s="101" t="s">
        <v>240</v>
      </c>
      <c r="C92" s="101" t="s">
        <v>54</v>
      </c>
      <c r="D92" s="101" t="s">
        <v>55</v>
      </c>
      <c r="E92" s="101" t="s">
        <v>56</v>
      </c>
      <c r="F92" s="101" t="s">
        <v>57</v>
      </c>
    </row>
    <row r="93" spans="1:14">
      <c r="A93">
        <v>0</v>
      </c>
      <c r="B93" s="780">
        <v>0</v>
      </c>
      <c r="C93" s="780"/>
      <c r="E93" s="33">
        <v>27.593613562211438</v>
      </c>
    </row>
    <row r="94" spans="1:14">
      <c r="A94">
        <v>20</v>
      </c>
      <c r="B94" s="780"/>
      <c r="C94" s="780"/>
      <c r="F94" s="33">
        <v>83.97591036423492</v>
      </c>
    </row>
    <row r="95" spans="1:14">
      <c r="A95">
        <v>40</v>
      </c>
      <c r="B95" s="780"/>
      <c r="C95" s="780"/>
      <c r="F95" s="33">
        <v>183.88149091115403</v>
      </c>
    </row>
    <row r="96" spans="1:14">
      <c r="A96">
        <v>60</v>
      </c>
      <c r="B96" s="780"/>
      <c r="C96" s="780"/>
    </row>
    <row r="97" spans="1:5">
      <c r="A97">
        <v>80</v>
      </c>
      <c r="B97" s="780"/>
      <c r="C97" s="780"/>
      <c r="D97" s="33">
        <v>70.049991634285547</v>
      </c>
    </row>
    <row r="98" spans="1:5">
      <c r="A98">
        <v>100</v>
      </c>
      <c r="B98" s="780"/>
      <c r="C98" s="780"/>
      <c r="D98" s="33">
        <v>104.83679459684967</v>
      </c>
    </row>
    <row r="99" spans="1:5">
      <c r="A99">
        <v>120</v>
      </c>
      <c r="B99" s="780"/>
      <c r="C99" s="780"/>
    </row>
    <row r="100" spans="1:5">
      <c r="A100">
        <v>140</v>
      </c>
      <c r="B100" s="780"/>
      <c r="C100" s="780"/>
    </row>
    <row r="101" spans="1:5">
      <c r="A101">
        <v>160</v>
      </c>
      <c r="B101" s="780"/>
      <c r="C101" s="780">
        <v>60.624968115864931</v>
      </c>
      <c r="D101" s="780"/>
    </row>
    <row r="102" spans="1:5">
      <c r="A102">
        <v>180</v>
      </c>
      <c r="B102" s="780"/>
      <c r="C102" s="780">
        <v>76.03378348771642</v>
      </c>
      <c r="D102" s="780"/>
    </row>
    <row r="103" spans="1:5">
      <c r="A103">
        <v>200</v>
      </c>
      <c r="B103" s="780">
        <v>0</v>
      </c>
      <c r="C103" s="780"/>
      <c r="D103" s="780"/>
      <c r="E103" s="33">
        <v>27.593613562211438</v>
      </c>
    </row>
    <row r="129" spans="1:14">
      <c r="A129" s="535" t="s">
        <v>143</v>
      </c>
      <c r="B129" s="536"/>
      <c r="C129" s="536"/>
      <c r="D129" s="536"/>
      <c r="E129" s="536"/>
      <c r="F129" s="536"/>
      <c r="G129" s="1097"/>
      <c r="H129" s="536"/>
      <c r="I129" s="536"/>
      <c r="J129" s="536"/>
      <c r="K129" s="536"/>
      <c r="L129" s="536"/>
      <c r="M129" s="536"/>
      <c r="N129" s="536"/>
    </row>
    <row r="130" spans="1:14">
      <c r="B130" s="24" t="s">
        <v>239</v>
      </c>
      <c r="C130" s="104"/>
      <c r="D130" s="104"/>
      <c r="E130" s="104"/>
      <c r="F130" s="104"/>
    </row>
    <row r="131" spans="1:14" ht="30">
      <c r="A131" s="100" t="s">
        <v>209</v>
      </c>
      <c r="B131" s="101" t="s">
        <v>240</v>
      </c>
      <c r="C131" s="101" t="s">
        <v>54</v>
      </c>
      <c r="D131" s="101" t="s">
        <v>55</v>
      </c>
      <c r="E131" s="101" t="s">
        <v>56</v>
      </c>
      <c r="F131" s="101" t="s">
        <v>57</v>
      </c>
    </row>
    <row r="132" spans="1:14">
      <c r="A132">
        <v>0</v>
      </c>
      <c r="B132" s="780">
        <v>0</v>
      </c>
      <c r="C132" s="780"/>
      <c r="E132" s="33">
        <v>29.105165896266861</v>
      </c>
    </row>
    <row r="133" spans="1:14">
      <c r="A133">
        <v>20</v>
      </c>
      <c r="B133" s="780"/>
      <c r="C133" s="780"/>
      <c r="F133" s="33">
        <v>124.29658290017255</v>
      </c>
    </row>
    <row r="134" spans="1:14">
      <c r="A134">
        <v>40</v>
      </c>
      <c r="B134" s="780"/>
      <c r="C134" s="780"/>
      <c r="F134" s="33">
        <v>244.55726574748121</v>
      </c>
    </row>
    <row r="135" spans="1:14">
      <c r="A135">
        <v>60</v>
      </c>
      <c r="B135" s="780"/>
      <c r="C135" s="780"/>
    </row>
    <row r="136" spans="1:14">
      <c r="A136">
        <v>80</v>
      </c>
      <c r="B136" s="780"/>
      <c r="C136" s="780"/>
    </row>
    <row r="137" spans="1:14">
      <c r="A137">
        <v>100</v>
      </c>
      <c r="B137" s="780"/>
      <c r="C137" s="780"/>
    </row>
    <row r="138" spans="1:14">
      <c r="A138">
        <v>120</v>
      </c>
      <c r="B138" s="780"/>
      <c r="C138" s="780"/>
      <c r="D138" s="33">
        <v>167.6363176019006</v>
      </c>
    </row>
    <row r="139" spans="1:14">
      <c r="A139">
        <v>140</v>
      </c>
      <c r="B139" s="780"/>
      <c r="C139" s="780"/>
    </row>
    <row r="140" spans="1:14">
      <c r="A140">
        <v>160</v>
      </c>
      <c r="B140" s="780"/>
      <c r="C140" s="780">
        <v>83.745891280557998</v>
      </c>
      <c r="D140" s="780">
        <v>241.87122079088957</v>
      </c>
    </row>
    <row r="141" spans="1:14">
      <c r="A141">
        <v>180</v>
      </c>
      <c r="B141" s="780"/>
      <c r="C141" s="780">
        <v>101.04549780245739</v>
      </c>
      <c r="D141" s="780"/>
    </row>
    <row r="142" spans="1:14">
      <c r="A142">
        <v>200</v>
      </c>
      <c r="B142" s="780">
        <v>0</v>
      </c>
      <c r="C142" s="780"/>
      <c r="D142" s="780"/>
      <c r="E142" s="33">
        <v>29.105165896266861</v>
      </c>
    </row>
  </sheetData>
  <phoneticPr fontId="52" type="noConversion"/>
  <pageMargins left="0.7" right="0.7" top="0.75" bottom="0.75" header="0.3" footer="0.3"/>
  <headerFooter>
    <oddFooter>&amp;R_x000D_&amp;1#&amp;"Aptos"&amp;10&amp;K000000 Official Use Only</oddFooter>
  </headerFooter>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1CE1D-DCFD-4CEF-8BAB-672C56190410}">
  <dimension ref="A1:AG1652"/>
  <sheetViews>
    <sheetView workbookViewId="0">
      <pane xSplit="2" ySplit="1" topLeftCell="G42" activePane="bottomRight" state="frozen"/>
      <selection pane="bottomRight" activeCell="G98" sqref="G98"/>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10" spans="1:33" ht="15" customHeight="1">
      <c r="A10" s="800" t="s">
        <v>4706</v>
      </c>
      <c r="B10" s="801" t="s">
        <v>4707</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B15" s="808" t="s">
        <v>4708</v>
      </c>
      <c r="C15" s="802"/>
      <c r="D15" s="802"/>
      <c r="E15" s="802"/>
      <c r="F15" s="802"/>
      <c r="G15" s="802"/>
      <c r="H15" s="802"/>
      <c r="I15" s="802"/>
      <c r="J15" s="802"/>
      <c r="K15" s="802"/>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ht="15" customHeight="1">
      <c r="B16" s="808" t="s">
        <v>4709</v>
      </c>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A17" s="800" t="s">
        <v>4710</v>
      </c>
      <c r="B17" s="812" t="s">
        <v>4711</v>
      </c>
      <c r="C17" s="813">
        <v>0.45211000000000001</v>
      </c>
      <c r="D17" s="813">
        <v>0.47812199999999999</v>
      </c>
      <c r="E17" s="813">
        <v>1.709274</v>
      </c>
      <c r="F17" s="813">
        <v>1.8168839999999999</v>
      </c>
      <c r="G17" s="813">
        <v>1.9121349999999999</v>
      </c>
      <c r="H17" s="813">
        <v>1.9844820000000001</v>
      </c>
      <c r="I17" s="813">
        <v>2.0141420000000001</v>
      </c>
      <c r="J17" s="813">
        <v>2.0136099999999999</v>
      </c>
      <c r="K17" s="813">
        <v>1.991654</v>
      </c>
      <c r="L17" s="813">
        <v>1.9739439999999999</v>
      </c>
      <c r="M17" s="813">
        <v>1.965219</v>
      </c>
      <c r="N17" s="813">
        <v>1.9642250000000001</v>
      </c>
      <c r="O17" s="813">
        <v>1.9726379999999999</v>
      </c>
      <c r="P17" s="813">
        <v>1.9958340000000001</v>
      </c>
      <c r="Q17" s="813">
        <v>2.0229659999999998</v>
      </c>
      <c r="R17" s="813">
        <v>2.045992</v>
      </c>
      <c r="S17" s="813">
        <v>2.0611899999999999</v>
      </c>
      <c r="T17" s="813">
        <v>2.0910150000000001</v>
      </c>
      <c r="U17" s="813">
        <v>2.1031810000000002</v>
      </c>
      <c r="V17" s="813">
        <v>2.120539</v>
      </c>
      <c r="W17" s="813">
        <v>2.143967</v>
      </c>
      <c r="X17" s="813">
        <v>2.1669939999999999</v>
      </c>
      <c r="Y17" s="813">
        <v>2.1862020000000002</v>
      </c>
      <c r="Z17" s="813">
        <v>2.200008</v>
      </c>
      <c r="AA17" s="813">
        <v>2.2193480000000001</v>
      </c>
      <c r="AB17" s="813">
        <v>2.2406700000000002</v>
      </c>
      <c r="AC17" s="813">
        <v>2.2510759999999999</v>
      </c>
      <c r="AD17" s="813">
        <v>2.2601939999999998</v>
      </c>
      <c r="AE17" s="813">
        <v>2.279525</v>
      </c>
      <c r="AF17" s="814">
        <v>5.9479999999999998E-2</v>
      </c>
      <c r="AG17" s="802"/>
    </row>
    <row r="18" spans="1:33" ht="15" customHeight="1">
      <c r="A18" s="800" t="s">
        <v>4712</v>
      </c>
      <c r="B18" s="812" t="s">
        <v>4713</v>
      </c>
      <c r="C18" s="813">
        <v>0</v>
      </c>
      <c r="D18" s="813">
        <v>0</v>
      </c>
      <c r="E18" s="813">
        <v>0</v>
      </c>
      <c r="F18" s="813">
        <v>0</v>
      </c>
      <c r="G18" s="813">
        <v>0</v>
      </c>
      <c r="H18" s="813">
        <v>0</v>
      </c>
      <c r="I18" s="813">
        <v>0</v>
      </c>
      <c r="J18" s="813">
        <v>0</v>
      </c>
      <c r="K18" s="813">
        <v>0</v>
      </c>
      <c r="L18" s="813">
        <v>0</v>
      </c>
      <c r="M18" s="813">
        <v>0</v>
      </c>
      <c r="N18" s="813">
        <v>0</v>
      </c>
      <c r="O18" s="813">
        <v>0</v>
      </c>
      <c r="P18" s="813">
        <v>0</v>
      </c>
      <c r="Q18" s="813">
        <v>0</v>
      </c>
      <c r="R18" s="813">
        <v>0</v>
      </c>
      <c r="S18" s="813">
        <v>0</v>
      </c>
      <c r="T18" s="813">
        <v>0</v>
      </c>
      <c r="U18" s="813">
        <v>0</v>
      </c>
      <c r="V18" s="813">
        <v>0</v>
      </c>
      <c r="W18" s="813">
        <v>0</v>
      </c>
      <c r="X18" s="813">
        <v>0</v>
      </c>
      <c r="Y18" s="813">
        <v>0</v>
      </c>
      <c r="Z18" s="813">
        <v>0</v>
      </c>
      <c r="AA18" s="813">
        <v>0</v>
      </c>
      <c r="AB18" s="813">
        <v>0</v>
      </c>
      <c r="AC18" s="813">
        <v>0</v>
      </c>
      <c r="AD18" s="813">
        <v>0</v>
      </c>
      <c r="AE18" s="813">
        <v>0</v>
      </c>
      <c r="AF18" s="814" t="s">
        <v>2805</v>
      </c>
      <c r="AG18" s="802"/>
    </row>
    <row r="19" spans="1:33" ht="12" customHeight="1">
      <c r="A19" s="800" t="s">
        <v>4714</v>
      </c>
      <c r="B19" s="812" t="s">
        <v>4715</v>
      </c>
      <c r="C19" s="813">
        <v>1.1E-5</v>
      </c>
      <c r="D19" s="813">
        <v>9.0000000000000002E-6</v>
      </c>
      <c r="E19" s="813">
        <v>9.0000000000000002E-6</v>
      </c>
      <c r="F19" s="813">
        <v>9.0000000000000002E-6</v>
      </c>
      <c r="G19" s="813">
        <v>7.9999999999999996E-6</v>
      </c>
      <c r="H19" s="813">
        <v>7.9999999999999996E-6</v>
      </c>
      <c r="I19" s="813">
        <v>7.9999999999999996E-6</v>
      </c>
      <c r="J19" s="813">
        <v>6.9999999999999999E-6</v>
      </c>
      <c r="K19" s="813">
        <v>6.9999999999999999E-6</v>
      </c>
      <c r="L19" s="813">
        <v>6.9999999999999999E-6</v>
      </c>
      <c r="M19" s="813">
        <v>6.9999999999999999E-6</v>
      </c>
      <c r="N19" s="813">
        <v>6.9999999999999999E-6</v>
      </c>
      <c r="O19" s="813">
        <v>6.9999999999999999E-6</v>
      </c>
      <c r="P19" s="813">
        <v>6.9999999999999999E-6</v>
      </c>
      <c r="Q19" s="813">
        <v>6.9999999999999999E-6</v>
      </c>
      <c r="R19" s="813">
        <v>6.9999999999999999E-6</v>
      </c>
      <c r="S19" s="813">
        <v>6.9999999999999999E-6</v>
      </c>
      <c r="T19" s="813">
        <v>6.9999999999999999E-6</v>
      </c>
      <c r="U19" s="813">
        <v>6.9999999999999999E-6</v>
      </c>
      <c r="V19" s="813">
        <v>6.9999999999999999E-6</v>
      </c>
      <c r="W19" s="813">
        <v>6.9999999999999999E-6</v>
      </c>
      <c r="X19" s="813">
        <v>6.9999999999999999E-6</v>
      </c>
      <c r="Y19" s="813">
        <v>6.9999999999999999E-6</v>
      </c>
      <c r="Z19" s="813">
        <v>6.9999999999999999E-6</v>
      </c>
      <c r="AA19" s="813">
        <v>6.9999999999999999E-6</v>
      </c>
      <c r="AB19" s="813">
        <v>6.9999999999999999E-6</v>
      </c>
      <c r="AC19" s="813">
        <v>6.9999999999999999E-6</v>
      </c>
      <c r="AD19" s="813">
        <v>6.9999999999999999E-6</v>
      </c>
      <c r="AE19" s="813">
        <v>6.9999999999999999E-6</v>
      </c>
      <c r="AF19" s="814">
        <v>-1.7125999999999999E-2</v>
      </c>
      <c r="AG19" s="802"/>
    </row>
    <row r="20" spans="1:33" ht="12" customHeight="1">
      <c r="A20" s="800" t="s">
        <v>4716</v>
      </c>
      <c r="B20" s="812" t="s">
        <v>4717</v>
      </c>
      <c r="C20" s="813">
        <v>0</v>
      </c>
      <c r="D20" s="813">
        <v>0</v>
      </c>
      <c r="E20" s="813">
        <v>0</v>
      </c>
      <c r="F20" s="813">
        <v>0</v>
      </c>
      <c r="G20" s="813">
        <v>0</v>
      </c>
      <c r="H20" s="813">
        <v>0</v>
      </c>
      <c r="I20" s="813">
        <v>0</v>
      </c>
      <c r="J20" s="813">
        <v>0</v>
      </c>
      <c r="K20" s="813">
        <v>0</v>
      </c>
      <c r="L20" s="813">
        <v>0</v>
      </c>
      <c r="M20" s="813">
        <v>0</v>
      </c>
      <c r="N20" s="813">
        <v>0</v>
      </c>
      <c r="O20" s="813">
        <v>0</v>
      </c>
      <c r="P20" s="813">
        <v>0</v>
      </c>
      <c r="Q20" s="813">
        <v>0</v>
      </c>
      <c r="R20" s="813">
        <v>0</v>
      </c>
      <c r="S20" s="813">
        <v>0</v>
      </c>
      <c r="T20" s="813">
        <v>0</v>
      </c>
      <c r="U20" s="813">
        <v>0</v>
      </c>
      <c r="V20" s="813">
        <v>0</v>
      </c>
      <c r="W20" s="813">
        <v>0</v>
      </c>
      <c r="X20" s="813">
        <v>0</v>
      </c>
      <c r="Y20" s="813">
        <v>0</v>
      </c>
      <c r="Z20" s="813">
        <v>0</v>
      </c>
      <c r="AA20" s="813">
        <v>0</v>
      </c>
      <c r="AB20" s="813">
        <v>0</v>
      </c>
      <c r="AC20" s="813">
        <v>0</v>
      </c>
      <c r="AD20" s="813">
        <v>0</v>
      </c>
      <c r="AE20" s="813">
        <v>0</v>
      </c>
      <c r="AF20" s="814" t="s">
        <v>2805</v>
      </c>
      <c r="AG20" s="802"/>
    </row>
    <row r="21" spans="1:33" ht="12" customHeight="1">
      <c r="A21" s="800" t="s">
        <v>4718</v>
      </c>
      <c r="B21" s="812" t="s">
        <v>4719</v>
      </c>
      <c r="C21" s="813">
        <v>0.45212000000000002</v>
      </c>
      <c r="D21" s="813">
        <v>0.47813099999999997</v>
      </c>
      <c r="E21" s="813">
        <v>1.7092830000000001</v>
      </c>
      <c r="F21" s="813">
        <v>1.816892</v>
      </c>
      <c r="G21" s="813">
        <v>1.9121429999999999</v>
      </c>
      <c r="H21" s="813">
        <v>1.9844900000000001</v>
      </c>
      <c r="I21" s="813">
        <v>2.0141499999999999</v>
      </c>
      <c r="J21" s="813">
        <v>2.013617</v>
      </c>
      <c r="K21" s="813">
        <v>1.9916609999999999</v>
      </c>
      <c r="L21" s="813">
        <v>1.973951</v>
      </c>
      <c r="M21" s="813">
        <v>1.9652259999999999</v>
      </c>
      <c r="N21" s="813">
        <v>1.964232</v>
      </c>
      <c r="O21" s="813">
        <v>1.972645</v>
      </c>
      <c r="P21" s="813">
        <v>1.9958400000000001</v>
      </c>
      <c r="Q21" s="813">
        <v>2.0229729999999999</v>
      </c>
      <c r="R21" s="813">
        <v>2.0459990000000001</v>
      </c>
      <c r="S21" s="813">
        <v>2.0611969999999999</v>
      </c>
      <c r="T21" s="813">
        <v>2.0910220000000002</v>
      </c>
      <c r="U21" s="813">
        <v>2.1031879999999998</v>
      </c>
      <c r="V21" s="813">
        <v>2.120546</v>
      </c>
      <c r="W21" s="813">
        <v>2.1439729999999999</v>
      </c>
      <c r="X21" s="813">
        <v>2.167001</v>
      </c>
      <c r="Y21" s="813">
        <v>2.1862080000000002</v>
      </c>
      <c r="Z21" s="813">
        <v>2.2000150000000001</v>
      </c>
      <c r="AA21" s="813">
        <v>2.2193550000000002</v>
      </c>
      <c r="AB21" s="813">
        <v>2.2406760000000001</v>
      </c>
      <c r="AC21" s="813">
        <v>2.2510819999999998</v>
      </c>
      <c r="AD21" s="813">
        <v>2.2602000000000002</v>
      </c>
      <c r="AE21" s="813">
        <v>2.279531</v>
      </c>
      <c r="AF21" s="814">
        <v>5.9478999999999997E-2</v>
      </c>
      <c r="AG21" s="802"/>
    </row>
    <row r="22" spans="1:33" ht="12" customHeight="1">
      <c r="A22" s="800" t="s">
        <v>4720</v>
      </c>
      <c r="B22" s="812" t="s">
        <v>4721</v>
      </c>
      <c r="C22" s="813">
        <v>102.578468</v>
      </c>
      <c r="D22" s="813">
        <v>99.825942999999995</v>
      </c>
      <c r="E22" s="813">
        <v>101.083382</v>
      </c>
      <c r="F22" s="813">
        <v>103.46230300000001</v>
      </c>
      <c r="G22" s="813">
        <v>107.18259399999999</v>
      </c>
      <c r="H22" s="813">
        <v>110.009727</v>
      </c>
      <c r="I22" s="813">
        <v>111.277405</v>
      </c>
      <c r="J22" s="813">
        <v>111.65347300000001</v>
      </c>
      <c r="K22" s="813">
        <v>111.427429</v>
      </c>
      <c r="L22" s="813">
        <v>111.481949</v>
      </c>
      <c r="M22" s="813">
        <v>112.568146</v>
      </c>
      <c r="N22" s="813">
        <v>113.537514</v>
      </c>
      <c r="O22" s="813">
        <v>114.52179700000001</v>
      </c>
      <c r="P22" s="813">
        <v>116.041115</v>
      </c>
      <c r="Q22" s="813">
        <v>118.05961600000001</v>
      </c>
      <c r="R22" s="813">
        <v>120.09549699999999</v>
      </c>
      <c r="S22" s="813">
        <v>121.933868</v>
      </c>
      <c r="T22" s="813">
        <v>123.85060900000001</v>
      </c>
      <c r="U22" s="813">
        <v>125.065468</v>
      </c>
      <c r="V22" s="813">
        <v>126.83641799999999</v>
      </c>
      <c r="W22" s="813">
        <v>128.63923600000001</v>
      </c>
      <c r="X22" s="813">
        <v>130.29096999999999</v>
      </c>
      <c r="Y22" s="813">
        <v>131.43810999999999</v>
      </c>
      <c r="Z22" s="813">
        <v>132.02441400000001</v>
      </c>
      <c r="AA22" s="813">
        <v>132.11932400000001</v>
      </c>
      <c r="AB22" s="813">
        <v>133.35704000000001</v>
      </c>
      <c r="AC22" s="813">
        <v>134.09229999999999</v>
      </c>
      <c r="AD22" s="813">
        <v>134.44712799999999</v>
      </c>
      <c r="AE22" s="813">
        <v>135.98568700000001</v>
      </c>
      <c r="AF22" s="814">
        <v>1.0119E-2</v>
      </c>
      <c r="AG22" s="802"/>
    </row>
    <row r="23" spans="1:33" ht="12" customHeight="1">
      <c r="A23" s="800" t="s">
        <v>4722</v>
      </c>
      <c r="B23" s="812" t="s">
        <v>4723</v>
      </c>
      <c r="C23" s="813">
        <v>0</v>
      </c>
      <c r="D23" s="813">
        <v>0</v>
      </c>
      <c r="E23" s="813">
        <v>0</v>
      </c>
      <c r="F23" s="813">
        <v>0</v>
      </c>
      <c r="G23" s="813">
        <v>0</v>
      </c>
      <c r="H23" s="813">
        <v>0</v>
      </c>
      <c r="I23" s="813">
        <v>0</v>
      </c>
      <c r="J23" s="813">
        <v>0</v>
      </c>
      <c r="K23" s="813">
        <v>0</v>
      </c>
      <c r="L23" s="813">
        <v>0</v>
      </c>
      <c r="M23" s="813">
        <v>0</v>
      </c>
      <c r="N23" s="813">
        <v>0</v>
      </c>
      <c r="O23" s="813">
        <v>0</v>
      </c>
      <c r="P23" s="813">
        <v>0</v>
      </c>
      <c r="Q23" s="813">
        <v>0</v>
      </c>
      <c r="R23" s="813">
        <v>0</v>
      </c>
      <c r="S23" s="813">
        <v>0</v>
      </c>
      <c r="T23" s="813">
        <v>0</v>
      </c>
      <c r="U23" s="813">
        <v>0</v>
      </c>
      <c r="V23" s="813">
        <v>0</v>
      </c>
      <c r="W23" s="813">
        <v>0</v>
      </c>
      <c r="X23" s="813">
        <v>0</v>
      </c>
      <c r="Y23" s="813">
        <v>0</v>
      </c>
      <c r="Z23" s="813">
        <v>0</v>
      </c>
      <c r="AA23" s="813">
        <v>0</v>
      </c>
      <c r="AB23" s="813">
        <v>0</v>
      </c>
      <c r="AC23" s="813">
        <v>0</v>
      </c>
      <c r="AD23" s="813">
        <v>0</v>
      </c>
      <c r="AE23" s="813">
        <v>0</v>
      </c>
      <c r="AF23" s="814" t="s">
        <v>2805</v>
      </c>
      <c r="AG23" s="802"/>
    </row>
    <row r="24" spans="1:33" ht="12" customHeight="1">
      <c r="A24" s="800" t="s">
        <v>4724</v>
      </c>
      <c r="B24" s="812" t="s">
        <v>4725</v>
      </c>
      <c r="C24" s="813">
        <v>0</v>
      </c>
      <c r="D24" s="813">
        <v>0</v>
      </c>
      <c r="E24" s="813">
        <v>0</v>
      </c>
      <c r="F24" s="813">
        <v>0</v>
      </c>
      <c r="G24" s="813">
        <v>0</v>
      </c>
      <c r="H24" s="813">
        <v>0</v>
      </c>
      <c r="I24" s="813">
        <v>0</v>
      </c>
      <c r="J24" s="813">
        <v>0</v>
      </c>
      <c r="K24" s="813">
        <v>0</v>
      </c>
      <c r="L24" s="813">
        <v>0</v>
      </c>
      <c r="M24" s="813">
        <v>0</v>
      </c>
      <c r="N24" s="813">
        <v>0</v>
      </c>
      <c r="O24" s="813">
        <v>0</v>
      </c>
      <c r="P24" s="813">
        <v>0</v>
      </c>
      <c r="Q24" s="813">
        <v>0</v>
      </c>
      <c r="R24" s="813">
        <v>0</v>
      </c>
      <c r="S24" s="813">
        <v>0</v>
      </c>
      <c r="T24" s="813">
        <v>0</v>
      </c>
      <c r="U24" s="813">
        <v>0</v>
      </c>
      <c r="V24" s="813">
        <v>0</v>
      </c>
      <c r="W24" s="813">
        <v>0</v>
      </c>
      <c r="X24" s="813">
        <v>0</v>
      </c>
      <c r="Y24" s="813">
        <v>0</v>
      </c>
      <c r="Z24" s="813">
        <v>0</v>
      </c>
      <c r="AA24" s="813">
        <v>0</v>
      </c>
      <c r="AB24" s="813">
        <v>0</v>
      </c>
      <c r="AC24" s="813">
        <v>0</v>
      </c>
      <c r="AD24" s="813">
        <v>0</v>
      </c>
      <c r="AE24" s="813">
        <v>0</v>
      </c>
      <c r="AF24" s="814" t="s">
        <v>2805</v>
      </c>
      <c r="AG24" s="802"/>
    </row>
    <row r="25" spans="1:33" ht="12" customHeight="1">
      <c r="A25" s="800" t="s">
        <v>4726</v>
      </c>
      <c r="B25" s="812" t="s">
        <v>4727</v>
      </c>
      <c r="C25" s="813">
        <v>0</v>
      </c>
      <c r="D25" s="813">
        <v>0</v>
      </c>
      <c r="E25" s="813">
        <v>0</v>
      </c>
      <c r="F25" s="813">
        <v>0</v>
      </c>
      <c r="G25" s="813">
        <v>0</v>
      </c>
      <c r="H25" s="813">
        <v>0</v>
      </c>
      <c r="I25" s="813">
        <v>0</v>
      </c>
      <c r="J25" s="813">
        <v>0</v>
      </c>
      <c r="K25" s="813">
        <v>0</v>
      </c>
      <c r="L25" s="813">
        <v>0</v>
      </c>
      <c r="M25" s="813">
        <v>0</v>
      </c>
      <c r="N25" s="813">
        <v>0</v>
      </c>
      <c r="O25" s="813">
        <v>0</v>
      </c>
      <c r="P25" s="813">
        <v>0</v>
      </c>
      <c r="Q25" s="813">
        <v>0</v>
      </c>
      <c r="R25" s="813">
        <v>0</v>
      </c>
      <c r="S25" s="813">
        <v>0</v>
      </c>
      <c r="T25" s="813">
        <v>0</v>
      </c>
      <c r="U25" s="813">
        <v>0</v>
      </c>
      <c r="V25" s="813">
        <v>0</v>
      </c>
      <c r="W25" s="813">
        <v>0</v>
      </c>
      <c r="X25" s="813">
        <v>0</v>
      </c>
      <c r="Y25" s="813">
        <v>0</v>
      </c>
      <c r="Z25" s="813">
        <v>0</v>
      </c>
      <c r="AA25" s="813">
        <v>0</v>
      </c>
      <c r="AB25" s="813">
        <v>0</v>
      </c>
      <c r="AC25" s="813">
        <v>0</v>
      </c>
      <c r="AD25" s="813">
        <v>0</v>
      </c>
      <c r="AE25" s="813">
        <v>0</v>
      </c>
      <c r="AF25" s="814" t="s">
        <v>2805</v>
      </c>
      <c r="AG25" s="802"/>
    </row>
    <row r="26" spans="1:33" ht="15" customHeight="1">
      <c r="A26" s="800" t="s">
        <v>4728</v>
      </c>
      <c r="B26" s="812" t="s">
        <v>4729</v>
      </c>
      <c r="C26" s="813">
        <v>125.776955</v>
      </c>
      <c r="D26" s="813">
        <v>127.16297900000001</v>
      </c>
      <c r="E26" s="813">
        <v>126.457787</v>
      </c>
      <c r="F26" s="813">
        <v>128.45335399999999</v>
      </c>
      <c r="G26" s="813">
        <v>132.195908</v>
      </c>
      <c r="H26" s="813">
        <v>135.408447</v>
      </c>
      <c r="I26" s="813">
        <v>137.21099899999999</v>
      </c>
      <c r="J26" s="813">
        <v>138.25152600000001</v>
      </c>
      <c r="K26" s="813">
        <v>138.56539900000001</v>
      </c>
      <c r="L26" s="813">
        <v>139.38414</v>
      </c>
      <c r="M26" s="813">
        <v>141.544601</v>
      </c>
      <c r="N26" s="813">
        <v>143.26284799999999</v>
      </c>
      <c r="O26" s="813">
        <v>145.03793300000001</v>
      </c>
      <c r="P26" s="813">
        <v>147.529999</v>
      </c>
      <c r="Q26" s="813">
        <v>149.90872200000001</v>
      </c>
      <c r="R26" s="813">
        <v>152.377411</v>
      </c>
      <c r="S26" s="813">
        <v>154.855988</v>
      </c>
      <c r="T26" s="813">
        <v>156.50228899999999</v>
      </c>
      <c r="U26" s="813">
        <v>158.23181199999999</v>
      </c>
      <c r="V26" s="813">
        <v>160.46942100000001</v>
      </c>
      <c r="W26" s="813">
        <v>162.47732500000001</v>
      </c>
      <c r="X26" s="813">
        <v>164.08531199999999</v>
      </c>
      <c r="Y26" s="813">
        <v>165.00178500000001</v>
      </c>
      <c r="Z26" s="813">
        <v>165.60652200000001</v>
      </c>
      <c r="AA26" s="813">
        <v>166.57661400000001</v>
      </c>
      <c r="AB26" s="813">
        <v>167.85218800000001</v>
      </c>
      <c r="AC26" s="813">
        <v>168.40815699999999</v>
      </c>
      <c r="AD26" s="813">
        <v>168.51461800000001</v>
      </c>
      <c r="AE26" s="813">
        <v>170.36708100000001</v>
      </c>
      <c r="AF26" s="814">
        <v>1.0895999999999999E-2</v>
      </c>
      <c r="AG26" s="802"/>
    </row>
    <row r="27" spans="1:33" ht="15" customHeight="1">
      <c r="A27" s="800" t="s">
        <v>4730</v>
      </c>
      <c r="B27" s="808" t="s">
        <v>4731</v>
      </c>
      <c r="C27" s="811">
        <v>228.80754099999999</v>
      </c>
      <c r="D27" s="811">
        <v>227.46705600000001</v>
      </c>
      <c r="E27" s="811">
        <v>229.25045800000001</v>
      </c>
      <c r="F27" s="811">
        <v>233.73254399999999</v>
      </c>
      <c r="G27" s="811">
        <v>241.290649</v>
      </c>
      <c r="H27" s="811">
        <v>247.40266399999999</v>
      </c>
      <c r="I27" s="811">
        <v>250.50256300000001</v>
      </c>
      <c r="J27" s="811">
        <v>251.91861</v>
      </c>
      <c r="K27" s="811">
        <v>251.984497</v>
      </c>
      <c r="L27" s="811">
        <v>252.84004200000001</v>
      </c>
      <c r="M27" s="811">
        <v>256.07797199999999</v>
      </c>
      <c r="N27" s="811">
        <v>258.76458700000001</v>
      </c>
      <c r="O27" s="811">
        <v>261.53237899999999</v>
      </c>
      <c r="P27" s="811">
        <v>265.566956</v>
      </c>
      <c r="Q27" s="811">
        <v>269.99130200000002</v>
      </c>
      <c r="R27" s="811">
        <v>274.51892099999998</v>
      </c>
      <c r="S27" s="811">
        <v>278.851044</v>
      </c>
      <c r="T27" s="811">
        <v>282.44390900000002</v>
      </c>
      <c r="U27" s="811">
        <v>285.40045199999997</v>
      </c>
      <c r="V27" s="811">
        <v>289.42639200000002</v>
      </c>
      <c r="W27" s="811">
        <v>293.26052900000002</v>
      </c>
      <c r="X27" s="811">
        <v>296.543274</v>
      </c>
      <c r="Y27" s="811">
        <v>298.62609900000001</v>
      </c>
      <c r="Z27" s="811">
        <v>299.83093300000002</v>
      </c>
      <c r="AA27" s="811">
        <v>300.91528299999999</v>
      </c>
      <c r="AB27" s="811">
        <v>303.44988999999998</v>
      </c>
      <c r="AC27" s="811">
        <v>304.75152600000001</v>
      </c>
      <c r="AD27" s="811">
        <v>305.221924</v>
      </c>
      <c r="AE27" s="811">
        <v>308.632294</v>
      </c>
      <c r="AF27" s="810">
        <v>1.0746E-2</v>
      </c>
      <c r="AG27" s="802"/>
    </row>
    <row r="28" spans="1:33" ht="15" customHeight="1">
      <c r="B28" s="802"/>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row>
    <row r="29" spans="1:33" ht="15" customHeight="1">
      <c r="B29" s="808" t="s">
        <v>4732</v>
      </c>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row>
    <row r="30" spans="1:33" ht="15" customHeight="1">
      <c r="A30" s="800" t="s">
        <v>4733</v>
      </c>
      <c r="B30" s="812" t="s">
        <v>4711</v>
      </c>
      <c r="C30" s="813">
        <v>0.23067699999999999</v>
      </c>
      <c r="D30" s="813">
        <v>0.24471100000000001</v>
      </c>
      <c r="E30" s="813">
        <v>0.89942100000000003</v>
      </c>
      <c r="F30" s="813">
        <v>0.94239200000000001</v>
      </c>
      <c r="G30" s="813">
        <v>0.99237600000000004</v>
      </c>
      <c r="H30" s="813">
        <v>1.0322800000000001</v>
      </c>
      <c r="I30" s="813">
        <v>1.0445180000000001</v>
      </c>
      <c r="J30" s="813">
        <v>1.040586</v>
      </c>
      <c r="K30" s="813">
        <v>1.030351</v>
      </c>
      <c r="L30" s="813">
        <v>1.0226329999999999</v>
      </c>
      <c r="M30" s="813">
        <v>1.0183139999999999</v>
      </c>
      <c r="N30" s="813">
        <v>1.014621</v>
      </c>
      <c r="O30" s="813">
        <v>1.016324</v>
      </c>
      <c r="P30" s="813">
        <v>1.024575</v>
      </c>
      <c r="Q30" s="813">
        <v>1.0347170000000001</v>
      </c>
      <c r="R30" s="813">
        <v>1.042983</v>
      </c>
      <c r="S30" s="813">
        <v>1.0466800000000001</v>
      </c>
      <c r="T30" s="813">
        <v>1.060521</v>
      </c>
      <c r="U30" s="813">
        <v>1.0640829999999999</v>
      </c>
      <c r="V30" s="813">
        <v>1.0701909999999999</v>
      </c>
      <c r="W30" s="813">
        <v>1.080506</v>
      </c>
      <c r="X30" s="813">
        <v>1.091477</v>
      </c>
      <c r="Y30" s="813">
        <v>1.101866</v>
      </c>
      <c r="Z30" s="813">
        <v>1.110681</v>
      </c>
      <c r="AA30" s="813">
        <v>1.1244620000000001</v>
      </c>
      <c r="AB30" s="813">
        <v>1.1369929999999999</v>
      </c>
      <c r="AC30" s="813">
        <v>1.1465920000000001</v>
      </c>
      <c r="AD30" s="813">
        <v>1.156123</v>
      </c>
      <c r="AE30" s="813">
        <v>1.166728</v>
      </c>
      <c r="AF30" s="814">
        <v>5.9598999999999999E-2</v>
      </c>
      <c r="AG30" s="802"/>
    </row>
    <row r="31" spans="1:33" ht="15" customHeight="1">
      <c r="A31" s="800" t="s">
        <v>4734</v>
      </c>
      <c r="B31" s="812" t="s">
        <v>4713</v>
      </c>
      <c r="C31" s="813">
        <v>1.07894</v>
      </c>
      <c r="D31" s="813">
        <v>1.0824609999999999</v>
      </c>
      <c r="E31" s="813">
        <v>1.0732409999999999</v>
      </c>
      <c r="F31" s="813">
        <v>1.0761449999999999</v>
      </c>
      <c r="G31" s="813">
        <v>1.1047819999999999</v>
      </c>
      <c r="H31" s="813">
        <v>1.128447</v>
      </c>
      <c r="I31" s="813">
        <v>1.133364</v>
      </c>
      <c r="J31" s="813">
        <v>1.1372150000000001</v>
      </c>
      <c r="K31" s="813">
        <v>1.1417710000000001</v>
      </c>
      <c r="L31" s="813">
        <v>1.1533880000000001</v>
      </c>
      <c r="M31" s="813">
        <v>1.177335</v>
      </c>
      <c r="N31" s="813">
        <v>1.1952929999999999</v>
      </c>
      <c r="O31" s="813">
        <v>1.210299</v>
      </c>
      <c r="P31" s="813">
        <v>1.229546</v>
      </c>
      <c r="Q31" s="813">
        <v>1.2481500000000001</v>
      </c>
      <c r="R31" s="813">
        <v>1.2662040000000001</v>
      </c>
      <c r="S31" s="813">
        <v>1.2837430000000001</v>
      </c>
      <c r="T31" s="813">
        <v>1.29742</v>
      </c>
      <c r="U31" s="813">
        <v>1.3107359999999999</v>
      </c>
      <c r="V31" s="813">
        <v>1.3269519999999999</v>
      </c>
      <c r="W31" s="813">
        <v>1.341477</v>
      </c>
      <c r="X31" s="813">
        <v>1.3522510000000001</v>
      </c>
      <c r="Y31" s="813">
        <v>1.359728</v>
      </c>
      <c r="Z31" s="813">
        <v>1.3652960000000001</v>
      </c>
      <c r="AA31" s="813">
        <v>1.3766719999999999</v>
      </c>
      <c r="AB31" s="813">
        <v>1.3897090000000001</v>
      </c>
      <c r="AC31" s="813">
        <v>1.401386</v>
      </c>
      <c r="AD31" s="813">
        <v>1.408253</v>
      </c>
      <c r="AE31" s="813">
        <v>1.424283</v>
      </c>
      <c r="AF31" s="814">
        <v>9.9670000000000002E-3</v>
      </c>
      <c r="AG31" s="802"/>
    </row>
    <row r="32" spans="1:33" ht="15" customHeight="1">
      <c r="A32" s="800" t="s">
        <v>4735</v>
      </c>
      <c r="B32" s="812" t="s">
        <v>4715</v>
      </c>
      <c r="C32" s="813">
        <v>1.8320000000000001E-3</v>
      </c>
      <c r="D32" s="813">
        <v>1.598E-3</v>
      </c>
      <c r="E32" s="813">
        <v>1.537E-3</v>
      </c>
      <c r="F32" s="813">
        <v>1.477E-3</v>
      </c>
      <c r="G32" s="813">
        <v>1.4189999999999999E-3</v>
      </c>
      <c r="H32" s="813">
        <v>1.364E-3</v>
      </c>
      <c r="I32" s="813">
        <v>1.3129999999999999E-3</v>
      </c>
      <c r="J32" s="813">
        <v>1.2669999999999999E-3</v>
      </c>
      <c r="K32" s="813">
        <v>1.2260000000000001E-3</v>
      </c>
      <c r="L32" s="813">
        <v>1.1919999999999999E-3</v>
      </c>
      <c r="M32" s="813">
        <v>1.165E-3</v>
      </c>
      <c r="N32" s="813">
        <v>1.145E-3</v>
      </c>
      <c r="O32" s="813">
        <v>1.1329999999999999E-3</v>
      </c>
      <c r="P32" s="813">
        <v>1.129E-3</v>
      </c>
      <c r="Q32" s="813">
        <v>1.129E-3</v>
      </c>
      <c r="R32" s="813">
        <v>1.129E-3</v>
      </c>
      <c r="S32" s="813">
        <v>1.129E-3</v>
      </c>
      <c r="T32" s="813">
        <v>1.129E-3</v>
      </c>
      <c r="U32" s="813">
        <v>1.129E-3</v>
      </c>
      <c r="V32" s="813">
        <v>1.129E-3</v>
      </c>
      <c r="W32" s="813">
        <v>1.129E-3</v>
      </c>
      <c r="X32" s="813">
        <v>1.129E-3</v>
      </c>
      <c r="Y32" s="813">
        <v>1.129E-3</v>
      </c>
      <c r="Z32" s="813">
        <v>1.129E-3</v>
      </c>
      <c r="AA32" s="813">
        <v>1.129E-3</v>
      </c>
      <c r="AB32" s="813">
        <v>1.129E-3</v>
      </c>
      <c r="AC32" s="813">
        <v>1.129E-3</v>
      </c>
      <c r="AD32" s="813">
        <v>1.129E-3</v>
      </c>
      <c r="AE32" s="813">
        <v>1.129E-3</v>
      </c>
      <c r="AF32" s="814">
        <v>-1.7125999999999999E-2</v>
      </c>
      <c r="AG32" s="802"/>
    </row>
    <row r="33" spans="1:33" ht="15" customHeight="1">
      <c r="A33" s="800" t="s">
        <v>4736</v>
      </c>
      <c r="B33" s="812" t="s">
        <v>4717</v>
      </c>
      <c r="C33" s="813">
        <v>0</v>
      </c>
      <c r="D33" s="813">
        <v>0</v>
      </c>
      <c r="E33" s="813">
        <v>0</v>
      </c>
      <c r="F33" s="813">
        <v>0</v>
      </c>
      <c r="G33" s="813">
        <v>0</v>
      </c>
      <c r="H33" s="813">
        <v>0</v>
      </c>
      <c r="I33" s="813">
        <v>0</v>
      </c>
      <c r="J33" s="813">
        <v>0</v>
      </c>
      <c r="K33" s="813">
        <v>0</v>
      </c>
      <c r="L33" s="813">
        <v>0</v>
      </c>
      <c r="M33" s="813">
        <v>0</v>
      </c>
      <c r="N33" s="813">
        <v>0</v>
      </c>
      <c r="O33" s="813">
        <v>0</v>
      </c>
      <c r="P33" s="813">
        <v>0</v>
      </c>
      <c r="Q33" s="813">
        <v>0</v>
      </c>
      <c r="R33" s="813">
        <v>0</v>
      </c>
      <c r="S33" s="813">
        <v>0</v>
      </c>
      <c r="T33" s="813">
        <v>0</v>
      </c>
      <c r="U33" s="813">
        <v>0</v>
      </c>
      <c r="V33" s="813">
        <v>0</v>
      </c>
      <c r="W33" s="813">
        <v>0</v>
      </c>
      <c r="X33" s="813">
        <v>0</v>
      </c>
      <c r="Y33" s="813">
        <v>0</v>
      </c>
      <c r="Z33" s="813">
        <v>0</v>
      </c>
      <c r="AA33" s="813">
        <v>0</v>
      </c>
      <c r="AB33" s="813">
        <v>0</v>
      </c>
      <c r="AC33" s="813">
        <v>0</v>
      </c>
      <c r="AD33" s="813">
        <v>0</v>
      </c>
      <c r="AE33" s="813">
        <v>0</v>
      </c>
      <c r="AF33" s="814" t="s">
        <v>2805</v>
      </c>
      <c r="AG33" s="802"/>
    </row>
    <row r="34" spans="1:33" ht="15" customHeight="1">
      <c r="A34" s="800" t="s">
        <v>4737</v>
      </c>
      <c r="B34" s="812" t="s">
        <v>4719</v>
      </c>
      <c r="C34" s="813">
        <v>1.3114490000000001</v>
      </c>
      <c r="D34" s="813">
        <v>1.3287709999999999</v>
      </c>
      <c r="E34" s="813">
        <v>1.974199</v>
      </c>
      <c r="F34" s="813">
        <v>2.0200140000000002</v>
      </c>
      <c r="G34" s="813">
        <v>2.0985770000000001</v>
      </c>
      <c r="H34" s="813">
        <v>2.1620910000000002</v>
      </c>
      <c r="I34" s="813">
        <v>2.179195</v>
      </c>
      <c r="J34" s="813">
        <v>2.1790669999999999</v>
      </c>
      <c r="K34" s="813">
        <v>2.173349</v>
      </c>
      <c r="L34" s="813">
        <v>2.1772130000000001</v>
      </c>
      <c r="M34" s="813">
        <v>2.1968139999999998</v>
      </c>
      <c r="N34" s="813">
        <v>2.2110599999999998</v>
      </c>
      <c r="O34" s="813">
        <v>2.227757</v>
      </c>
      <c r="P34" s="813">
        <v>2.2552500000000002</v>
      </c>
      <c r="Q34" s="813">
        <v>2.2839960000000001</v>
      </c>
      <c r="R34" s="813">
        <v>2.310317</v>
      </c>
      <c r="S34" s="813">
        <v>2.3315519999999998</v>
      </c>
      <c r="T34" s="813">
        <v>2.3590689999999999</v>
      </c>
      <c r="U34" s="813">
        <v>2.3759480000000002</v>
      </c>
      <c r="V34" s="813">
        <v>2.3982730000000001</v>
      </c>
      <c r="W34" s="813">
        <v>2.4231129999999999</v>
      </c>
      <c r="X34" s="813">
        <v>2.4448569999999998</v>
      </c>
      <c r="Y34" s="813">
        <v>2.4627240000000001</v>
      </c>
      <c r="Z34" s="813">
        <v>2.477106</v>
      </c>
      <c r="AA34" s="813">
        <v>2.5022630000000001</v>
      </c>
      <c r="AB34" s="813">
        <v>2.5278309999999999</v>
      </c>
      <c r="AC34" s="813">
        <v>2.5491069999999998</v>
      </c>
      <c r="AD34" s="813">
        <v>2.5655049999999999</v>
      </c>
      <c r="AE34" s="813">
        <v>2.5921400000000001</v>
      </c>
      <c r="AF34" s="814">
        <v>2.4632000000000001E-2</v>
      </c>
      <c r="AG34" s="802"/>
    </row>
    <row r="35" spans="1:33" ht="15" customHeight="1">
      <c r="A35" s="800" t="s">
        <v>4738</v>
      </c>
      <c r="B35" s="812" t="s">
        <v>4721</v>
      </c>
      <c r="C35" s="813">
        <v>49.375003999999997</v>
      </c>
      <c r="D35" s="813">
        <v>48.999771000000003</v>
      </c>
      <c r="E35" s="813">
        <v>50.323120000000003</v>
      </c>
      <c r="F35" s="813">
        <v>51.430129999999998</v>
      </c>
      <c r="G35" s="813">
        <v>53.901386000000002</v>
      </c>
      <c r="H35" s="813">
        <v>55.871155000000002</v>
      </c>
      <c r="I35" s="813">
        <v>56.537163</v>
      </c>
      <c r="J35" s="813">
        <v>56.568618999999998</v>
      </c>
      <c r="K35" s="813">
        <v>56.473053</v>
      </c>
      <c r="L35" s="813">
        <v>56.555076999999997</v>
      </c>
      <c r="M35" s="813">
        <v>57.108649999999997</v>
      </c>
      <c r="N35" s="813">
        <v>57.492503999999997</v>
      </c>
      <c r="O35" s="813">
        <v>57.985844</v>
      </c>
      <c r="P35" s="813">
        <v>58.641685000000003</v>
      </c>
      <c r="Q35" s="813">
        <v>59.559868000000002</v>
      </c>
      <c r="R35" s="813">
        <v>60.352820999999999</v>
      </c>
      <c r="S35" s="813">
        <v>60.932053000000003</v>
      </c>
      <c r="T35" s="813">
        <v>61.964390000000002</v>
      </c>
      <c r="U35" s="813">
        <v>62.414535999999998</v>
      </c>
      <c r="V35" s="813">
        <v>63.086880000000001</v>
      </c>
      <c r="W35" s="813">
        <v>63.956088999999999</v>
      </c>
      <c r="X35" s="813">
        <v>64.805542000000003</v>
      </c>
      <c r="Y35" s="813">
        <v>65.513756000000001</v>
      </c>
      <c r="Z35" s="813">
        <v>66.034760000000006</v>
      </c>
      <c r="AA35" s="813">
        <v>66.296843999999993</v>
      </c>
      <c r="AB35" s="813">
        <v>67.237572</v>
      </c>
      <c r="AC35" s="813">
        <v>68.118949999999998</v>
      </c>
      <c r="AD35" s="813">
        <v>68.812950000000001</v>
      </c>
      <c r="AE35" s="813">
        <v>69.589478</v>
      </c>
      <c r="AF35" s="814">
        <v>1.2331E-2</v>
      </c>
      <c r="AG35" s="802"/>
    </row>
    <row r="36" spans="1:33" ht="15" customHeight="1">
      <c r="A36" s="800" t="s">
        <v>4739</v>
      </c>
      <c r="B36" s="812" t="s">
        <v>4725</v>
      </c>
      <c r="C36" s="813">
        <v>0</v>
      </c>
      <c r="D36" s="813">
        <v>0</v>
      </c>
      <c r="E36" s="813">
        <v>0</v>
      </c>
      <c r="F36" s="813">
        <v>0</v>
      </c>
      <c r="G36" s="813">
        <v>0</v>
      </c>
      <c r="H36" s="813">
        <v>0</v>
      </c>
      <c r="I36" s="813">
        <v>0</v>
      </c>
      <c r="J36" s="813">
        <v>0</v>
      </c>
      <c r="K36" s="813">
        <v>0</v>
      </c>
      <c r="L36" s="813">
        <v>0</v>
      </c>
      <c r="M36" s="813">
        <v>0</v>
      </c>
      <c r="N36" s="813">
        <v>0</v>
      </c>
      <c r="O36" s="813">
        <v>0</v>
      </c>
      <c r="P36" s="813">
        <v>0</v>
      </c>
      <c r="Q36" s="813">
        <v>0</v>
      </c>
      <c r="R36" s="813">
        <v>0</v>
      </c>
      <c r="S36" s="813">
        <v>0</v>
      </c>
      <c r="T36" s="813">
        <v>0</v>
      </c>
      <c r="U36" s="813">
        <v>0</v>
      </c>
      <c r="V36" s="813">
        <v>0</v>
      </c>
      <c r="W36" s="813">
        <v>0</v>
      </c>
      <c r="X36" s="813">
        <v>0</v>
      </c>
      <c r="Y36" s="813">
        <v>0</v>
      </c>
      <c r="Z36" s="813">
        <v>0</v>
      </c>
      <c r="AA36" s="813">
        <v>0</v>
      </c>
      <c r="AB36" s="813">
        <v>0</v>
      </c>
      <c r="AC36" s="813">
        <v>0</v>
      </c>
      <c r="AD36" s="813">
        <v>0</v>
      </c>
      <c r="AE36" s="813">
        <v>0</v>
      </c>
      <c r="AF36" s="814" t="s">
        <v>2805</v>
      </c>
      <c r="AG36" s="802"/>
    </row>
    <row r="37" spans="1:33" ht="15" customHeight="1">
      <c r="A37" s="800" t="s">
        <v>4740</v>
      </c>
      <c r="B37" s="812" t="s">
        <v>4727</v>
      </c>
      <c r="C37" s="813">
        <v>0</v>
      </c>
      <c r="D37" s="813">
        <v>0</v>
      </c>
      <c r="E37" s="813">
        <v>0</v>
      </c>
      <c r="F37" s="813">
        <v>0</v>
      </c>
      <c r="G37" s="813">
        <v>0</v>
      </c>
      <c r="H37" s="813">
        <v>0</v>
      </c>
      <c r="I37" s="813">
        <v>0</v>
      </c>
      <c r="J37" s="813">
        <v>0</v>
      </c>
      <c r="K37" s="813">
        <v>0</v>
      </c>
      <c r="L37" s="813">
        <v>0</v>
      </c>
      <c r="M37" s="813">
        <v>0</v>
      </c>
      <c r="N37" s="813">
        <v>0</v>
      </c>
      <c r="O37" s="813">
        <v>0</v>
      </c>
      <c r="P37" s="813">
        <v>0</v>
      </c>
      <c r="Q37" s="813">
        <v>0</v>
      </c>
      <c r="R37" s="813">
        <v>0</v>
      </c>
      <c r="S37" s="813">
        <v>0</v>
      </c>
      <c r="T37" s="813">
        <v>0</v>
      </c>
      <c r="U37" s="813">
        <v>0</v>
      </c>
      <c r="V37" s="813">
        <v>0</v>
      </c>
      <c r="W37" s="813">
        <v>0</v>
      </c>
      <c r="X37" s="813">
        <v>0</v>
      </c>
      <c r="Y37" s="813">
        <v>0</v>
      </c>
      <c r="Z37" s="813">
        <v>0</v>
      </c>
      <c r="AA37" s="813">
        <v>0</v>
      </c>
      <c r="AB37" s="813">
        <v>0</v>
      </c>
      <c r="AC37" s="813">
        <v>0</v>
      </c>
      <c r="AD37" s="813">
        <v>0</v>
      </c>
      <c r="AE37" s="813">
        <v>0</v>
      </c>
      <c r="AF37" s="814" t="s">
        <v>2805</v>
      </c>
      <c r="AG37" s="802"/>
    </row>
    <row r="38" spans="1:33" ht="15" customHeight="1">
      <c r="A38" s="800" t="s">
        <v>4741</v>
      </c>
      <c r="B38" s="812" t="s">
        <v>4729</v>
      </c>
      <c r="C38" s="813">
        <v>73.197120999999996</v>
      </c>
      <c r="D38" s="813">
        <v>74.159453999999997</v>
      </c>
      <c r="E38" s="813">
        <v>73.637352000000007</v>
      </c>
      <c r="F38" s="813">
        <v>74.167259000000001</v>
      </c>
      <c r="G38" s="813">
        <v>76.560410000000005</v>
      </c>
      <c r="H38" s="813">
        <v>78.778625000000005</v>
      </c>
      <c r="I38" s="813">
        <v>79.758803999999998</v>
      </c>
      <c r="J38" s="813">
        <v>80.314186000000007</v>
      </c>
      <c r="K38" s="813">
        <v>80.750313000000006</v>
      </c>
      <c r="L38" s="813">
        <v>81.603790000000004</v>
      </c>
      <c r="M38" s="813">
        <v>83.149642999999998</v>
      </c>
      <c r="N38" s="813">
        <v>84.178237999999993</v>
      </c>
      <c r="O38" s="813">
        <v>85.361312999999996</v>
      </c>
      <c r="P38" s="813">
        <v>86.836699999999993</v>
      </c>
      <c r="Q38" s="813">
        <v>87.996750000000006</v>
      </c>
      <c r="R38" s="813">
        <v>89.078011000000004</v>
      </c>
      <c r="S38" s="813">
        <v>90.145606999999998</v>
      </c>
      <c r="T38" s="813">
        <v>90.943923999999996</v>
      </c>
      <c r="U38" s="813">
        <v>91.868149000000003</v>
      </c>
      <c r="V38" s="813">
        <v>92.921028000000007</v>
      </c>
      <c r="W38" s="813">
        <v>93.971283</v>
      </c>
      <c r="X38" s="813">
        <v>94.800101999999995</v>
      </c>
      <c r="Y38" s="813">
        <v>95.396682999999996</v>
      </c>
      <c r="Z38" s="813">
        <v>96.081328999999997</v>
      </c>
      <c r="AA38" s="813">
        <v>97.332390000000004</v>
      </c>
      <c r="AB38" s="813">
        <v>98.463402000000002</v>
      </c>
      <c r="AC38" s="813">
        <v>99.447952000000001</v>
      </c>
      <c r="AD38" s="813">
        <v>100.16001900000001</v>
      </c>
      <c r="AE38" s="813">
        <v>101.348297</v>
      </c>
      <c r="AF38" s="814">
        <v>1.1689E-2</v>
      </c>
      <c r="AG38" s="802"/>
    </row>
    <row r="39" spans="1:33" ht="15" customHeight="1">
      <c r="A39" s="800" t="s">
        <v>4742</v>
      </c>
      <c r="B39" s="808" t="s">
        <v>4731</v>
      </c>
      <c r="C39" s="811">
        <v>123.88357499999999</v>
      </c>
      <c r="D39" s="811">
        <v>124.48799099999999</v>
      </c>
      <c r="E39" s="811">
        <v>125.934669</v>
      </c>
      <c r="F39" s="811">
        <v>127.617401</v>
      </c>
      <c r="G39" s="811">
        <v>132.56036399999999</v>
      </c>
      <c r="H39" s="811">
        <v>136.81187399999999</v>
      </c>
      <c r="I39" s="811">
        <v>138.47515899999999</v>
      </c>
      <c r="J39" s="811">
        <v>139.06187399999999</v>
      </c>
      <c r="K39" s="811">
        <v>139.39671300000001</v>
      </c>
      <c r="L39" s="811">
        <v>140.33607499999999</v>
      </c>
      <c r="M39" s="811">
        <v>142.45510899999999</v>
      </c>
      <c r="N39" s="811">
        <v>143.88180500000001</v>
      </c>
      <c r="O39" s="811">
        <v>145.57492099999999</v>
      </c>
      <c r="P39" s="811">
        <v>147.733643</v>
      </c>
      <c r="Q39" s="811">
        <v>149.84060700000001</v>
      </c>
      <c r="R39" s="811">
        <v>151.74115</v>
      </c>
      <c r="S39" s="811">
        <v>153.40921</v>
      </c>
      <c r="T39" s="811">
        <v>155.26738</v>
      </c>
      <c r="U39" s="811">
        <v>156.65862999999999</v>
      </c>
      <c r="V39" s="811">
        <v>158.40618900000001</v>
      </c>
      <c r="W39" s="811">
        <v>160.350494</v>
      </c>
      <c r="X39" s="811">
        <v>162.05050700000001</v>
      </c>
      <c r="Y39" s="811">
        <v>163.37316899999999</v>
      </c>
      <c r="Z39" s="811">
        <v>164.59320099999999</v>
      </c>
      <c r="AA39" s="811">
        <v>166.13149999999999</v>
      </c>
      <c r="AB39" s="811">
        <v>168.22880599999999</v>
      </c>
      <c r="AC39" s="811">
        <v>170.11601300000001</v>
      </c>
      <c r="AD39" s="811">
        <v>171.53848300000001</v>
      </c>
      <c r="AE39" s="811">
        <v>173.52990700000001</v>
      </c>
      <c r="AF39" s="810">
        <v>1.2109E-2</v>
      </c>
      <c r="AG39" s="802"/>
    </row>
    <row r="40" spans="1:33" ht="15" customHeight="1">
      <c r="B40" s="802"/>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row>
    <row r="41" spans="1:33" ht="15" customHeight="1">
      <c r="B41" s="808" t="s">
        <v>4743</v>
      </c>
      <c r="C41" s="802"/>
      <c r="D41" s="802"/>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c r="AG41" s="802"/>
    </row>
    <row r="42" spans="1:33" ht="15" customHeight="1">
      <c r="A42" s="800" t="s">
        <v>4744</v>
      </c>
      <c r="B42" s="812" t="s">
        <v>4711</v>
      </c>
      <c r="C42" s="813">
        <v>0</v>
      </c>
      <c r="D42" s="813">
        <v>0</v>
      </c>
      <c r="E42" s="813">
        <v>0</v>
      </c>
      <c r="F42" s="813">
        <v>0</v>
      </c>
      <c r="G42" s="813">
        <v>0</v>
      </c>
      <c r="H42" s="813">
        <v>0</v>
      </c>
      <c r="I42" s="813">
        <v>0</v>
      </c>
      <c r="J42" s="813">
        <v>0</v>
      </c>
      <c r="K42" s="813">
        <v>0</v>
      </c>
      <c r="L42" s="813">
        <v>0</v>
      </c>
      <c r="M42" s="813">
        <v>0</v>
      </c>
      <c r="N42" s="813">
        <v>0</v>
      </c>
      <c r="O42" s="813">
        <v>0</v>
      </c>
      <c r="P42" s="813">
        <v>0</v>
      </c>
      <c r="Q42" s="813">
        <v>0</v>
      </c>
      <c r="R42" s="813">
        <v>0</v>
      </c>
      <c r="S42" s="813">
        <v>0</v>
      </c>
      <c r="T42" s="813">
        <v>0</v>
      </c>
      <c r="U42" s="813">
        <v>0</v>
      </c>
      <c r="V42" s="813">
        <v>0</v>
      </c>
      <c r="W42" s="813">
        <v>0</v>
      </c>
      <c r="X42" s="813">
        <v>0</v>
      </c>
      <c r="Y42" s="813">
        <v>0</v>
      </c>
      <c r="Z42" s="813">
        <v>0</v>
      </c>
      <c r="AA42" s="813">
        <v>0</v>
      </c>
      <c r="AB42" s="813">
        <v>0</v>
      </c>
      <c r="AC42" s="813">
        <v>0</v>
      </c>
      <c r="AD42" s="813">
        <v>0</v>
      </c>
      <c r="AE42" s="813">
        <v>0</v>
      </c>
      <c r="AF42" s="814" t="s">
        <v>2805</v>
      </c>
      <c r="AG42" s="802"/>
    </row>
    <row r="43" spans="1:33" ht="15" customHeight="1">
      <c r="A43" s="800" t="s">
        <v>4745</v>
      </c>
      <c r="B43" s="812" t="s">
        <v>4713</v>
      </c>
      <c r="C43" s="813">
        <v>0</v>
      </c>
      <c r="D43" s="813">
        <v>0</v>
      </c>
      <c r="E43" s="813">
        <v>0</v>
      </c>
      <c r="F43" s="813">
        <v>0</v>
      </c>
      <c r="G43" s="813">
        <v>0</v>
      </c>
      <c r="H43" s="813">
        <v>0</v>
      </c>
      <c r="I43" s="813">
        <v>0</v>
      </c>
      <c r="J43" s="813">
        <v>0</v>
      </c>
      <c r="K43" s="813">
        <v>0</v>
      </c>
      <c r="L43" s="813">
        <v>0</v>
      </c>
      <c r="M43" s="813">
        <v>0</v>
      </c>
      <c r="N43" s="813">
        <v>0</v>
      </c>
      <c r="O43" s="813">
        <v>0</v>
      </c>
      <c r="P43" s="813">
        <v>0</v>
      </c>
      <c r="Q43" s="813">
        <v>0</v>
      </c>
      <c r="R43" s="813">
        <v>0</v>
      </c>
      <c r="S43" s="813">
        <v>0</v>
      </c>
      <c r="T43" s="813">
        <v>0</v>
      </c>
      <c r="U43" s="813">
        <v>0</v>
      </c>
      <c r="V43" s="813">
        <v>0</v>
      </c>
      <c r="W43" s="813">
        <v>0</v>
      </c>
      <c r="X43" s="813">
        <v>0</v>
      </c>
      <c r="Y43" s="813">
        <v>0</v>
      </c>
      <c r="Z43" s="813">
        <v>0</v>
      </c>
      <c r="AA43" s="813">
        <v>0</v>
      </c>
      <c r="AB43" s="813">
        <v>0</v>
      </c>
      <c r="AC43" s="813">
        <v>0</v>
      </c>
      <c r="AD43" s="813">
        <v>0</v>
      </c>
      <c r="AE43" s="813">
        <v>0</v>
      </c>
      <c r="AF43" s="814" t="s">
        <v>2805</v>
      </c>
      <c r="AG43" s="802"/>
    </row>
    <row r="44" spans="1:33" ht="12" customHeight="1">
      <c r="A44" s="800" t="s">
        <v>4746</v>
      </c>
      <c r="B44" s="812" t="s">
        <v>4715</v>
      </c>
      <c r="C44" s="813">
        <v>4.8999999999999998E-5</v>
      </c>
      <c r="D44" s="813">
        <v>4.3000000000000002E-5</v>
      </c>
      <c r="E44" s="813">
        <v>4.1E-5</v>
      </c>
      <c r="F44" s="813">
        <v>4.0000000000000003E-5</v>
      </c>
      <c r="G44" s="813">
        <v>3.8000000000000002E-5</v>
      </c>
      <c r="H44" s="813">
        <v>3.6999999999999998E-5</v>
      </c>
      <c r="I44" s="813">
        <v>3.4999999999999997E-5</v>
      </c>
      <c r="J44" s="813">
        <v>3.4E-5</v>
      </c>
      <c r="K44" s="813">
        <v>3.3000000000000003E-5</v>
      </c>
      <c r="L44" s="813">
        <v>3.1999999999999999E-5</v>
      </c>
      <c r="M44" s="813">
        <v>3.1000000000000001E-5</v>
      </c>
      <c r="N44" s="813">
        <v>3.1000000000000001E-5</v>
      </c>
      <c r="O44" s="813">
        <v>3.1000000000000001E-5</v>
      </c>
      <c r="P44" s="813">
        <v>3.0000000000000001E-5</v>
      </c>
      <c r="Q44" s="813">
        <v>3.0000000000000001E-5</v>
      </c>
      <c r="R44" s="813">
        <v>3.0000000000000001E-5</v>
      </c>
      <c r="S44" s="813">
        <v>3.0000000000000001E-5</v>
      </c>
      <c r="T44" s="813">
        <v>3.0000000000000001E-5</v>
      </c>
      <c r="U44" s="813">
        <v>3.0000000000000001E-5</v>
      </c>
      <c r="V44" s="813">
        <v>3.0000000000000001E-5</v>
      </c>
      <c r="W44" s="813">
        <v>3.0000000000000001E-5</v>
      </c>
      <c r="X44" s="813">
        <v>3.0000000000000001E-5</v>
      </c>
      <c r="Y44" s="813">
        <v>3.0000000000000001E-5</v>
      </c>
      <c r="Z44" s="813">
        <v>3.0000000000000001E-5</v>
      </c>
      <c r="AA44" s="813">
        <v>3.0000000000000001E-5</v>
      </c>
      <c r="AB44" s="813">
        <v>3.0000000000000001E-5</v>
      </c>
      <c r="AC44" s="813">
        <v>3.0000000000000001E-5</v>
      </c>
      <c r="AD44" s="813">
        <v>3.0000000000000001E-5</v>
      </c>
      <c r="AE44" s="813">
        <v>3.0000000000000001E-5</v>
      </c>
      <c r="AF44" s="814">
        <v>-1.7125999999999999E-2</v>
      </c>
      <c r="AG44" s="802"/>
    </row>
    <row r="45" spans="1:33" ht="15" customHeight="1">
      <c r="A45" s="800" t="s">
        <v>4747</v>
      </c>
      <c r="B45" s="812" t="s">
        <v>4717</v>
      </c>
      <c r="C45" s="813">
        <v>0</v>
      </c>
      <c r="D45" s="813">
        <v>0</v>
      </c>
      <c r="E45" s="813">
        <v>0</v>
      </c>
      <c r="F45" s="813">
        <v>0</v>
      </c>
      <c r="G45" s="813">
        <v>0</v>
      </c>
      <c r="H45" s="813">
        <v>0</v>
      </c>
      <c r="I45" s="813">
        <v>0</v>
      </c>
      <c r="J45" s="813">
        <v>0</v>
      </c>
      <c r="K45" s="813">
        <v>0</v>
      </c>
      <c r="L45" s="813">
        <v>0</v>
      </c>
      <c r="M45" s="813">
        <v>0</v>
      </c>
      <c r="N45" s="813">
        <v>0</v>
      </c>
      <c r="O45" s="813">
        <v>0</v>
      </c>
      <c r="P45" s="813">
        <v>0</v>
      </c>
      <c r="Q45" s="813">
        <v>0</v>
      </c>
      <c r="R45" s="813">
        <v>0</v>
      </c>
      <c r="S45" s="813">
        <v>0</v>
      </c>
      <c r="T45" s="813">
        <v>0</v>
      </c>
      <c r="U45" s="813">
        <v>0</v>
      </c>
      <c r="V45" s="813">
        <v>0</v>
      </c>
      <c r="W45" s="813">
        <v>0</v>
      </c>
      <c r="X45" s="813">
        <v>0</v>
      </c>
      <c r="Y45" s="813">
        <v>0</v>
      </c>
      <c r="Z45" s="813">
        <v>0</v>
      </c>
      <c r="AA45" s="813">
        <v>0</v>
      </c>
      <c r="AB45" s="813">
        <v>0</v>
      </c>
      <c r="AC45" s="813">
        <v>0</v>
      </c>
      <c r="AD45" s="813">
        <v>0</v>
      </c>
      <c r="AE45" s="813">
        <v>0</v>
      </c>
      <c r="AF45" s="814" t="s">
        <v>2805</v>
      </c>
      <c r="AG45" s="802"/>
    </row>
    <row r="46" spans="1:33" ht="15" customHeight="1">
      <c r="A46" s="800" t="s">
        <v>4748</v>
      </c>
      <c r="B46" s="812" t="s">
        <v>4719</v>
      </c>
      <c r="C46" s="813">
        <v>4.8999999999999998E-5</v>
      </c>
      <c r="D46" s="813">
        <v>4.3000000000000002E-5</v>
      </c>
      <c r="E46" s="813">
        <v>4.1E-5</v>
      </c>
      <c r="F46" s="813">
        <v>4.0000000000000003E-5</v>
      </c>
      <c r="G46" s="813">
        <v>3.8000000000000002E-5</v>
      </c>
      <c r="H46" s="813">
        <v>3.6999999999999998E-5</v>
      </c>
      <c r="I46" s="813">
        <v>3.4999999999999997E-5</v>
      </c>
      <c r="J46" s="813">
        <v>3.4E-5</v>
      </c>
      <c r="K46" s="813">
        <v>3.3000000000000003E-5</v>
      </c>
      <c r="L46" s="813">
        <v>3.1999999999999999E-5</v>
      </c>
      <c r="M46" s="813">
        <v>3.1000000000000001E-5</v>
      </c>
      <c r="N46" s="813">
        <v>3.1000000000000001E-5</v>
      </c>
      <c r="O46" s="813">
        <v>3.1000000000000001E-5</v>
      </c>
      <c r="P46" s="813">
        <v>3.0000000000000001E-5</v>
      </c>
      <c r="Q46" s="813">
        <v>3.0000000000000001E-5</v>
      </c>
      <c r="R46" s="813">
        <v>3.0000000000000001E-5</v>
      </c>
      <c r="S46" s="813">
        <v>3.0000000000000001E-5</v>
      </c>
      <c r="T46" s="813">
        <v>3.0000000000000001E-5</v>
      </c>
      <c r="U46" s="813">
        <v>3.0000000000000001E-5</v>
      </c>
      <c r="V46" s="813">
        <v>3.0000000000000001E-5</v>
      </c>
      <c r="W46" s="813">
        <v>3.0000000000000001E-5</v>
      </c>
      <c r="X46" s="813">
        <v>3.0000000000000001E-5</v>
      </c>
      <c r="Y46" s="813">
        <v>3.0000000000000001E-5</v>
      </c>
      <c r="Z46" s="813">
        <v>3.0000000000000001E-5</v>
      </c>
      <c r="AA46" s="813">
        <v>3.0000000000000001E-5</v>
      </c>
      <c r="AB46" s="813">
        <v>3.0000000000000001E-5</v>
      </c>
      <c r="AC46" s="813">
        <v>3.0000000000000001E-5</v>
      </c>
      <c r="AD46" s="813">
        <v>3.0000000000000001E-5</v>
      </c>
      <c r="AE46" s="813">
        <v>3.0000000000000001E-5</v>
      </c>
      <c r="AF46" s="814">
        <v>-1.7125999999999999E-2</v>
      </c>
      <c r="AG46" s="802"/>
    </row>
    <row r="47" spans="1:33" ht="15" customHeight="1">
      <c r="A47" s="800" t="s">
        <v>4749</v>
      </c>
      <c r="B47" s="812" t="s">
        <v>4721</v>
      </c>
      <c r="C47" s="813">
        <v>25.42905</v>
      </c>
      <c r="D47" s="813">
        <v>26.596209000000002</v>
      </c>
      <c r="E47" s="813">
        <v>28.948463</v>
      </c>
      <c r="F47" s="813">
        <v>30.595226</v>
      </c>
      <c r="G47" s="813">
        <v>32.069823999999997</v>
      </c>
      <c r="H47" s="813">
        <v>32.956383000000002</v>
      </c>
      <c r="I47" s="813">
        <v>33.239654999999999</v>
      </c>
      <c r="J47" s="813">
        <v>33.107719000000003</v>
      </c>
      <c r="K47" s="813">
        <v>32.826233000000002</v>
      </c>
      <c r="L47" s="813">
        <v>32.594368000000003</v>
      </c>
      <c r="M47" s="813">
        <v>32.478572999999997</v>
      </c>
      <c r="N47" s="813">
        <v>32.311934999999998</v>
      </c>
      <c r="O47" s="813">
        <v>32.261322</v>
      </c>
      <c r="P47" s="813">
        <v>32.244045</v>
      </c>
      <c r="Q47" s="813">
        <v>32.564495000000001</v>
      </c>
      <c r="R47" s="813">
        <v>32.873736999999998</v>
      </c>
      <c r="S47" s="813">
        <v>33.032200000000003</v>
      </c>
      <c r="T47" s="813">
        <v>33.674548999999999</v>
      </c>
      <c r="U47" s="813">
        <v>33.89875</v>
      </c>
      <c r="V47" s="813">
        <v>34.227679999999999</v>
      </c>
      <c r="W47" s="813">
        <v>34.715733</v>
      </c>
      <c r="X47" s="813">
        <v>35.350600999999997</v>
      </c>
      <c r="Y47" s="813">
        <v>35.976188999999998</v>
      </c>
      <c r="Z47" s="813">
        <v>36.397826999999999</v>
      </c>
      <c r="AA47" s="813">
        <v>36.290599999999998</v>
      </c>
      <c r="AB47" s="813">
        <v>36.851470999999997</v>
      </c>
      <c r="AC47" s="813">
        <v>37.404586999999999</v>
      </c>
      <c r="AD47" s="813">
        <v>37.971558000000002</v>
      </c>
      <c r="AE47" s="813">
        <v>38.440823000000002</v>
      </c>
      <c r="AF47" s="814">
        <v>1.4867999999999999E-2</v>
      </c>
      <c r="AG47" s="802"/>
    </row>
    <row r="48" spans="1:33" ht="15" customHeight="1">
      <c r="A48" s="800" t="s">
        <v>4750</v>
      </c>
      <c r="B48" s="812" t="s">
        <v>4725</v>
      </c>
      <c r="C48" s="813">
        <v>0</v>
      </c>
      <c r="D48" s="813">
        <v>0</v>
      </c>
      <c r="E48" s="813">
        <v>0</v>
      </c>
      <c r="F48" s="813">
        <v>0</v>
      </c>
      <c r="G48" s="813">
        <v>0</v>
      </c>
      <c r="H48" s="813">
        <v>0</v>
      </c>
      <c r="I48" s="813">
        <v>0</v>
      </c>
      <c r="J48" s="813">
        <v>0</v>
      </c>
      <c r="K48" s="813">
        <v>0</v>
      </c>
      <c r="L48" s="813">
        <v>0</v>
      </c>
      <c r="M48" s="813">
        <v>0</v>
      </c>
      <c r="N48" s="813">
        <v>0</v>
      </c>
      <c r="O48" s="813">
        <v>0</v>
      </c>
      <c r="P48" s="813">
        <v>0</v>
      </c>
      <c r="Q48" s="813">
        <v>0</v>
      </c>
      <c r="R48" s="813">
        <v>0</v>
      </c>
      <c r="S48" s="813">
        <v>0</v>
      </c>
      <c r="T48" s="813">
        <v>0</v>
      </c>
      <c r="U48" s="813">
        <v>0</v>
      </c>
      <c r="V48" s="813">
        <v>0</v>
      </c>
      <c r="W48" s="813">
        <v>0</v>
      </c>
      <c r="X48" s="813">
        <v>0</v>
      </c>
      <c r="Y48" s="813">
        <v>0</v>
      </c>
      <c r="Z48" s="813">
        <v>0</v>
      </c>
      <c r="AA48" s="813">
        <v>0</v>
      </c>
      <c r="AB48" s="813">
        <v>0</v>
      </c>
      <c r="AC48" s="813">
        <v>0</v>
      </c>
      <c r="AD48" s="813">
        <v>0</v>
      </c>
      <c r="AE48" s="813">
        <v>0</v>
      </c>
      <c r="AF48" s="814" t="s">
        <v>2805</v>
      </c>
      <c r="AG48" s="802"/>
    </row>
    <row r="49" spans="1:33" ht="15" customHeight="1">
      <c r="A49" s="800" t="s">
        <v>4751</v>
      </c>
      <c r="B49" s="812" t="s">
        <v>4727</v>
      </c>
      <c r="C49" s="813">
        <v>0</v>
      </c>
      <c r="D49" s="813">
        <v>0</v>
      </c>
      <c r="E49" s="813">
        <v>0</v>
      </c>
      <c r="F49" s="813">
        <v>0</v>
      </c>
      <c r="G49" s="813">
        <v>0</v>
      </c>
      <c r="H49" s="813">
        <v>0</v>
      </c>
      <c r="I49" s="813">
        <v>0</v>
      </c>
      <c r="J49" s="813">
        <v>0</v>
      </c>
      <c r="K49" s="813">
        <v>0</v>
      </c>
      <c r="L49" s="813">
        <v>0</v>
      </c>
      <c r="M49" s="813">
        <v>0</v>
      </c>
      <c r="N49" s="813">
        <v>0</v>
      </c>
      <c r="O49" s="813">
        <v>0</v>
      </c>
      <c r="P49" s="813">
        <v>0</v>
      </c>
      <c r="Q49" s="813">
        <v>0</v>
      </c>
      <c r="R49" s="813">
        <v>0</v>
      </c>
      <c r="S49" s="813">
        <v>0</v>
      </c>
      <c r="T49" s="813">
        <v>0</v>
      </c>
      <c r="U49" s="813">
        <v>0</v>
      </c>
      <c r="V49" s="813">
        <v>0</v>
      </c>
      <c r="W49" s="813">
        <v>0</v>
      </c>
      <c r="X49" s="813">
        <v>0</v>
      </c>
      <c r="Y49" s="813">
        <v>0</v>
      </c>
      <c r="Z49" s="813">
        <v>0</v>
      </c>
      <c r="AA49" s="813">
        <v>0</v>
      </c>
      <c r="AB49" s="813">
        <v>0</v>
      </c>
      <c r="AC49" s="813">
        <v>0</v>
      </c>
      <c r="AD49" s="813">
        <v>0</v>
      </c>
      <c r="AE49" s="813">
        <v>0</v>
      </c>
      <c r="AF49" s="814" t="s">
        <v>2805</v>
      </c>
      <c r="AG49" s="802"/>
    </row>
    <row r="50" spans="1:33" ht="15" customHeight="1">
      <c r="A50" s="800" t="s">
        <v>4752</v>
      </c>
      <c r="B50" s="812" t="s">
        <v>4729</v>
      </c>
      <c r="C50" s="813">
        <v>99.211928999999998</v>
      </c>
      <c r="D50" s="813">
        <v>102.848282</v>
      </c>
      <c r="E50" s="813">
        <v>105.642433</v>
      </c>
      <c r="F50" s="813">
        <v>109.103424</v>
      </c>
      <c r="G50" s="813">
        <v>112.53306600000001</v>
      </c>
      <c r="H50" s="813">
        <v>115.209351</v>
      </c>
      <c r="I50" s="813">
        <v>117.162689</v>
      </c>
      <c r="J50" s="813">
        <v>118.29858400000001</v>
      </c>
      <c r="K50" s="813">
        <v>118.809006</v>
      </c>
      <c r="L50" s="813">
        <v>119.73107899999999</v>
      </c>
      <c r="M50" s="813">
        <v>121.028435</v>
      </c>
      <c r="N50" s="813">
        <v>121.953987</v>
      </c>
      <c r="O50" s="813">
        <v>123.301689</v>
      </c>
      <c r="P50" s="813">
        <v>124.787834</v>
      </c>
      <c r="Q50" s="813">
        <v>126.167244</v>
      </c>
      <c r="R50" s="813">
        <v>127.74943500000001</v>
      </c>
      <c r="S50" s="813">
        <v>129.45204200000001</v>
      </c>
      <c r="T50" s="813">
        <v>131.06573499999999</v>
      </c>
      <c r="U50" s="813">
        <v>133.24363700000001</v>
      </c>
      <c r="V50" s="813">
        <v>135.36026000000001</v>
      </c>
      <c r="W50" s="813">
        <v>137.282974</v>
      </c>
      <c r="X50" s="813">
        <v>139.36793499999999</v>
      </c>
      <c r="Y50" s="813">
        <v>141.295197</v>
      </c>
      <c r="Z50" s="813">
        <v>143.20339999999999</v>
      </c>
      <c r="AA50" s="813">
        <v>145.513824</v>
      </c>
      <c r="AB50" s="813">
        <v>147.576843</v>
      </c>
      <c r="AC50" s="813">
        <v>149.456985</v>
      </c>
      <c r="AD50" s="813">
        <v>151.561218</v>
      </c>
      <c r="AE50" s="813">
        <v>154.08114599999999</v>
      </c>
      <c r="AF50" s="814">
        <v>1.5845999999999999E-2</v>
      </c>
      <c r="AG50" s="802"/>
    </row>
    <row r="51" spans="1:33" ht="15" customHeight="1">
      <c r="A51" s="800" t="s">
        <v>4753</v>
      </c>
      <c r="B51" s="808" t="s">
        <v>4731</v>
      </c>
      <c r="C51" s="811">
        <v>124.641029</v>
      </c>
      <c r="D51" s="811">
        <v>129.444534</v>
      </c>
      <c r="E51" s="811">
        <v>134.59094200000001</v>
      </c>
      <c r="F51" s="811">
        <v>139.69868500000001</v>
      </c>
      <c r="G51" s="811">
        <v>144.602936</v>
      </c>
      <c r="H51" s="811">
        <v>148.16577100000001</v>
      </c>
      <c r="I51" s="811">
        <v>150.40237400000001</v>
      </c>
      <c r="J51" s="811">
        <v>151.406342</v>
      </c>
      <c r="K51" s="811">
        <v>151.63526899999999</v>
      </c>
      <c r="L51" s="811">
        <v>152.32547</v>
      </c>
      <c r="M51" s="811">
        <v>153.507034</v>
      </c>
      <c r="N51" s="811">
        <v>154.265961</v>
      </c>
      <c r="O51" s="811">
        <v>155.56304900000001</v>
      </c>
      <c r="P51" s="811">
        <v>157.03190599999999</v>
      </c>
      <c r="Q51" s="811">
        <v>158.73176599999999</v>
      </c>
      <c r="R51" s="811">
        <v>160.623199</v>
      </c>
      <c r="S51" s="811">
        <v>162.48426799999999</v>
      </c>
      <c r="T51" s="811">
        <v>164.74031099999999</v>
      </c>
      <c r="U51" s="811">
        <v>167.142426</v>
      </c>
      <c r="V51" s="811">
        <v>169.58796699999999</v>
      </c>
      <c r="W51" s="811">
        <v>171.99873400000001</v>
      </c>
      <c r="X51" s="811">
        <v>174.71856700000001</v>
      </c>
      <c r="Y51" s="811">
        <v>177.271423</v>
      </c>
      <c r="Z51" s="811">
        <v>179.601257</v>
      </c>
      <c r="AA51" s="811">
        <v>181.80445900000001</v>
      </c>
      <c r="AB51" s="811">
        <v>184.42834500000001</v>
      </c>
      <c r="AC51" s="811">
        <v>186.861603</v>
      </c>
      <c r="AD51" s="811">
        <v>189.53280599999999</v>
      </c>
      <c r="AE51" s="811">
        <v>192.52200300000001</v>
      </c>
      <c r="AF51" s="810">
        <v>1.5649E-2</v>
      </c>
      <c r="AG51" s="802"/>
    </row>
    <row r="52" spans="1:33" ht="15" customHeight="1">
      <c r="B52" s="802"/>
      <c r="C52" s="802"/>
      <c r="D52" s="802"/>
      <c r="E52" s="802"/>
      <c r="F52" s="802"/>
      <c r="G52" s="802"/>
      <c r="H52" s="802"/>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2"/>
    </row>
    <row r="53" spans="1:33" ht="15" customHeight="1">
      <c r="B53" s="808" t="s">
        <v>4754</v>
      </c>
      <c r="C53" s="802"/>
      <c r="D53" s="802"/>
      <c r="E53" s="802"/>
      <c r="F53" s="80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2"/>
    </row>
    <row r="54" spans="1:33" ht="15" customHeight="1">
      <c r="A54" s="800" t="s">
        <v>4755</v>
      </c>
      <c r="B54" s="812" t="s">
        <v>4711</v>
      </c>
      <c r="C54" s="813">
        <v>0.46639799999999998</v>
      </c>
      <c r="D54" s="813">
        <v>0.51960899999999999</v>
      </c>
      <c r="E54" s="813">
        <v>1.9165479999999999</v>
      </c>
      <c r="F54" s="813">
        <v>1.9563900000000001</v>
      </c>
      <c r="G54" s="813">
        <v>1.9740519999999999</v>
      </c>
      <c r="H54" s="813">
        <v>2.0318139999999998</v>
      </c>
      <c r="I54" s="813">
        <v>2.0524749999999998</v>
      </c>
      <c r="J54" s="813">
        <v>2.0361340000000001</v>
      </c>
      <c r="K54" s="813">
        <v>1.999444</v>
      </c>
      <c r="L54" s="813">
        <v>1.9648810000000001</v>
      </c>
      <c r="M54" s="813">
        <v>1.9376990000000001</v>
      </c>
      <c r="N54" s="813">
        <v>1.9142699999999999</v>
      </c>
      <c r="O54" s="813">
        <v>1.903079</v>
      </c>
      <c r="P54" s="813">
        <v>1.9035139999999999</v>
      </c>
      <c r="Q54" s="813">
        <v>1.909492</v>
      </c>
      <c r="R54" s="813">
        <v>1.90387</v>
      </c>
      <c r="S54" s="813">
        <v>1.89157</v>
      </c>
      <c r="T54" s="813">
        <v>1.8975770000000001</v>
      </c>
      <c r="U54" s="813">
        <v>1.885459</v>
      </c>
      <c r="V54" s="813">
        <v>1.8754029999999999</v>
      </c>
      <c r="W54" s="813">
        <v>1.8737010000000001</v>
      </c>
      <c r="X54" s="813">
        <v>1.869982</v>
      </c>
      <c r="Y54" s="813">
        <v>1.864009</v>
      </c>
      <c r="Z54" s="813">
        <v>1.857828</v>
      </c>
      <c r="AA54" s="813">
        <v>1.858992</v>
      </c>
      <c r="AB54" s="813">
        <v>1.85747</v>
      </c>
      <c r="AC54" s="813">
        <v>1.850295</v>
      </c>
      <c r="AD54" s="813">
        <v>1.845629</v>
      </c>
      <c r="AE54" s="813">
        <v>1.8415699999999999</v>
      </c>
      <c r="AF54" s="814">
        <v>5.0270000000000002E-2</v>
      </c>
      <c r="AG54" s="802"/>
    </row>
    <row r="55" spans="1:33" ht="15" customHeight="1">
      <c r="A55" s="800" t="s">
        <v>4756</v>
      </c>
      <c r="B55" s="812" t="s">
        <v>4713</v>
      </c>
      <c r="C55" s="813">
        <v>3.052314</v>
      </c>
      <c r="D55" s="813">
        <v>3.2132740000000002</v>
      </c>
      <c r="E55" s="813">
        <v>3.2047490000000001</v>
      </c>
      <c r="F55" s="813">
        <v>3.1747230000000002</v>
      </c>
      <c r="G55" s="813">
        <v>3.1615009999999999</v>
      </c>
      <c r="H55" s="813">
        <v>3.2128580000000002</v>
      </c>
      <c r="I55" s="813">
        <v>3.2492489999999998</v>
      </c>
      <c r="J55" s="813">
        <v>3.2239409999999999</v>
      </c>
      <c r="K55" s="813">
        <v>3.2024539999999999</v>
      </c>
      <c r="L55" s="813">
        <v>3.1969829999999999</v>
      </c>
      <c r="M55" s="813">
        <v>3.2306400000000002</v>
      </c>
      <c r="N55" s="813">
        <v>3.2631380000000001</v>
      </c>
      <c r="O55" s="813">
        <v>3.29264</v>
      </c>
      <c r="P55" s="813">
        <v>3.3258100000000002</v>
      </c>
      <c r="Q55" s="813">
        <v>3.3609710000000002</v>
      </c>
      <c r="R55" s="813">
        <v>3.3771499999999999</v>
      </c>
      <c r="S55" s="813">
        <v>3.403241</v>
      </c>
      <c r="T55" s="813">
        <v>3.4215499999999999</v>
      </c>
      <c r="U55" s="813">
        <v>3.444477</v>
      </c>
      <c r="V55" s="813">
        <v>3.4724200000000001</v>
      </c>
      <c r="W55" s="813">
        <v>3.506697</v>
      </c>
      <c r="X55" s="813">
        <v>3.5279090000000002</v>
      </c>
      <c r="Y55" s="813">
        <v>3.5446770000000001</v>
      </c>
      <c r="Z55" s="813">
        <v>3.5617570000000001</v>
      </c>
      <c r="AA55" s="813">
        <v>3.5858500000000002</v>
      </c>
      <c r="AB55" s="813">
        <v>3.6165129999999999</v>
      </c>
      <c r="AC55" s="813">
        <v>3.6418330000000001</v>
      </c>
      <c r="AD55" s="813">
        <v>3.662353</v>
      </c>
      <c r="AE55" s="813">
        <v>3.692758</v>
      </c>
      <c r="AF55" s="814">
        <v>6.8259999999999996E-3</v>
      </c>
      <c r="AG55" s="802"/>
    </row>
    <row r="56" spans="1:33" ht="12" customHeight="1">
      <c r="A56" s="800" t="s">
        <v>4757</v>
      </c>
      <c r="B56" s="812" t="s">
        <v>4715</v>
      </c>
      <c r="C56" s="813">
        <v>3.748513</v>
      </c>
      <c r="D56" s="813">
        <v>5.742102</v>
      </c>
      <c r="E56" s="813">
        <v>2.8609520000000002</v>
      </c>
      <c r="F56" s="813">
        <v>2.0230440000000001</v>
      </c>
      <c r="G56" s="813">
        <v>1.300243</v>
      </c>
      <c r="H56" s="813">
        <v>0.94110499999999997</v>
      </c>
      <c r="I56" s="813">
        <v>0.74162899999999998</v>
      </c>
      <c r="J56" s="813">
        <v>0.71688700000000005</v>
      </c>
      <c r="K56" s="813">
        <v>0.71423300000000001</v>
      </c>
      <c r="L56" s="813">
        <v>0.73116000000000003</v>
      </c>
      <c r="M56" s="813">
        <v>0.76296699999999995</v>
      </c>
      <c r="N56" s="813">
        <v>0.810029</v>
      </c>
      <c r="O56" s="813">
        <v>0.84744299999999995</v>
      </c>
      <c r="P56" s="813">
        <v>0.88168400000000002</v>
      </c>
      <c r="Q56" s="813">
        <v>0.894343</v>
      </c>
      <c r="R56" s="813">
        <v>0.90900499999999995</v>
      </c>
      <c r="S56" s="813">
        <v>0.953538</v>
      </c>
      <c r="T56" s="813">
        <v>0.93847400000000003</v>
      </c>
      <c r="U56" s="813">
        <v>0.98716300000000001</v>
      </c>
      <c r="V56" s="813">
        <v>1.0205949999999999</v>
      </c>
      <c r="W56" s="813">
        <v>1.0357529999999999</v>
      </c>
      <c r="X56" s="813">
        <v>1.0217620000000001</v>
      </c>
      <c r="Y56" s="813">
        <v>1.019817</v>
      </c>
      <c r="Z56" s="813">
        <v>1.0218860000000001</v>
      </c>
      <c r="AA56" s="813">
        <v>1.014575</v>
      </c>
      <c r="AB56" s="813">
        <v>1.014724</v>
      </c>
      <c r="AC56" s="813">
        <v>1.007917</v>
      </c>
      <c r="AD56" s="813">
        <v>0.98950000000000005</v>
      </c>
      <c r="AE56" s="813">
        <v>0.99062099999999997</v>
      </c>
      <c r="AF56" s="814">
        <v>-4.6415999999999999E-2</v>
      </c>
      <c r="AG56" s="802"/>
    </row>
    <row r="57" spans="1:33" ht="15" customHeight="1">
      <c r="A57" s="800" t="s">
        <v>4758</v>
      </c>
      <c r="B57" s="812" t="s">
        <v>4717</v>
      </c>
      <c r="C57" s="813">
        <v>0</v>
      </c>
      <c r="D57" s="813">
        <v>0</v>
      </c>
      <c r="E57" s="813">
        <v>0</v>
      </c>
      <c r="F57" s="813">
        <v>0</v>
      </c>
      <c r="G57" s="813">
        <v>0</v>
      </c>
      <c r="H57" s="813">
        <v>0</v>
      </c>
      <c r="I57" s="813">
        <v>0</v>
      </c>
      <c r="J57" s="813">
        <v>0</v>
      </c>
      <c r="K57" s="813">
        <v>0</v>
      </c>
      <c r="L57" s="813">
        <v>0</v>
      </c>
      <c r="M57" s="813">
        <v>0</v>
      </c>
      <c r="N57" s="813">
        <v>0</v>
      </c>
      <c r="O57" s="813">
        <v>0</v>
      </c>
      <c r="P57" s="813">
        <v>0</v>
      </c>
      <c r="Q57" s="813">
        <v>0</v>
      </c>
      <c r="R57" s="813">
        <v>0</v>
      </c>
      <c r="S57" s="813">
        <v>0</v>
      </c>
      <c r="T57" s="813">
        <v>0</v>
      </c>
      <c r="U57" s="813">
        <v>0</v>
      </c>
      <c r="V57" s="813">
        <v>0</v>
      </c>
      <c r="W57" s="813">
        <v>0</v>
      </c>
      <c r="X57" s="813">
        <v>0</v>
      </c>
      <c r="Y57" s="813">
        <v>0</v>
      </c>
      <c r="Z57" s="813">
        <v>0</v>
      </c>
      <c r="AA57" s="813">
        <v>0</v>
      </c>
      <c r="AB57" s="813">
        <v>0</v>
      </c>
      <c r="AC57" s="813">
        <v>0</v>
      </c>
      <c r="AD57" s="813">
        <v>0</v>
      </c>
      <c r="AE57" s="813">
        <v>0</v>
      </c>
      <c r="AF57" s="814" t="s">
        <v>2805</v>
      </c>
      <c r="AG57" s="802"/>
    </row>
    <row r="58" spans="1:33" ht="15" customHeight="1">
      <c r="A58" s="800" t="s">
        <v>4759</v>
      </c>
      <c r="B58" s="812" t="s">
        <v>4719</v>
      </c>
      <c r="C58" s="813">
        <v>7.2672239999999997</v>
      </c>
      <c r="D58" s="813">
        <v>9.4749850000000002</v>
      </c>
      <c r="E58" s="813">
        <v>7.9822480000000002</v>
      </c>
      <c r="F58" s="813">
        <v>7.1541579999999998</v>
      </c>
      <c r="G58" s="813">
        <v>6.4357959999999999</v>
      </c>
      <c r="H58" s="813">
        <v>6.1857769999999999</v>
      </c>
      <c r="I58" s="813">
        <v>6.0433529999999998</v>
      </c>
      <c r="J58" s="813">
        <v>5.9769629999999996</v>
      </c>
      <c r="K58" s="813">
        <v>5.916131</v>
      </c>
      <c r="L58" s="813">
        <v>5.8930230000000003</v>
      </c>
      <c r="M58" s="813">
        <v>5.9313060000000002</v>
      </c>
      <c r="N58" s="813">
        <v>5.987438</v>
      </c>
      <c r="O58" s="813">
        <v>6.0431609999999996</v>
      </c>
      <c r="P58" s="813">
        <v>6.111008</v>
      </c>
      <c r="Q58" s="813">
        <v>6.1648069999999997</v>
      </c>
      <c r="R58" s="813">
        <v>6.1900240000000002</v>
      </c>
      <c r="S58" s="813">
        <v>6.2483500000000003</v>
      </c>
      <c r="T58" s="813">
        <v>6.2576000000000001</v>
      </c>
      <c r="U58" s="813">
        <v>6.3170989999999998</v>
      </c>
      <c r="V58" s="813">
        <v>6.368417</v>
      </c>
      <c r="W58" s="813">
        <v>6.41615</v>
      </c>
      <c r="X58" s="813">
        <v>6.4196530000000003</v>
      </c>
      <c r="Y58" s="813">
        <v>6.4285030000000001</v>
      </c>
      <c r="Z58" s="813">
        <v>6.4414709999999999</v>
      </c>
      <c r="AA58" s="813">
        <v>6.459416</v>
      </c>
      <c r="AB58" s="813">
        <v>6.4887079999999999</v>
      </c>
      <c r="AC58" s="813">
        <v>6.5000450000000001</v>
      </c>
      <c r="AD58" s="813">
        <v>6.4974809999999996</v>
      </c>
      <c r="AE58" s="813">
        <v>6.5249499999999996</v>
      </c>
      <c r="AF58" s="814">
        <v>-3.8409999999999998E-3</v>
      </c>
      <c r="AG58" s="802"/>
    </row>
    <row r="59" spans="1:33" ht="15" customHeight="1">
      <c r="A59" s="800" t="s">
        <v>4760</v>
      </c>
      <c r="B59" s="812" t="s">
        <v>4721</v>
      </c>
      <c r="C59" s="813">
        <v>146.46005199999999</v>
      </c>
      <c r="D59" s="813">
        <v>151.134094</v>
      </c>
      <c r="E59" s="813">
        <v>157.36605800000001</v>
      </c>
      <c r="F59" s="813">
        <v>157.95504800000001</v>
      </c>
      <c r="G59" s="813">
        <v>159.806839</v>
      </c>
      <c r="H59" s="813">
        <v>163.63201900000001</v>
      </c>
      <c r="I59" s="813">
        <v>165.624786</v>
      </c>
      <c r="J59" s="813">
        <v>165.474548</v>
      </c>
      <c r="K59" s="813">
        <v>165.04510500000001</v>
      </c>
      <c r="L59" s="813">
        <v>165.245026</v>
      </c>
      <c r="M59" s="813">
        <v>166.88540599999999</v>
      </c>
      <c r="N59" s="813">
        <v>168.23848000000001</v>
      </c>
      <c r="O59" s="813">
        <v>169.57797199999999</v>
      </c>
      <c r="P59" s="813">
        <v>171.28276099999999</v>
      </c>
      <c r="Q59" s="813">
        <v>173.684326</v>
      </c>
      <c r="R59" s="813">
        <v>175.063751</v>
      </c>
      <c r="S59" s="813">
        <v>176.20632900000001</v>
      </c>
      <c r="T59" s="813">
        <v>178.251678</v>
      </c>
      <c r="U59" s="813">
        <v>179.64003</v>
      </c>
      <c r="V59" s="813">
        <v>181.72245799999999</v>
      </c>
      <c r="W59" s="813">
        <v>184.278839</v>
      </c>
      <c r="X59" s="813">
        <v>186.64842200000001</v>
      </c>
      <c r="Y59" s="813">
        <v>188.56300400000001</v>
      </c>
      <c r="Z59" s="813">
        <v>190.25396699999999</v>
      </c>
      <c r="AA59" s="813">
        <v>191.32392899999999</v>
      </c>
      <c r="AB59" s="813">
        <v>194.052719</v>
      </c>
      <c r="AC59" s="813">
        <v>196.50926200000001</v>
      </c>
      <c r="AD59" s="813">
        <v>198.859634</v>
      </c>
      <c r="AE59" s="813">
        <v>201.37170399999999</v>
      </c>
      <c r="AF59" s="814">
        <v>1.1436E-2</v>
      </c>
      <c r="AG59" s="802"/>
    </row>
    <row r="60" spans="1:33" ht="15" customHeight="1">
      <c r="A60" s="800" t="s">
        <v>4761</v>
      </c>
      <c r="B60" s="812" t="s">
        <v>4725</v>
      </c>
      <c r="C60" s="813">
        <v>0</v>
      </c>
      <c r="D60" s="813">
        <v>0</v>
      </c>
      <c r="E60" s="813">
        <v>0</v>
      </c>
      <c r="F60" s="813">
        <v>0</v>
      </c>
      <c r="G60" s="813">
        <v>0</v>
      </c>
      <c r="H60" s="813">
        <v>0</v>
      </c>
      <c r="I60" s="813">
        <v>0</v>
      </c>
      <c r="J60" s="813">
        <v>0</v>
      </c>
      <c r="K60" s="813">
        <v>0</v>
      </c>
      <c r="L60" s="813">
        <v>0</v>
      </c>
      <c r="M60" s="813">
        <v>0</v>
      </c>
      <c r="N60" s="813">
        <v>0</v>
      </c>
      <c r="O60" s="813">
        <v>0</v>
      </c>
      <c r="P60" s="813">
        <v>0</v>
      </c>
      <c r="Q60" s="813">
        <v>0</v>
      </c>
      <c r="R60" s="813">
        <v>0</v>
      </c>
      <c r="S60" s="813">
        <v>0</v>
      </c>
      <c r="T60" s="813">
        <v>0</v>
      </c>
      <c r="U60" s="813">
        <v>0</v>
      </c>
      <c r="V60" s="813">
        <v>0</v>
      </c>
      <c r="W60" s="813">
        <v>0</v>
      </c>
      <c r="X60" s="813">
        <v>0</v>
      </c>
      <c r="Y60" s="813">
        <v>0</v>
      </c>
      <c r="Z60" s="813">
        <v>0</v>
      </c>
      <c r="AA60" s="813">
        <v>0</v>
      </c>
      <c r="AB60" s="813">
        <v>0</v>
      </c>
      <c r="AC60" s="813">
        <v>0</v>
      </c>
      <c r="AD60" s="813">
        <v>0</v>
      </c>
      <c r="AE60" s="813">
        <v>0</v>
      </c>
      <c r="AF60" s="814" t="s">
        <v>2805</v>
      </c>
      <c r="AG60" s="802"/>
    </row>
    <row r="61" spans="1:33" ht="15" customHeight="1">
      <c r="A61" s="800" t="s">
        <v>4762</v>
      </c>
      <c r="B61" s="812" t="s">
        <v>4727</v>
      </c>
      <c r="C61" s="813">
        <v>0</v>
      </c>
      <c r="D61" s="813">
        <v>0</v>
      </c>
      <c r="E61" s="813">
        <v>0</v>
      </c>
      <c r="F61" s="813">
        <v>0</v>
      </c>
      <c r="G61" s="813">
        <v>0</v>
      </c>
      <c r="H61" s="813">
        <v>0</v>
      </c>
      <c r="I61" s="813">
        <v>0</v>
      </c>
      <c r="J61" s="813">
        <v>0</v>
      </c>
      <c r="K61" s="813">
        <v>0</v>
      </c>
      <c r="L61" s="813">
        <v>0</v>
      </c>
      <c r="M61" s="813">
        <v>0</v>
      </c>
      <c r="N61" s="813">
        <v>0</v>
      </c>
      <c r="O61" s="813">
        <v>0</v>
      </c>
      <c r="P61" s="813">
        <v>0</v>
      </c>
      <c r="Q61" s="813">
        <v>0</v>
      </c>
      <c r="R61" s="813">
        <v>0</v>
      </c>
      <c r="S61" s="813">
        <v>0</v>
      </c>
      <c r="T61" s="813">
        <v>0</v>
      </c>
      <c r="U61" s="813">
        <v>0</v>
      </c>
      <c r="V61" s="813">
        <v>0</v>
      </c>
      <c r="W61" s="813">
        <v>0</v>
      </c>
      <c r="X61" s="813">
        <v>0</v>
      </c>
      <c r="Y61" s="813">
        <v>0</v>
      </c>
      <c r="Z61" s="813">
        <v>0</v>
      </c>
      <c r="AA61" s="813">
        <v>0</v>
      </c>
      <c r="AB61" s="813">
        <v>0</v>
      </c>
      <c r="AC61" s="813">
        <v>0</v>
      </c>
      <c r="AD61" s="813">
        <v>0</v>
      </c>
      <c r="AE61" s="813">
        <v>0</v>
      </c>
      <c r="AF61" s="814" t="s">
        <v>2805</v>
      </c>
      <c r="AG61" s="802"/>
    </row>
    <row r="62" spans="1:33" ht="15" customHeight="1">
      <c r="A62" s="800" t="s">
        <v>4763</v>
      </c>
      <c r="B62" s="812" t="s">
        <v>4729</v>
      </c>
      <c r="C62" s="813">
        <v>165.264847</v>
      </c>
      <c r="D62" s="813">
        <v>174.54582199999999</v>
      </c>
      <c r="E62" s="813">
        <v>175.43843100000001</v>
      </c>
      <c r="F62" s="813">
        <v>173.59231600000001</v>
      </c>
      <c r="G62" s="813">
        <v>173.127151</v>
      </c>
      <c r="H62" s="813">
        <v>176.02409399999999</v>
      </c>
      <c r="I62" s="813">
        <v>177.94821200000001</v>
      </c>
      <c r="J62" s="813">
        <v>178.12325999999999</v>
      </c>
      <c r="K62" s="813">
        <v>177.997803</v>
      </c>
      <c r="L62" s="813">
        <v>178.811768</v>
      </c>
      <c r="M62" s="813">
        <v>181.24427800000001</v>
      </c>
      <c r="N62" s="813">
        <v>182.93043499999999</v>
      </c>
      <c r="O62" s="813">
        <v>184.76049800000001</v>
      </c>
      <c r="P62" s="813">
        <v>187.07037399999999</v>
      </c>
      <c r="Q62" s="813">
        <v>188.86773700000001</v>
      </c>
      <c r="R62" s="813">
        <v>189.67825300000001</v>
      </c>
      <c r="S62" s="813">
        <v>190.733688</v>
      </c>
      <c r="T62" s="813">
        <v>191.290649</v>
      </c>
      <c r="U62" s="813">
        <v>192.61338799999999</v>
      </c>
      <c r="V62" s="813">
        <v>194.30810500000001</v>
      </c>
      <c r="W62" s="813">
        <v>196.14695699999999</v>
      </c>
      <c r="X62" s="813">
        <v>197.45858799999999</v>
      </c>
      <c r="Y62" s="813">
        <v>198.22439600000001</v>
      </c>
      <c r="Z62" s="813">
        <v>199.40829500000001</v>
      </c>
      <c r="AA62" s="813">
        <v>201.73613</v>
      </c>
      <c r="AB62" s="813">
        <v>203.73297099999999</v>
      </c>
      <c r="AC62" s="813">
        <v>205.312378</v>
      </c>
      <c r="AD62" s="813">
        <v>206.76615899999999</v>
      </c>
      <c r="AE62" s="813">
        <v>208.814301</v>
      </c>
      <c r="AF62" s="814">
        <v>8.3879999999999996E-3</v>
      </c>
      <c r="AG62" s="802"/>
    </row>
    <row r="63" spans="1:33" ht="15" customHeight="1">
      <c r="A63" s="800" t="s">
        <v>4764</v>
      </c>
      <c r="B63" s="808" t="s">
        <v>4731</v>
      </c>
      <c r="C63" s="811">
        <v>318.99212599999998</v>
      </c>
      <c r="D63" s="811">
        <v>335.15490699999998</v>
      </c>
      <c r="E63" s="811">
        <v>340.786743</v>
      </c>
      <c r="F63" s="811">
        <v>338.70153800000003</v>
      </c>
      <c r="G63" s="811">
        <v>339.36978099999999</v>
      </c>
      <c r="H63" s="811">
        <v>345.84188799999998</v>
      </c>
      <c r="I63" s="811">
        <v>349.616333</v>
      </c>
      <c r="J63" s="811">
        <v>349.57476800000001</v>
      </c>
      <c r="K63" s="811">
        <v>348.959045</v>
      </c>
      <c r="L63" s="811">
        <v>349.94982900000002</v>
      </c>
      <c r="M63" s="811">
        <v>354.06097399999999</v>
      </c>
      <c r="N63" s="811">
        <v>357.15637199999998</v>
      </c>
      <c r="O63" s="811">
        <v>360.38165300000003</v>
      </c>
      <c r="P63" s="811">
        <v>364.46414199999998</v>
      </c>
      <c r="Q63" s="811">
        <v>368.716858</v>
      </c>
      <c r="R63" s="811">
        <v>370.932007</v>
      </c>
      <c r="S63" s="811">
        <v>373.188354</v>
      </c>
      <c r="T63" s="811">
        <v>375.79992700000003</v>
      </c>
      <c r="U63" s="811">
        <v>378.57049599999999</v>
      </c>
      <c r="V63" s="811">
        <v>382.39898699999998</v>
      </c>
      <c r="W63" s="811">
        <v>386.841949</v>
      </c>
      <c r="X63" s="811">
        <v>390.52667200000002</v>
      </c>
      <c r="Y63" s="811">
        <v>393.21588100000002</v>
      </c>
      <c r="Z63" s="811">
        <v>396.10372899999999</v>
      </c>
      <c r="AA63" s="811">
        <v>399.51947000000001</v>
      </c>
      <c r="AB63" s="811">
        <v>404.27441399999998</v>
      </c>
      <c r="AC63" s="811">
        <v>408.321686</v>
      </c>
      <c r="AD63" s="811">
        <v>412.12329099999999</v>
      </c>
      <c r="AE63" s="811">
        <v>416.710938</v>
      </c>
      <c r="AF63" s="810">
        <v>9.5890000000000003E-3</v>
      </c>
      <c r="AG63" s="802"/>
    </row>
    <row r="64" spans="1:33" ht="15" customHeight="1">
      <c r="B64" s="802"/>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row>
    <row r="65" spans="1:33" ht="15" customHeight="1">
      <c r="B65" s="802"/>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1:33" ht="15" customHeight="1">
      <c r="B66" s="808" t="s">
        <v>4765</v>
      </c>
      <c r="C66" s="802"/>
      <c r="D66" s="802"/>
      <c r="E66" s="802"/>
      <c r="F66" s="802"/>
      <c r="G66" s="802"/>
      <c r="H66" s="802"/>
      <c r="I66" s="802"/>
      <c r="J66" s="802"/>
      <c r="K66" s="802"/>
      <c r="L66" s="802"/>
      <c r="M66" s="802"/>
      <c r="N66" s="802"/>
      <c r="O66" s="802"/>
      <c r="P66" s="802"/>
      <c r="Q66" s="802"/>
      <c r="R66" s="802"/>
      <c r="S66" s="802"/>
      <c r="T66" s="802"/>
      <c r="U66" s="802"/>
      <c r="V66" s="802"/>
      <c r="W66" s="802"/>
      <c r="X66" s="802"/>
      <c r="Y66" s="802"/>
      <c r="Z66" s="802"/>
      <c r="AA66" s="802"/>
      <c r="AB66" s="802"/>
      <c r="AC66" s="802"/>
      <c r="AD66" s="802"/>
      <c r="AE66" s="802"/>
      <c r="AF66" s="802"/>
      <c r="AG66" s="802"/>
    </row>
    <row r="67" spans="1:33" ht="15" customHeight="1">
      <c r="A67" s="800" t="s">
        <v>4766</v>
      </c>
      <c r="B67" s="812" t="s">
        <v>4711</v>
      </c>
      <c r="C67" s="813">
        <v>0.23811599999999999</v>
      </c>
      <c r="D67" s="813">
        <v>0.255189</v>
      </c>
      <c r="E67" s="813">
        <v>0.92512000000000005</v>
      </c>
      <c r="F67" s="813">
        <v>0.97604900000000006</v>
      </c>
      <c r="G67" s="813">
        <v>1.0045219999999999</v>
      </c>
      <c r="H67" s="813">
        <v>1.0254939999999999</v>
      </c>
      <c r="I67" s="813">
        <v>1.0326709999999999</v>
      </c>
      <c r="J67" s="813">
        <v>1.0284580000000001</v>
      </c>
      <c r="K67" s="813">
        <v>1.0158529999999999</v>
      </c>
      <c r="L67" s="813">
        <v>0.99826400000000004</v>
      </c>
      <c r="M67" s="813">
        <v>0.98327299999999995</v>
      </c>
      <c r="N67" s="813">
        <v>0.97404900000000005</v>
      </c>
      <c r="O67" s="813">
        <v>0.96997</v>
      </c>
      <c r="P67" s="813">
        <v>0.97148500000000004</v>
      </c>
      <c r="Q67" s="813">
        <v>0.97636500000000004</v>
      </c>
      <c r="R67" s="813">
        <v>0.98249399999999998</v>
      </c>
      <c r="S67" s="813">
        <v>0.98573100000000002</v>
      </c>
      <c r="T67" s="813">
        <v>0.99958899999999995</v>
      </c>
      <c r="U67" s="813">
        <v>1.0050950000000001</v>
      </c>
      <c r="V67" s="813">
        <v>1.013009</v>
      </c>
      <c r="W67" s="813">
        <v>1.023871</v>
      </c>
      <c r="X67" s="813">
        <v>1.0379309999999999</v>
      </c>
      <c r="Y67" s="813">
        <v>1.0527059999999999</v>
      </c>
      <c r="Z67" s="813">
        <v>1.0646789999999999</v>
      </c>
      <c r="AA67" s="813">
        <v>1.0791519999999999</v>
      </c>
      <c r="AB67" s="813">
        <v>1.092473</v>
      </c>
      <c r="AC67" s="813">
        <v>1.103799</v>
      </c>
      <c r="AD67" s="813">
        <v>1.11737</v>
      </c>
      <c r="AE67" s="813">
        <v>1.133262</v>
      </c>
      <c r="AF67" s="814">
        <v>5.7299000000000003E-2</v>
      </c>
      <c r="AG67" s="802"/>
    </row>
    <row r="68" spans="1:33" ht="12" customHeight="1">
      <c r="A68" s="800" t="s">
        <v>4767</v>
      </c>
      <c r="B68" s="812" t="s">
        <v>4713</v>
      </c>
      <c r="C68" s="813">
        <v>0</v>
      </c>
      <c r="D68" s="813">
        <v>0</v>
      </c>
      <c r="E68" s="813">
        <v>0</v>
      </c>
      <c r="F68" s="813">
        <v>0</v>
      </c>
      <c r="G68" s="813">
        <v>0</v>
      </c>
      <c r="H68" s="813">
        <v>0</v>
      </c>
      <c r="I68" s="813">
        <v>0</v>
      </c>
      <c r="J68" s="813">
        <v>0</v>
      </c>
      <c r="K68" s="813">
        <v>0</v>
      </c>
      <c r="L68" s="813">
        <v>0</v>
      </c>
      <c r="M68" s="813">
        <v>0</v>
      </c>
      <c r="N68" s="813">
        <v>0</v>
      </c>
      <c r="O68" s="813">
        <v>0</v>
      </c>
      <c r="P68" s="813">
        <v>0</v>
      </c>
      <c r="Q68" s="813">
        <v>0</v>
      </c>
      <c r="R68" s="813">
        <v>0</v>
      </c>
      <c r="S68" s="813">
        <v>0</v>
      </c>
      <c r="T68" s="813">
        <v>0</v>
      </c>
      <c r="U68" s="813">
        <v>0</v>
      </c>
      <c r="V68" s="813">
        <v>0</v>
      </c>
      <c r="W68" s="813">
        <v>0</v>
      </c>
      <c r="X68" s="813">
        <v>0</v>
      </c>
      <c r="Y68" s="813">
        <v>0</v>
      </c>
      <c r="Z68" s="813">
        <v>0</v>
      </c>
      <c r="AA68" s="813">
        <v>0</v>
      </c>
      <c r="AB68" s="813">
        <v>0</v>
      </c>
      <c r="AC68" s="813">
        <v>0</v>
      </c>
      <c r="AD68" s="813">
        <v>0</v>
      </c>
      <c r="AE68" s="813">
        <v>0</v>
      </c>
      <c r="AF68" s="814" t="s">
        <v>2805</v>
      </c>
      <c r="AG68" s="802"/>
    </row>
    <row r="69" spans="1:33" ht="15" customHeight="1">
      <c r="A69" s="800" t="s">
        <v>4768</v>
      </c>
      <c r="B69" s="812" t="s">
        <v>4715</v>
      </c>
      <c r="C69" s="813">
        <v>0</v>
      </c>
      <c r="D69" s="813">
        <v>0</v>
      </c>
      <c r="E69" s="813">
        <v>0</v>
      </c>
      <c r="F69" s="813">
        <v>0</v>
      </c>
      <c r="G69" s="813">
        <v>0</v>
      </c>
      <c r="H69" s="813">
        <v>0</v>
      </c>
      <c r="I69" s="813">
        <v>0</v>
      </c>
      <c r="J69" s="813">
        <v>0</v>
      </c>
      <c r="K69" s="813">
        <v>0</v>
      </c>
      <c r="L69" s="813">
        <v>0</v>
      </c>
      <c r="M69" s="813">
        <v>0</v>
      </c>
      <c r="N69" s="813">
        <v>0</v>
      </c>
      <c r="O69" s="813">
        <v>0</v>
      </c>
      <c r="P69" s="813">
        <v>0</v>
      </c>
      <c r="Q69" s="813">
        <v>0</v>
      </c>
      <c r="R69" s="813">
        <v>0</v>
      </c>
      <c r="S69" s="813">
        <v>0</v>
      </c>
      <c r="T69" s="813">
        <v>0</v>
      </c>
      <c r="U69" s="813">
        <v>0</v>
      </c>
      <c r="V69" s="813">
        <v>0</v>
      </c>
      <c r="W69" s="813">
        <v>0</v>
      </c>
      <c r="X69" s="813">
        <v>0</v>
      </c>
      <c r="Y69" s="813">
        <v>0</v>
      </c>
      <c r="Z69" s="813">
        <v>0</v>
      </c>
      <c r="AA69" s="813">
        <v>0</v>
      </c>
      <c r="AB69" s="813">
        <v>0</v>
      </c>
      <c r="AC69" s="813">
        <v>0</v>
      </c>
      <c r="AD69" s="813">
        <v>0</v>
      </c>
      <c r="AE69" s="813">
        <v>0</v>
      </c>
      <c r="AF69" s="814" t="s">
        <v>2805</v>
      </c>
      <c r="AG69" s="802"/>
    </row>
    <row r="70" spans="1:33" ht="15" customHeight="1">
      <c r="A70" s="800" t="s">
        <v>4769</v>
      </c>
      <c r="B70" s="812" t="s">
        <v>4717</v>
      </c>
      <c r="C70" s="813">
        <v>0</v>
      </c>
      <c r="D70" s="813">
        <v>0</v>
      </c>
      <c r="E70" s="813">
        <v>0</v>
      </c>
      <c r="F70" s="813">
        <v>0</v>
      </c>
      <c r="G70" s="813">
        <v>0</v>
      </c>
      <c r="H70" s="813">
        <v>0</v>
      </c>
      <c r="I70" s="813">
        <v>0</v>
      </c>
      <c r="J70" s="813">
        <v>0</v>
      </c>
      <c r="K70" s="813">
        <v>0</v>
      </c>
      <c r="L70" s="813">
        <v>0</v>
      </c>
      <c r="M70" s="813">
        <v>0</v>
      </c>
      <c r="N70" s="813">
        <v>0</v>
      </c>
      <c r="O70" s="813">
        <v>0</v>
      </c>
      <c r="P70" s="813">
        <v>0</v>
      </c>
      <c r="Q70" s="813">
        <v>0</v>
      </c>
      <c r="R70" s="813">
        <v>0</v>
      </c>
      <c r="S70" s="813">
        <v>0</v>
      </c>
      <c r="T70" s="813">
        <v>0</v>
      </c>
      <c r="U70" s="813">
        <v>0</v>
      </c>
      <c r="V70" s="813">
        <v>0</v>
      </c>
      <c r="W70" s="813">
        <v>0</v>
      </c>
      <c r="X70" s="813">
        <v>0</v>
      </c>
      <c r="Y70" s="813">
        <v>0</v>
      </c>
      <c r="Z70" s="813">
        <v>0</v>
      </c>
      <c r="AA70" s="813">
        <v>0</v>
      </c>
      <c r="AB70" s="813">
        <v>0</v>
      </c>
      <c r="AC70" s="813">
        <v>0</v>
      </c>
      <c r="AD70" s="813">
        <v>0</v>
      </c>
      <c r="AE70" s="813">
        <v>0</v>
      </c>
      <c r="AF70" s="814" t="s">
        <v>2805</v>
      </c>
      <c r="AG70" s="802"/>
    </row>
    <row r="71" spans="1:33" ht="15" customHeight="1">
      <c r="A71" s="800" t="s">
        <v>4770</v>
      </c>
      <c r="B71" s="812" t="s">
        <v>4719</v>
      </c>
      <c r="C71" s="813">
        <v>0.23811599999999999</v>
      </c>
      <c r="D71" s="813">
        <v>0.255189</v>
      </c>
      <c r="E71" s="813">
        <v>0.92512000000000005</v>
      </c>
      <c r="F71" s="813">
        <v>0.97604900000000006</v>
      </c>
      <c r="G71" s="813">
        <v>1.0045219999999999</v>
      </c>
      <c r="H71" s="813">
        <v>1.0254939999999999</v>
      </c>
      <c r="I71" s="813">
        <v>1.0326709999999999</v>
      </c>
      <c r="J71" s="813">
        <v>1.0284580000000001</v>
      </c>
      <c r="K71" s="813">
        <v>1.0158529999999999</v>
      </c>
      <c r="L71" s="813">
        <v>0.99826400000000004</v>
      </c>
      <c r="M71" s="813">
        <v>0.98327299999999995</v>
      </c>
      <c r="N71" s="813">
        <v>0.97404900000000005</v>
      </c>
      <c r="O71" s="813">
        <v>0.96997</v>
      </c>
      <c r="P71" s="813">
        <v>0.97148500000000004</v>
      </c>
      <c r="Q71" s="813">
        <v>0.97636500000000004</v>
      </c>
      <c r="R71" s="813">
        <v>0.98249399999999998</v>
      </c>
      <c r="S71" s="813">
        <v>0.98573100000000002</v>
      </c>
      <c r="T71" s="813">
        <v>0.99958899999999995</v>
      </c>
      <c r="U71" s="813">
        <v>1.0050950000000001</v>
      </c>
      <c r="V71" s="813">
        <v>1.013009</v>
      </c>
      <c r="W71" s="813">
        <v>1.023871</v>
      </c>
      <c r="X71" s="813">
        <v>1.0379309999999999</v>
      </c>
      <c r="Y71" s="813">
        <v>1.0527059999999999</v>
      </c>
      <c r="Z71" s="813">
        <v>1.0646789999999999</v>
      </c>
      <c r="AA71" s="813">
        <v>1.0791519999999999</v>
      </c>
      <c r="AB71" s="813">
        <v>1.092473</v>
      </c>
      <c r="AC71" s="813">
        <v>1.103799</v>
      </c>
      <c r="AD71" s="813">
        <v>1.11737</v>
      </c>
      <c r="AE71" s="813">
        <v>1.133262</v>
      </c>
      <c r="AF71" s="814">
        <v>5.7299000000000003E-2</v>
      </c>
      <c r="AG71" s="802"/>
    </row>
    <row r="72" spans="1:33" ht="15" customHeight="1">
      <c r="A72" s="800" t="s">
        <v>4771</v>
      </c>
      <c r="B72" s="812" t="s">
        <v>4721</v>
      </c>
      <c r="C72" s="813">
        <v>31.673136</v>
      </c>
      <c r="D72" s="813">
        <v>31.199669</v>
      </c>
      <c r="E72" s="813">
        <v>31.899929</v>
      </c>
      <c r="F72" s="813">
        <v>32.584311999999997</v>
      </c>
      <c r="G72" s="813">
        <v>33.250712999999998</v>
      </c>
      <c r="H72" s="813">
        <v>33.770122999999998</v>
      </c>
      <c r="I72" s="813">
        <v>34.086063000000003</v>
      </c>
      <c r="J72" s="813">
        <v>34.195301000000001</v>
      </c>
      <c r="K72" s="813">
        <v>34.192787000000003</v>
      </c>
      <c r="L72" s="813">
        <v>34.035857999999998</v>
      </c>
      <c r="M72" s="813">
        <v>34.206558000000001</v>
      </c>
      <c r="N72" s="813">
        <v>34.569740000000003</v>
      </c>
      <c r="O72" s="813">
        <v>34.993015</v>
      </c>
      <c r="P72" s="813">
        <v>35.482342000000003</v>
      </c>
      <c r="Q72" s="813">
        <v>36.089100000000002</v>
      </c>
      <c r="R72" s="813">
        <v>36.724068000000003</v>
      </c>
      <c r="S72" s="813">
        <v>37.354121999999997</v>
      </c>
      <c r="T72" s="813">
        <v>38.155304000000001</v>
      </c>
      <c r="U72" s="813">
        <v>38.835284999999999</v>
      </c>
      <c r="V72" s="813">
        <v>39.584991000000002</v>
      </c>
      <c r="W72" s="813">
        <v>40.356448999999998</v>
      </c>
      <c r="X72" s="813">
        <v>41.220604000000002</v>
      </c>
      <c r="Y72" s="813">
        <v>42.068043000000003</v>
      </c>
      <c r="Z72" s="813">
        <v>42.838360000000002</v>
      </c>
      <c r="AA72" s="813">
        <v>43.48489</v>
      </c>
      <c r="AB72" s="813">
        <v>44.373252999999998</v>
      </c>
      <c r="AC72" s="813">
        <v>45.267646999999997</v>
      </c>
      <c r="AD72" s="813">
        <v>46.148238999999997</v>
      </c>
      <c r="AE72" s="813">
        <v>47.148910999999998</v>
      </c>
      <c r="AF72" s="814">
        <v>1.431E-2</v>
      </c>
      <c r="AG72" s="802"/>
    </row>
    <row r="73" spans="1:33" ht="15" customHeight="1">
      <c r="A73" s="800" t="s">
        <v>4772</v>
      </c>
      <c r="B73" s="812" t="s">
        <v>4725</v>
      </c>
      <c r="C73" s="813">
        <v>0</v>
      </c>
      <c r="D73" s="813">
        <v>0</v>
      </c>
      <c r="E73" s="813">
        <v>0</v>
      </c>
      <c r="F73" s="813">
        <v>0</v>
      </c>
      <c r="G73" s="813">
        <v>0</v>
      </c>
      <c r="H73" s="813">
        <v>0</v>
      </c>
      <c r="I73" s="813">
        <v>0</v>
      </c>
      <c r="J73" s="813">
        <v>0</v>
      </c>
      <c r="K73" s="813">
        <v>0</v>
      </c>
      <c r="L73" s="813">
        <v>0</v>
      </c>
      <c r="M73" s="813">
        <v>0</v>
      </c>
      <c r="N73" s="813">
        <v>0</v>
      </c>
      <c r="O73" s="813">
        <v>0</v>
      </c>
      <c r="P73" s="813">
        <v>0</v>
      </c>
      <c r="Q73" s="813">
        <v>0</v>
      </c>
      <c r="R73" s="813">
        <v>0</v>
      </c>
      <c r="S73" s="813">
        <v>0</v>
      </c>
      <c r="T73" s="813">
        <v>0</v>
      </c>
      <c r="U73" s="813">
        <v>0</v>
      </c>
      <c r="V73" s="813">
        <v>0</v>
      </c>
      <c r="W73" s="813">
        <v>0</v>
      </c>
      <c r="X73" s="813">
        <v>0</v>
      </c>
      <c r="Y73" s="813">
        <v>0</v>
      </c>
      <c r="Z73" s="813">
        <v>0</v>
      </c>
      <c r="AA73" s="813">
        <v>0</v>
      </c>
      <c r="AB73" s="813">
        <v>0</v>
      </c>
      <c r="AC73" s="813">
        <v>0</v>
      </c>
      <c r="AD73" s="813">
        <v>0</v>
      </c>
      <c r="AE73" s="813">
        <v>0</v>
      </c>
      <c r="AF73" s="814" t="s">
        <v>2805</v>
      </c>
      <c r="AG73" s="802"/>
    </row>
    <row r="74" spans="1:33" ht="15" customHeight="1">
      <c r="A74" s="800" t="s">
        <v>4773</v>
      </c>
      <c r="B74" s="812" t="s">
        <v>4727</v>
      </c>
      <c r="C74" s="813">
        <v>0</v>
      </c>
      <c r="D74" s="813">
        <v>0</v>
      </c>
      <c r="E74" s="813">
        <v>0</v>
      </c>
      <c r="F74" s="813">
        <v>0</v>
      </c>
      <c r="G74" s="813">
        <v>0</v>
      </c>
      <c r="H74" s="813">
        <v>0</v>
      </c>
      <c r="I74" s="813">
        <v>0</v>
      </c>
      <c r="J74" s="813">
        <v>0</v>
      </c>
      <c r="K74" s="813">
        <v>0</v>
      </c>
      <c r="L74" s="813">
        <v>0</v>
      </c>
      <c r="M74" s="813">
        <v>0</v>
      </c>
      <c r="N74" s="813">
        <v>0</v>
      </c>
      <c r="O74" s="813">
        <v>0</v>
      </c>
      <c r="P74" s="813">
        <v>0</v>
      </c>
      <c r="Q74" s="813">
        <v>0</v>
      </c>
      <c r="R74" s="813">
        <v>0</v>
      </c>
      <c r="S74" s="813">
        <v>0</v>
      </c>
      <c r="T74" s="813">
        <v>0</v>
      </c>
      <c r="U74" s="813">
        <v>0</v>
      </c>
      <c r="V74" s="813">
        <v>0</v>
      </c>
      <c r="W74" s="813">
        <v>0</v>
      </c>
      <c r="X74" s="813">
        <v>0</v>
      </c>
      <c r="Y74" s="813">
        <v>0</v>
      </c>
      <c r="Z74" s="813">
        <v>0</v>
      </c>
      <c r="AA74" s="813">
        <v>0</v>
      </c>
      <c r="AB74" s="813">
        <v>0</v>
      </c>
      <c r="AC74" s="813">
        <v>0</v>
      </c>
      <c r="AD74" s="813">
        <v>0</v>
      </c>
      <c r="AE74" s="813">
        <v>0</v>
      </c>
      <c r="AF74" s="814" t="s">
        <v>2805</v>
      </c>
      <c r="AG74" s="802"/>
    </row>
    <row r="75" spans="1:33" ht="15" customHeight="1">
      <c r="A75" s="800" t="s">
        <v>4774</v>
      </c>
      <c r="B75" s="812" t="s">
        <v>4729</v>
      </c>
      <c r="C75" s="813">
        <v>41.013213999999998</v>
      </c>
      <c r="D75" s="813">
        <v>42.065337999999997</v>
      </c>
      <c r="E75" s="813">
        <v>42.560912999999999</v>
      </c>
      <c r="F75" s="813">
        <v>43.441943999999999</v>
      </c>
      <c r="G75" s="813">
        <v>44.292350999999996</v>
      </c>
      <c r="H75" s="813">
        <v>45.099586000000002</v>
      </c>
      <c r="I75" s="813">
        <v>45.787956000000001</v>
      </c>
      <c r="J75" s="813">
        <v>46.284027000000002</v>
      </c>
      <c r="K75" s="813">
        <v>46.620659000000003</v>
      </c>
      <c r="L75" s="813">
        <v>46.750594999999997</v>
      </c>
      <c r="M75" s="813">
        <v>47.390942000000003</v>
      </c>
      <c r="N75" s="813">
        <v>48.264366000000003</v>
      </c>
      <c r="O75" s="813">
        <v>49.219428999999998</v>
      </c>
      <c r="P75" s="813">
        <v>50.278660000000002</v>
      </c>
      <c r="Q75" s="813">
        <v>51.300483999999997</v>
      </c>
      <c r="R75" s="813">
        <v>52.392063</v>
      </c>
      <c r="S75" s="813">
        <v>53.565998</v>
      </c>
      <c r="T75" s="813">
        <v>54.729523</v>
      </c>
      <c r="U75" s="813">
        <v>55.987816000000002</v>
      </c>
      <c r="V75" s="813">
        <v>57.296173000000003</v>
      </c>
      <c r="W75" s="813">
        <v>58.554760000000002</v>
      </c>
      <c r="X75" s="813">
        <v>59.898257999999998</v>
      </c>
      <c r="Y75" s="813">
        <v>61.201504</v>
      </c>
      <c r="Z75" s="813">
        <v>62.497475000000001</v>
      </c>
      <c r="AA75" s="813">
        <v>63.868209999999998</v>
      </c>
      <c r="AB75" s="813">
        <v>65.297950999999998</v>
      </c>
      <c r="AC75" s="813">
        <v>66.709641000000005</v>
      </c>
      <c r="AD75" s="813">
        <v>68.097969000000006</v>
      </c>
      <c r="AE75" s="813">
        <v>69.768722999999994</v>
      </c>
      <c r="AF75" s="814">
        <v>1.9155999999999999E-2</v>
      </c>
      <c r="AG75" s="802"/>
    </row>
    <row r="76" spans="1:33" ht="15" customHeight="1">
      <c r="A76" s="800" t="s">
        <v>4775</v>
      </c>
      <c r="B76" s="808" t="s">
        <v>4731</v>
      </c>
      <c r="C76" s="811">
        <v>72.924469000000002</v>
      </c>
      <c r="D76" s="811">
        <v>73.520195000000001</v>
      </c>
      <c r="E76" s="811">
        <v>75.385963000000004</v>
      </c>
      <c r="F76" s="811">
        <v>77.002303999999995</v>
      </c>
      <c r="G76" s="811">
        <v>78.547584999999998</v>
      </c>
      <c r="H76" s="811">
        <v>79.895202999999995</v>
      </c>
      <c r="I76" s="811">
        <v>80.906693000000004</v>
      </c>
      <c r="J76" s="811">
        <v>81.507782000000006</v>
      </c>
      <c r="K76" s="811">
        <v>81.829300000000003</v>
      </c>
      <c r="L76" s="811">
        <v>81.784713999999994</v>
      </c>
      <c r="M76" s="811">
        <v>82.580771999999996</v>
      </c>
      <c r="N76" s="811">
        <v>83.808150999999995</v>
      </c>
      <c r="O76" s="811">
        <v>85.182418999999996</v>
      </c>
      <c r="P76" s="811">
        <v>86.732483000000002</v>
      </c>
      <c r="Q76" s="811">
        <v>88.365951999999993</v>
      </c>
      <c r="R76" s="811">
        <v>90.098624999999998</v>
      </c>
      <c r="S76" s="811">
        <v>91.905852999999993</v>
      </c>
      <c r="T76" s="811">
        <v>93.884415000000004</v>
      </c>
      <c r="U76" s="811">
        <v>95.828201000000007</v>
      </c>
      <c r="V76" s="811">
        <v>97.894172999999995</v>
      </c>
      <c r="W76" s="811">
        <v>99.935080999999997</v>
      </c>
      <c r="X76" s="811">
        <v>102.156792</v>
      </c>
      <c r="Y76" s="811">
        <v>104.32225</v>
      </c>
      <c r="Z76" s="811">
        <v>106.400513</v>
      </c>
      <c r="AA76" s="811">
        <v>108.43225099999999</v>
      </c>
      <c r="AB76" s="811">
        <v>110.763672</v>
      </c>
      <c r="AC76" s="811">
        <v>113.081085</v>
      </c>
      <c r="AD76" s="811">
        <v>115.363579</v>
      </c>
      <c r="AE76" s="811">
        <v>118.05089599999999</v>
      </c>
      <c r="AF76" s="810">
        <v>1.7351999999999999E-2</v>
      </c>
      <c r="AG76" s="802"/>
    </row>
    <row r="77" spans="1:33" ht="15" customHeight="1">
      <c r="B77" s="802"/>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row>
    <row r="78" spans="1:33" ht="15" customHeight="1">
      <c r="B78" s="808" t="s">
        <v>4242</v>
      </c>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3" ht="15" customHeight="1">
      <c r="A79" s="800" t="s">
        <v>4776</v>
      </c>
      <c r="B79" s="812" t="s">
        <v>4777</v>
      </c>
      <c r="C79" s="820">
        <v>361.08462500000002</v>
      </c>
      <c r="D79" s="820">
        <v>354.09451300000001</v>
      </c>
      <c r="E79" s="820">
        <v>351.484802</v>
      </c>
      <c r="F79" s="820">
        <v>357.95004299999999</v>
      </c>
      <c r="G79" s="820">
        <v>369.75707999999997</v>
      </c>
      <c r="H79" s="820">
        <v>379.725708</v>
      </c>
      <c r="I79" s="820">
        <v>385.55938700000002</v>
      </c>
      <c r="J79" s="820">
        <v>390.02487200000002</v>
      </c>
      <c r="K79" s="820">
        <v>392.792755</v>
      </c>
      <c r="L79" s="820">
        <v>396.91482500000001</v>
      </c>
      <c r="M79" s="820">
        <v>405.37014799999997</v>
      </c>
      <c r="N79" s="820">
        <v>412.59906000000001</v>
      </c>
      <c r="O79" s="820">
        <v>418.59823599999999</v>
      </c>
      <c r="P79" s="820">
        <v>426.64352400000001</v>
      </c>
      <c r="Q79" s="820">
        <v>435.44189499999999</v>
      </c>
      <c r="R79" s="820">
        <v>445.069458</v>
      </c>
      <c r="S79" s="820">
        <v>454.907623</v>
      </c>
      <c r="T79" s="820">
        <v>462.154358</v>
      </c>
      <c r="U79" s="820">
        <v>469.06369000000001</v>
      </c>
      <c r="V79" s="820">
        <v>478.09390300000001</v>
      </c>
      <c r="W79" s="820">
        <v>485.71447799999999</v>
      </c>
      <c r="X79" s="820">
        <v>492.09628300000003</v>
      </c>
      <c r="Y79" s="820">
        <v>496.24026500000002</v>
      </c>
      <c r="Z79" s="820">
        <v>498.41033900000002</v>
      </c>
      <c r="AA79" s="820">
        <v>500.96777300000002</v>
      </c>
      <c r="AB79" s="820">
        <v>505.22824100000003</v>
      </c>
      <c r="AC79" s="820">
        <v>507.26754799999998</v>
      </c>
      <c r="AD79" s="820">
        <v>507.686127</v>
      </c>
      <c r="AE79" s="820">
        <v>514.91851799999995</v>
      </c>
      <c r="AF79" s="814">
        <v>1.2756E-2</v>
      </c>
      <c r="AG79" s="802"/>
    </row>
    <row r="80" spans="1:33" ht="12" customHeight="1">
      <c r="A80" s="800" t="s">
        <v>4778</v>
      </c>
      <c r="B80" s="812" t="s">
        <v>4779</v>
      </c>
      <c r="C80" s="820">
        <v>399.61200000000002</v>
      </c>
      <c r="D80" s="820">
        <v>393.56274400000001</v>
      </c>
      <c r="E80" s="820">
        <v>393.80505399999998</v>
      </c>
      <c r="F80" s="820">
        <v>398.59121699999997</v>
      </c>
      <c r="G80" s="820">
        <v>413.20257600000002</v>
      </c>
      <c r="H80" s="820">
        <v>426.06222500000001</v>
      </c>
      <c r="I80" s="820">
        <v>431.62191799999999</v>
      </c>
      <c r="J80" s="820">
        <v>436.47894300000002</v>
      </c>
      <c r="K80" s="820">
        <v>441.38394199999999</v>
      </c>
      <c r="L80" s="820">
        <v>448.80239899999998</v>
      </c>
      <c r="M80" s="820">
        <v>460.85583500000001</v>
      </c>
      <c r="N80" s="820">
        <v>470.08538800000002</v>
      </c>
      <c r="O80" s="820">
        <v>477.91143799999998</v>
      </c>
      <c r="P80" s="820">
        <v>487.04830900000002</v>
      </c>
      <c r="Q80" s="820">
        <v>495.56310999999999</v>
      </c>
      <c r="R80" s="820">
        <v>503.838593</v>
      </c>
      <c r="S80" s="820">
        <v>512.09667999999999</v>
      </c>
      <c r="T80" s="820">
        <v>518.91455099999996</v>
      </c>
      <c r="U80" s="820">
        <v>525.78979500000003</v>
      </c>
      <c r="V80" s="820">
        <v>533.87219200000004</v>
      </c>
      <c r="W80" s="820">
        <v>541.03369099999998</v>
      </c>
      <c r="X80" s="820">
        <v>546.68652299999997</v>
      </c>
      <c r="Y80" s="820">
        <v>551.02954099999999</v>
      </c>
      <c r="Z80" s="820">
        <v>554.63653599999998</v>
      </c>
      <c r="AA80" s="820">
        <v>560.65307600000006</v>
      </c>
      <c r="AB80" s="820">
        <v>567.37158199999999</v>
      </c>
      <c r="AC80" s="820">
        <v>573.516479</v>
      </c>
      <c r="AD80" s="820">
        <v>577.69525099999998</v>
      </c>
      <c r="AE80" s="820">
        <v>585.69397000000004</v>
      </c>
      <c r="AF80" s="814">
        <v>1.3747000000000001E-2</v>
      </c>
      <c r="AG80" s="802"/>
    </row>
    <row r="81" spans="1:33" ht="12" customHeight="1">
      <c r="A81" s="800" t="s">
        <v>4780</v>
      </c>
      <c r="B81" s="812" t="s">
        <v>4781</v>
      </c>
      <c r="C81" s="820">
        <v>506.49093599999998</v>
      </c>
      <c r="D81" s="820">
        <v>516.42877199999998</v>
      </c>
      <c r="E81" s="820">
        <v>532.86395300000004</v>
      </c>
      <c r="F81" s="820">
        <v>553.77117899999996</v>
      </c>
      <c r="G81" s="820">
        <v>577.25573699999995</v>
      </c>
      <c r="H81" s="820">
        <v>597.36413600000003</v>
      </c>
      <c r="I81" s="820">
        <v>614.67828399999996</v>
      </c>
      <c r="J81" s="820">
        <v>627.72113000000002</v>
      </c>
      <c r="K81" s="820">
        <v>637.34918200000004</v>
      </c>
      <c r="L81" s="820">
        <v>648.73742700000003</v>
      </c>
      <c r="M81" s="820">
        <v>662.29174799999998</v>
      </c>
      <c r="N81" s="820">
        <v>675.88458300000002</v>
      </c>
      <c r="O81" s="820">
        <v>690.44891399999995</v>
      </c>
      <c r="P81" s="820">
        <v>704.77856399999996</v>
      </c>
      <c r="Q81" s="820">
        <v>720.01513699999998</v>
      </c>
      <c r="R81" s="820">
        <v>736.80139199999996</v>
      </c>
      <c r="S81" s="820">
        <v>754.86901899999998</v>
      </c>
      <c r="T81" s="820">
        <v>773.49487299999998</v>
      </c>
      <c r="U81" s="820">
        <v>794.91992200000004</v>
      </c>
      <c r="V81" s="820">
        <v>816.08807400000001</v>
      </c>
      <c r="W81" s="820">
        <v>835.03979500000003</v>
      </c>
      <c r="X81" s="820">
        <v>855.20025599999997</v>
      </c>
      <c r="Y81" s="820">
        <v>874.60534700000005</v>
      </c>
      <c r="Z81" s="820">
        <v>893.03076199999998</v>
      </c>
      <c r="AA81" s="820">
        <v>911.92706299999998</v>
      </c>
      <c r="AB81" s="820">
        <v>931.363831</v>
      </c>
      <c r="AC81" s="820">
        <v>950.155396</v>
      </c>
      <c r="AD81" s="820">
        <v>970.80560300000002</v>
      </c>
      <c r="AE81" s="820">
        <v>994.11694299999999</v>
      </c>
      <c r="AF81" s="814">
        <v>2.4375999999999998E-2</v>
      </c>
      <c r="AG81" s="802"/>
    </row>
    <row r="82" spans="1:33" ht="15" customHeight="1">
      <c r="A82" s="800" t="s">
        <v>4782</v>
      </c>
      <c r="B82" s="812" t="s">
        <v>4783</v>
      </c>
      <c r="C82" s="820">
        <v>1128.2124020000001</v>
      </c>
      <c r="D82" s="820">
        <v>1163.3079829999999</v>
      </c>
      <c r="E82" s="820">
        <v>1177.901245</v>
      </c>
      <c r="F82" s="820">
        <v>1174.456543</v>
      </c>
      <c r="G82" s="820">
        <v>1180.570557</v>
      </c>
      <c r="H82" s="820">
        <v>1202.499268</v>
      </c>
      <c r="I82" s="820">
        <v>1218.9282229999999</v>
      </c>
      <c r="J82" s="820">
        <v>1226.8570560000001</v>
      </c>
      <c r="K82" s="820">
        <v>1237.553711</v>
      </c>
      <c r="L82" s="820">
        <v>1256.5177000000001</v>
      </c>
      <c r="M82" s="820">
        <v>1288.404053</v>
      </c>
      <c r="N82" s="820">
        <v>1316.197754</v>
      </c>
      <c r="O82" s="820">
        <v>1337.4107670000001</v>
      </c>
      <c r="P82" s="820">
        <v>1360.609009</v>
      </c>
      <c r="Q82" s="820">
        <v>1382.859741</v>
      </c>
      <c r="R82" s="820">
        <v>1398.0405270000001</v>
      </c>
      <c r="S82" s="820">
        <v>1415.6757809999999</v>
      </c>
      <c r="T82" s="820">
        <v>1429.8842770000001</v>
      </c>
      <c r="U82" s="820">
        <v>1450.1400149999999</v>
      </c>
      <c r="V82" s="820">
        <v>1475.5817870000001</v>
      </c>
      <c r="W82" s="820">
        <v>1500.8208010000001</v>
      </c>
      <c r="X82" s="820">
        <v>1522.6357419999999</v>
      </c>
      <c r="Y82" s="820">
        <v>1540.6464840000001</v>
      </c>
      <c r="Z82" s="820">
        <v>1558.831543</v>
      </c>
      <c r="AA82" s="820">
        <v>1582.472534</v>
      </c>
      <c r="AB82" s="820">
        <v>1608.056274</v>
      </c>
      <c r="AC82" s="820">
        <v>1631.1317140000001</v>
      </c>
      <c r="AD82" s="820">
        <v>1653.2062989999999</v>
      </c>
      <c r="AE82" s="820">
        <v>1681.0548100000001</v>
      </c>
      <c r="AF82" s="814">
        <v>1.4344000000000001E-2</v>
      </c>
      <c r="AG82" s="802"/>
    </row>
    <row r="83" spans="1:33" ht="15" customHeight="1">
      <c r="A83" s="800" t="s">
        <v>4784</v>
      </c>
      <c r="B83" s="812" t="s">
        <v>4785</v>
      </c>
      <c r="C83" s="820">
        <v>136.71812399999999</v>
      </c>
      <c r="D83" s="820">
        <v>136.660156</v>
      </c>
      <c r="E83" s="820">
        <v>138.18132</v>
      </c>
      <c r="F83" s="820">
        <v>141.502182</v>
      </c>
      <c r="G83" s="820">
        <v>144.87214700000001</v>
      </c>
      <c r="H83" s="820">
        <v>147.97396900000001</v>
      </c>
      <c r="I83" s="820">
        <v>150.72811899999999</v>
      </c>
      <c r="J83" s="820">
        <v>153.04495199999999</v>
      </c>
      <c r="K83" s="820">
        <v>154.97905</v>
      </c>
      <c r="L83" s="820">
        <v>156.095932</v>
      </c>
      <c r="M83" s="820">
        <v>159.33145099999999</v>
      </c>
      <c r="N83" s="820">
        <v>163.81352200000001</v>
      </c>
      <c r="O83" s="820">
        <v>168.14465300000001</v>
      </c>
      <c r="P83" s="820">
        <v>172.72576900000001</v>
      </c>
      <c r="Q83" s="820">
        <v>177.38597100000001</v>
      </c>
      <c r="R83" s="820">
        <v>182.320007</v>
      </c>
      <c r="S83" s="820">
        <v>187.67952</v>
      </c>
      <c r="T83" s="820">
        <v>192.963043</v>
      </c>
      <c r="U83" s="820">
        <v>198.58502200000001</v>
      </c>
      <c r="V83" s="820">
        <v>204.38623000000001</v>
      </c>
      <c r="W83" s="820">
        <v>209.77015700000001</v>
      </c>
      <c r="X83" s="820">
        <v>215.49572800000001</v>
      </c>
      <c r="Y83" s="820">
        <v>221.13317900000001</v>
      </c>
      <c r="Z83" s="820">
        <v>226.601257</v>
      </c>
      <c r="AA83" s="820">
        <v>232.24366800000001</v>
      </c>
      <c r="AB83" s="820">
        <v>238.18220500000001</v>
      </c>
      <c r="AC83" s="820">
        <v>244.16102599999999</v>
      </c>
      <c r="AD83" s="820">
        <v>250.01297</v>
      </c>
      <c r="AE83" s="820">
        <v>257.04513500000002</v>
      </c>
      <c r="AF83" s="814">
        <v>2.2804000000000001E-2</v>
      </c>
      <c r="AG83" s="802"/>
    </row>
    <row r="84" spans="1: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row>
    <row r="85" spans="1:33" ht="15" customHeight="1">
      <c r="B85" s="808" t="s">
        <v>4388</v>
      </c>
      <c r="C85" s="802"/>
      <c r="D85" s="802"/>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2"/>
      <c r="AE85" s="802"/>
      <c r="AF85" s="802"/>
      <c r="AG85" s="802"/>
    </row>
    <row r="86" spans="1:33" ht="15" customHeight="1">
      <c r="B86" s="808" t="s">
        <v>4389</v>
      </c>
      <c r="C86" s="802"/>
      <c r="D86" s="802"/>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row>
    <row r="87" spans="1:33" ht="15" customHeight="1">
      <c r="A87" s="800" t="s">
        <v>4786</v>
      </c>
      <c r="B87" s="812" t="s">
        <v>4777</v>
      </c>
      <c r="C87" s="815">
        <v>0.63366699999999998</v>
      </c>
      <c r="D87" s="815">
        <v>0.64239100000000005</v>
      </c>
      <c r="E87" s="815">
        <v>0.65223399999999998</v>
      </c>
      <c r="F87" s="815">
        <v>0.65297499999999997</v>
      </c>
      <c r="G87" s="815">
        <v>0.65256499999999995</v>
      </c>
      <c r="H87" s="815">
        <v>0.65153000000000005</v>
      </c>
      <c r="I87" s="815">
        <v>0.64971199999999996</v>
      </c>
      <c r="J87" s="815">
        <v>0.64590400000000003</v>
      </c>
      <c r="K87" s="815">
        <v>0.64151999999999998</v>
      </c>
      <c r="L87" s="815">
        <v>0.63701300000000005</v>
      </c>
      <c r="M87" s="815">
        <v>0.631714</v>
      </c>
      <c r="N87" s="815">
        <v>0.62715799999999999</v>
      </c>
      <c r="O87" s="815">
        <v>0.62478100000000003</v>
      </c>
      <c r="P87" s="815">
        <v>0.62245600000000001</v>
      </c>
      <c r="Q87" s="815">
        <v>0.62004000000000004</v>
      </c>
      <c r="R87" s="815">
        <v>0.61680000000000001</v>
      </c>
      <c r="S87" s="815">
        <v>0.61298399999999997</v>
      </c>
      <c r="T87" s="815">
        <v>0.61114599999999997</v>
      </c>
      <c r="U87" s="815">
        <v>0.60844699999999996</v>
      </c>
      <c r="V87" s="815">
        <v>0.60537600000000003</v>
      </c>
      <c r="W87" s="815">
        <v>0.60377099999999995</v>
      </c>
      <c r="X87" s="815">
        <v>0.60261200000000004</v>
      </c>
      <c r="Y87" s="815">
        <v>0.60177700000000001</v>
      </c>
      <c r="Z87" s="815">
        <v>0.60157400000000005</v>
      </c>
      <c r="AA87" s="815">
        <v>0.60066799999999998</v>
      </c>
      <c r="AB87" s="815">
        <v>0.60061900000000001</v>
      </c>
      <c r="AC87" s="815">
        <v>0.60077100000000005</v>
      </c>
      <c r="AD87" s="815">
        <v>0.60120200000000001</v>
      </c>
      <c r="AE87" s="815">
        <v>0.59938100000000005</v>
      </c>
      <c r="AF87" s="814">
        <v>-1.9849999999999998E-3</v>
      </c>
      <c r="AG87" s="802"/>
    </row>
    <row r="88" spans="1:33" ht="15" customHeight="1">
      <c r="A88" s="800" t="s">
        <v>4787</v>
      </c>
      <c r="B88" s="812" t="s">
        <v>4779</v>
      </c>
      <c r="C88" s="815">
        <v>0.31001000000000001</v>
      </c>
      <c r="D88" s="815">
        <v>0.31630999999999998</v>
      </c>
      <c r="E88" s="815">
        <v>0.31978899999999999</v>
      </c>
      <c r="F88" s="815">
        <v>0.32017099999999998</v>
      </c>
      <c r="G88" s="815">
        <v>0.32081199999999999</v>
      </c>
      <c r="H88" s="815">
        <v>0.321108</v>
      </c>
      <c r="I88" s="815">
        <v>0.32082500000000003</v>
      </c>
      <c r="J88" s="815">
        <v>0.31859900000000002</v>
      </c>
      <c r="K88" s="815">
        <v>0.31581700000000001</v>
      </c>
      <c r="L88" s="815">
        <v>0.31269000000000002</v>
      </c>
      <c r="M88" s="815">
        <v>0.30911</v>
      </c>
      <c r="N88" s="815">
        <v>0.30607600000000001</v>
      </c>
      <c r="O88" s="815">
        <v>0.30460599999999999</v>
      </c>
      <c r="P88" s="815">
        <v>0.30332399999999998</v>
      </c>
      <c r="Q88" s="815">
        <v>0.30236400000000002</v>
      </c>
      <c r="R88" s="815">
        <v>0.30116999999999999</v>
      </c>
      <c r="S88" s="815">
        <v>0.29957099999999998</v>
      </c>
      <c r="T88" s="815">
        <v>0.29921599999999998</v>
      </c>
      <c r="U88" s="815">
        <v>0.29794900000000002</v>
      </c>
      <c r="V88" s="815">
        <v>0.29671199999999998</v>
      </c>
      <c r="W88" s="815">
        <v>0.29637799999999997</v>
      </c>
      <c r="X88" s="815">
        <v>0.29642299999999999</v>
      </c>
      <c r="Y88" s="815">
        <v>0.296487</v>
      </c>
      <c r="Z88" s="815">
        <v>0.296759</v>
      </c>
      <c r="AA88" s="815">
        <v>0.29631800000000003</v>
      </c>
      <c r="AB88" s="815">
        <v>0.29650599999999999</v>
      </c>
      <c r="AC88" s="815">
        <v>0.29661900000000002</v>
      </c>
      <c r="AD88" s="815">
        <v>0.29693599999999998</v>
      </c>
      <c r="AE88" s="815">
        <v>0.29628100000000002</v>
      </c>
      <c r="AF88" s="814">
        <v>-1.616E-3</v>
      </c>
      <c r="AG88" s="802"/>
    </row>
    <row r="89" spans="1:33" ht="15" customHeight="1">
      <c r="A89" s="800" t="s">
        <v>4788</v>
      </c>
      <c r="B89" s="812" t="s">
        <v>4781</v>
      </c>
      <c r="C89" s="815">
        <v>0.246087</v>
      </c>
      <c r="D89" s="815">
        <v>0.25065300000000001</v>
      </c>
      <c r="E89" s="815">
        <v>0.25258000000000003</v>
      </c>
      <c r="F89" s="815">
        <v>0.25226799999999999</v>
      </c>
      <c r="G89" s="815">
        <v>0.25050099999999997</v>
      </c>
      <c r="H89" s="815">
        <v>0.248033</v>
      </c>
      <c r="I89" s="815">
        <v>0.24468500000000001</v>
      </c>
      <c r="J89" s="815">
        <v>0.2412</v>
      </c>
      <c r="K89" s="815">
        <v>0.23791599999999999</v>
      </c>
      <c r="L89" s="815">
        <v>0.23480300000000001</v>
      </c>
      <c r="M89" s="815">
        <v>0.23178199999999999</v>
      </c>
      <c r="N89" s="815">
        <v>0.228243</v>
      </c>
      <c r="O89" s="815">
        <v>0.22530700000000001</v>
      </c>
      <c r="P89" s="815">
        <v>0.22281000000000001</v>
      </c>
      <c r="Q89" s="815">
        <v>0.22045600000000001</v>
      </c>
      <c r="R89" s="815">
        <v>0.218001</v>
      </c>
      <c r="S89" s="815">
        <v>0.21524799999999999</v>
      </c>
      <c r="T89" s="815">
        <v>0.212982</v>
      </c>
      <c r="U89" s="815">
        <v>0.21026300000000001</v>
      </c>
      <c r="V89" s="815">
        <v>0.20780599999999999</v>
      </c>
      <c r="W89" s="815">
        <v>0.20597699999999999</v>
      </c>
      <c r="X89" s="815">
        <v>0.20430100000000001</v>
      </c>
      <c r="Y89" s="815">
        <v>0.20268700000000001</v>
      </c>
      <c r="Z89" s="815">
        <v>0.20111399999999999</v>
      </c>
      <c r="AA89" s="815">
        <v>0.19936300000000001</v>
      </c>
      <c r="AB89" s="815">
        <v>0.19802</v>
      </c>
      <c r="AC89" s="815">
        <v>0.19666400000000001</v>
      </c>
      <c r="AD89" s="815">
        <v>0.19523199999999999</v>
      </c>
      <c r="AE89" s="815">
        <v>0.193661</v>
      </c>
      <c r="AF89" s="814">
        <v>-8.5199999999999998E-3</v>
      </c>
      <c r="AG89" s="802"/>
    </row>
    <row r="90" spans="1:33" ht="15" customHeight="1">
      <c r="A90" s="800" t="s">
        <v>4789</v>
      </c>
      <c r="B90" s="812" t="s">
        <v>4783</v>
      </c>
      <c r="C90" s="815">
        <v>0.28274100000000002</v>
      </c>
      <c r="D90" s="815">
        <v>0.288105</v>
      </c>
      <c r="E90" s="815">
        <v>0.28931699999999999</v>
      </c>
      <c r="F90" s="815">
        <v>0.28838999999999998</v>
      </c>
      <c r="G90" s="815">
        <v>0.28746300000000002</v>
      </c>
      <c r="H90" s="815">
        <v>0.287603</v>
      </c>
      <c r="I90" s="815">
        <v>0.28682299999999999</v>
      </c>
      <c r="J90" s="815">
        <v>0.28493499999999999</v>
      </c>
      <c r="K90" s="815">
        <v>0.28197499999999998</v>
      </c>
      <c r="L90" s="815">
        <v>0.27850799999999998</v>
      </c>
      <c r="M90" s="815">
        <v>0.27480599999999999</v>
      </c>
      <c r="N90" s="815">
        <v>0.27135500000000001</v>
      </c>
      <c r="O90" s="815">
        <v>0.26946199999999998</v>
      </c>
      <c r="P90" s="815">
        <v>0.26786799999999999</v>
      </c>
      <c r="Q90" s="815">
        <v>0.26663399999999998</v>
      </c>
      <c r="R90" s="815">
        <v>0.26532299999999998</v>
      </c>
      <c r="S90" s="815">
        <v>0.26361099999999998</v>
      </c>
      <c r="T90" s="815">
        <v>0.262818</v>
      </c>
      <c r="U90" s="815">
        <v>0.26105800000000001</v>
      </c>
      <c r="V90" s="815">
        <v>0.25915100000000002</v>
      </c>
      <c r="W90" s="815">
        <v>0.25775399999999998</v>
      </c>
      <c r="X90" s="815">
        <v>0.25648100000000001</v>
      </c>
      <c r="Y90" s="815">
        <v>0.25522800000000001</v>
      </c>
      <c r="Z90" s="815">
        <v>0.25410300000000002</v>
      </c>
      <c r="AA90" s="815">
        <v>0.25246499999999999</v>
      </c>
      <c r="AB90" s="815">
        <v>0.25140600000000002</v>
      </c>
      <c r="AC90" s="815">
        <v>0.25033</v>
      </c>
      <c r="AD90" s="815">
        <v>0.24928700000000001</v>
      </c>
      <c r="AE90" s="815">
        <v>0.247887</v>
      </c>
      <c r="AF90" s="814">
        <v>-4.6880000000000003E-3</v>
      </c>
      <c r="AG90" s="802"/>
    </row>
    <row r="91" spans="1:33" ht="15" customHeight="1">
      <c r="A91" s="800" t="s">
        <v>4790</v>
      </c>
      <c r="B91" s="812" t="s">
        <v>4785</v>
      </c>
      <c r="C91" s="815">
        <v>0.53339300000000001</v>
      </c>
      <c r="D91" s="815">
        <v>0.53797799999999996</v>
      </c>
      <c r="E91" s="815">
        <v>0.54555799999999999</v>
      </c>
      <c r="F91" s="815">
        <v>0.54417800000000005</v>
      </c>
      <c r="G91" s="815">
        <v>0.54218599999999995</v>
      </c>
      <c r="H91" s="815">
        <v>0.53992700000000005</v>
      </c>
      <c r="I91" s="815">
        <v>0.53677200000000003</v>
      </c>
      <c r="J91" s="815">
        <v>0.53257399999999999</v>
      </c>
      <c r="K91" s="815">
        <v>0.52800199999999997</v>
      </c>
      <c r="L91" s="815">
        <v>0.52393900000000004</v>
      </c>
      <c r="M91" s="815">
        <v>0.51829499999999995</v>
      </c>
      <c r="N91" s="815">
        <v>0.51160700000000003</v>
      </c>
      <c r="O91" s="815">
        <v>0.506602</v>
      </c>
      <c r="P91" s="815">
        <v>0.50214000000000003</v>
      </c>
      <c r="Q91" s="815">
        <v>0.49815599999999999</v>
      </c>
      <c r="R91" s="815">
        <v>0.49417800000000001</v>
      </c>
      <c r="S91" s="815">
        <v>0.48969600000000002</v>
      </c>
      <c r="T91" s="815">
        <v>0.486541</v>
      </c>
      <c r="U91" s="815">
        <v>0.48255500000000001</v>
      </c>
      <c r="V91" s="815">
        <v>0.47896699999999998</v>
      </c>
      <c r="W91" s="815">
        <v>0.47640300000000002</v>
      </c>
      <c r="X91" s="815">
        <v>0.474055</v>
      </c>
      <c r="Y91" s="815">
        <v>0.47176200000000001</v>
      </c>
      <c r="Z91" s="815">
        <v>0.46955000000000002</v>
      </c>
      <c r="AA91" s="815">
        <v>0.46689000000000003</v>
      </c>
      <c r="AB91" s="815">
        <v>0.46503800000000001</v>
      </c>
      <c r="AC91" s="815">
        <v>0.46314100000000002</v>
      </c>
      <c r="AD91" s="815">
        <v>0.46143000000000001</v>
      </c>
      <c r="AE91" s="815">
        <v>0.45926099999999997</v>
      </c>
      <c r="AF91" s="814">
        <v>-5.3299999999999997E-3</v>
      </c>
      <c r="AG91" s="802"/>
    </row>
    <row r="92" spans="1:33" ht="15" customHeight="1">
      <c r="B92" s="802"/>
      <c r="C92" s="802"/>
      <c r="D92" s="802"/>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2"/>
      <c r="AE92" s="802"/>
      <c r="AF92" s="802"/>
      <c r="AG92" s="802"/>
    </row>
    <row r="93" spans="1:33" ht="12" customHeight="1">
      <c r="B93" s="808" t="s">
        <v>4791</v>
      </c>
      <c r="C93" s="802"/>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row>
    <row r="94" spans="1:33" ht="15" customHeight="1">
      <c r="B94" s="808" t="s">
        <v>4792</v>
      </c>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1:33" ht="15" customHeight="1">
      <c r="A95" s="800" t="s">
        <v>4793</v>
      </c>
      <c r="B95" s="812" t="s">
        <v>4777</v>
      </c>
      <c r="C95" s="820">
        <v>20.366866999999999</v>
      </c>
      <c r="D95" s="820">
        <v>19.473921000000001</v>
      </c>
      <c r="E95" s="820">
        <v>19.338643999999999</v>
      </c>
      <c r="F95" s="820">
        <v>18.638331999999998</v>
      </c>
      <c r="G95" s="820">
        <v>17.661449000000001</v>
      </c>
      <c r="H95" s="820">
        <v>16.68038</v>
      </c>
      <c r="I95" s="820">
        <v>15.575551000000001</v>
      </c>
      <c r="J95" s="820">
        <v>14.695665999999999</v>
      </c>
      <c r="K95" s="820">
        <v>13.972136000000001</v>
      </c>
      <c r="L95" s="820">
        <v>13.733896</v>
      </c>
      <c r="M95" s="820">
        <v>13.713372</v>
      </c>
      <c r="N95" s="820">
        <v>13.872348000000001</v>
      </c>
      <c r="O95" s="820">
        <v>13.830277000000001</v>
      </c>
      <c r="P95" s="820">
        <v>13.973285000000001</v>
      </c>
      <c r="Q95" s="820">
        <v>14.167426000000001</v>
      </c>
      <c r="R95" s="820">
        <v>14.328385000000001</v>
      </c>
      <c r="S95" s="820">
        <v>14.423551</v>
      </c>
      <c r="T95" s="820">
        <v>14.530882999999999</v>
      </c>
      <c r="U95" s="820">
        <v>14.649848</v>
      </c>
      <c r="V95" s="820">
        <v>14.888199</v>
      </c>
      <c r="W95" s="820">
        <v>15.094246999999999</v>
      </c>
      <c r="X95" s="820">
        <v>15.17975</v>
      </c>
      <c r="Y95" s="820">
        <v>15.141425999999999</v>
      </c>
      <c r="Z95" s="820">
        <v>15.050515000000001</v>
      </c>
      <c r="AA95" s="820">
        <v>14.921196999999999</v>
      </c>
      <c r="AB95" s="820">
        <v>14.957815999999999</v>
      </c>
      <c r="AC95" s="820">
        <v>14.891223</v>
      </c>
      <c r="AD95" s="820">
        <v>14.825644</v>
      </c>
      <c r="AE95" s="820">
        <v>14.839345</v>
      </c>
      <c r="AF95" s="814">
        <v>-1.1244000000000001E-2</v>
      </c>
      <c r="AG95" s="802"/>
    </row>
    <row r="96" spans="1:33" ht="15" customHeight="1">
      <c r="A96" s="800" t="s">
        <v>4794</v>
      </c>
      <c r="B96" s="812" t="s">
        <v>4779</v>
      </c>
      <c r="C96" s="820">
        <v>11.431486</v>
      </c>
      <c r="D96" s="820">
        <v>10.988837999999999</v>
      </c>
      <c r="E96" s="820">
        <v>10.92062</v>
      </c>
      <c r="F96" s="820">
        <v>10.426599</v>
      </c>
      <c r="G96" s="820">
        <v>9.9014030000000002</v>
      </c>
      <c r="H96" s="820">
        <v>9.3911259999999999</v>
      </c>
      <c r="I96" s="820">
        <v>8.7414400000000008</v>
      </c>
      <c r="J96" s="820">
        <v>8.2135829999999999</v>
      </c>
      <c r="K96" s="820">
        <v>7.8076840000000001</v>
      </c>
      <c r="L96" s="820">
        <v>7.6960600000000001</v>
      </c>
      <c r="M96" s="820">
        <v>7.6984750000000002</v>
      </c>
      <c r="N96" s="820">
        <v>7.78592</v>
      </c>
      <c r="O96" s="820">
        <v>7.7602270000000004</v>
      </c>
      <c r="P96" s="820">
        <v>7.8300109999999998</v>
      </c>
      <c r="Q96" s="820">
        <v>7.9176840000000004</v>
      </c>
      <c r="R96" s="820">
        <v>7.978059</v>
      </c>
      <c r="S96" s="820">
        <v>7.994631</v>
      </c>
      <c r="T96" s="820">
        <v>8.0458099999999995</v>
      </c>
      <c r="U96" s="820">
        <v>8.0985669999999992</v>
      </c>
      <c r="V96" s="820">
        <v>8.207281</v>
      </c>
      <c r="W96" s="820">
        <v>8.3125889999999991</v>
      </c>
      <c r="X96" s="820">
        <v>8.3507479999999994</v>
      </c>
      <c r="Y96" s="820">
        <v>8.3335620000000006</v>
      </c>
      <c r="Z96" s="820">
        <v>8.3058029999999992</v>
      </c>
      <c r="AA96" s="820">
        <v>8.2714210000000001</v>
      </c>
      <c r="AB96" s="820">
        <v>8.3192310000000003</v>
      </c>
      <c r="AC96" s="820">
        <v>8.3311460000000004</v>
      </c>
      <c r="AD96" s="820">
        <v>8.3469519999999999</v>
      </c>
      <c r="AE96" s="820">
        <v>8.351464</v>
      </c>
      <c r="AF96" s="814">
        <v>-1.1148999999999999E-2</v>
      </c>
      <c r="AG96" s="802"/>
    </row>
    <row r="97" spans="1:33" ht="15" customHeight="1">
      <c r="A97" s="800" t="s">
        <v>4795</v>
      </c>
      <c r="B97" s="812" t="s">
        <v>4781</v>
      </c>
      <c r="C97" s="820">
        <v>12.681177</v>
      </c>
      <c r="D97" s="820">
        <v>12.408975999999999</v>
      </c>
      <c r="E97" s="820">
        <v>12.706477</v>
      </c>
      <c r="F97" s="820">
        <v>12.281821000000001</v>
      </c>
      <c r="G97" s="820">
        <v>11.477880000000001</v>
      </c>
      <c r="H97" s="820">
        <v>10.547936</v>
      </c>
      <c r="I97" s="820">
        <v>9.6527740000000009</v>
      </c>
      <c r="J97" s="820">
        <v>8.9544110000000003</v>
      </c>
      <c r="K97" s="820">
        <v>8.4088609999999999</v>
      </c>
      <c r="L97" s="820">
        <v>8.1808829999999997</v>
      </c>
      <c r="M97" s="820">
        <v>8.0611969999999999</v>
      </c>
      <c r="N97" s="820">
        <v>8.0577609999999993</v>
      </c>
      <c r="O97" s="820">
        <v>7.9825330000000001</v>
      </c>
      <c r="P97" s="820">
        <v>7.9928129999999999</v>
      </c>
      <c r="Q97" s="820">
        <v>8.0206649999999993</v>
      </c>
      <c r="R97" s="820">
        <v>8.0224890000000002</v>
      </c>
      <c r="S97" s="820">
        <v>7.9971240000000003</v>
      </c>
      <c r="T97" s="820">
        <v>8.0357500000000002</v>
      </c>
      <c r="U97" s="820">
        <v>8.1143370000000008</v>
      </c>
      <c r="V97" s="820">
        <v>8.2473709999999993</v>
      </c>
      <c r="W97" s="820">
        <v>8.3630759999999995</v>
      </c>
      <c r="X97" s="820">
        <v>8.4339829999999996</v>
      </c>
      <c r="Y97" s="820">
        <v>8.433541</v>
      </c>
      <c r="Z97" s="820">
        <v>8.4356430000000007</v>
      </c>
      <c r="AA97" s="820">
        <v>8.3851879999999994</v>
      </c>
      <c r="AB97" s="820">
        <v>8.4336149999999996</v>
      </c>
      <c r="AC97" s="820">
        <v>8.4440570000000008</v>
      </c>
      <c r="AD97" s="820">
        <v>8.5057709999999993</v>
      </c>
      <c r="AE97" s="820">
        <v>8.5154060000000005</v>
      </c>
      <c r="AF97" s="814">
        <v>-1.4121999999999999E-2</v>
      </c>
      <c r="AG97" s="802"/>
    </row>
    <row r="98" spans="1:33" ht="15" customHeight="1">
      <c r="A98" s="800" t="s">
        <v>4796</v>
      </c>
      <c r="B98" s="812" t="s">
        <v>4783</v>
      </c>
      <c r="C98" s="820">
        <v>27.862282</v>
      </c>
      <c r="D98" s="820">
        <v>28.100296</v>
      </c>
      <c r="E98" s="820">
        <v>28.087167999999998</v>
      </c>
      <c r="F98" s="820">
        <v>26.443531</v>
      </c>
      <c r="G98" s="820">
        <v>24.393961000000001</v>
      </c>
      <c r="H98" s="820">
        <v>22.958282000000001</v>
      </c>
      <c r="I98" s="820">
        <v>21.483872999999999</v>
      </c>
      <c r="J98" s="820">
        <v>20.235434999999999</v>
      </c>
      <c r="K98" s="820">
        <v>19.268250999999999</v>
      </c>
      <c r="L98" s="820">
        <v>18.948333999999999</v>
      </c>
      <c r="M98" s="820">
        <v>18.913992</v>
      </c>
      <c r="N98" s="820">
        <v>19.090429</v>
      </c>
      <c r="O98" s="820">
        <v>19.032969000000001</v>
      </c>
      <c r="P98" s="820">
        <v>19.166653</v>
      </c>
      <c r="Q98" s="820">
        <v>19.337273</v>
      </c>
      <c r="R98" s="820">
        <v>19.338974</v>
      </c>
      <c r="S98" s="820">
        <v>19.283182</v>
      </c>
      <c r="T98" s="820">
        <v>19.318489</v>
      </c>
      <c r="U98" s="820">
        <v>19.411380999999999</v>
      </c>
      <c r="V98" s="820">
        <v>19.634848000000002</v>
      </c>
      <c r="W98" s="820">
        <v>19.866426000000001</v>
      </c>
      <c r="X98" s="820">
        <v>19.956629</v>
      </c>
      <c r="Y98" s="820">
        <v>19.912628000000002</v>
      </c>
      <c r="Z98" s="820">
        <v>19.883103999999999</v>
      </c>
      <c r="AA98" s="820">
        <v>19.826810999999999</v>
      </c>
      <c r="AB98" s="820">
        <v>19.96059</v>
      </c>
      <c r="AC98" s="820">
        <v>20.013973</v>
      </c>
      <c r="AD98" s="820">
        <v>20.095704999999999</v>
      </c>
      <c r="AE98" s="820">
        <v>20.143395999999999</v>
      </c>
      <c r="AF98" s="814">
        <v>-1.1519E-2</v>
      </c>
      <c r="AG98" s="802"/>
    </row>
    <row r="99" spans="1:33" ht="15" customHeight="1">
      <c r="A99" s="800" t="s">
        <v>4797</v>
      </c>
      <c r="B99" s="812" t="s">
        <v>4785</v>
      </c>
      <c r="C99" s="820">
        <v>6.4853940000000003</v>
      </c>
      <c r="D99" s="820">
        <v>6.2898059999999996</v>
      </c>
      <c r="E99" s="820">
        <v>6.377675</v>
      </c>
      <c r="F99" s="820">
        <v>6.1510720000000001</v>
      </c>
      <c r="G99" s="820">
        <v>5.7625520000000003</v>
      </c>
      <c r="H99" s="820">
        <v>5.3795380000000002</v>
      </c>
      <c r="I99" s="820">
        <v>5.032572</v>
      </c>
      <c r="J99" s="820">
        <v>4.767671</v>
      </c>
      <c r="K99" s="820">
        <v>4.5638779999999999</v>
      </c>
      <c r="L99" s="820">
        <v>4.4620290000000002</v>
      </c>
      <c r="M99" s="820">
        <v>4.4346860000000001</v>
      </c>
      <c r="N99" s="820">
        <v>4.4935320000000001</v>
      </c>
      <c r="O99" s="820">
        <v>4.503679</v>
      </c>
      <c r="P99" s="820">
        <v>4.5580569999999998</v>
      </c>
      <c r="Q99" s="820">
        <v>4.6223089999999996</v>
      </c>
      <c r="R99" s="820">
        <v>4.6828659999999998</v>
      </c>
      <c r="S99" s="820">
        <v>4.7397330000000002</v>
      </c>
      <c r="T99" s="820">
        <v>4.8164249999999997</v>
      </c>
      <c r="U99" s="820">
        <v>4.8995480000000002</v>
      </c>
      <c r="V99" s="820">
        <v>5.010904</v>
      </c>
      <c r="W99" s="820">
        <v>5.114878</v>
      </c>
      <c r="X99" s="820">
        <v>5.1999139999999997</v>
      </c>
      <c r="Y99" s="820">
        <v>5.248869</v>
      </c>
      <c r="Z99" s="820">
        <v>5.3036519999999996</v>
      </c>
      <c r="AA99" s="820">
        <v>5.3344860000000001</v>
      </c>
      <c r="AB99" s="820">
        <v>5.4096080000000004</v>
      </c>
      <c r="AC99" s="820">
        <v>5.4710900000000002</v>
      </c>
      <c r="AD99" s="820">
        <v>5.547936</v>
      </c>
      <c r="AE99" s="820">
        <v>5.619313</v>
      </c>
      <c r="AF99" s="814">
        <v>-5.1060000000000003E-3</v>
      </c>
      <c r="AG99" s="802"/>
    </row>
    <row r="100" spans="1:33" ht="12" customHeight="1">
      <c r="B100" s="802"/>
      <c r="C100" s="802"/>
      <c r="D100" s="802"/>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2"/>
      <c r="AE100" s="802"/>
      <c r="AF100" s="802"/>
      <c r="AG100" s="802"/>
    </row>
    <row r="101" spans="1:33" ht="15" customHeight="1">
      <c r="B101" s="802"/>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1:33" ht="15" customHeight="1">
      <c r="B102" s="808" t="s">
        <v>4798</v>
      </c>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1:33" ht="15" customHeight="1">
      <c r="B103" s="808" t="s">
        <v>4799</v>
      </c>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1:33" ht="15" customHeight="1">
      <c r="B104" s="808" t="s">
        <v>4800</v>
      </c>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1:33" ht="15" customHeight="1">
      <c r="B105" s="802"/>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1:33" ht="15" customHeight="1">
      <c r="B106" s="808" t="s">
        <v>4801</v>
      </c>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1:33" ht="15" customHeight="1">
      <c r="B107" s="808" t="s">
        <v>4553</v>
      </c>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1:33" ht="12" customHeight="1">
      <c r="A108" s="800" t="s">
        <v>4802</v>
      </c>
      <c r="B108" s="812" t="s">
        <v>4323</v>
      </c>
      <c r="C108" s="815">
        <v>1.89E-2</v>
      </c>
      <c r="D108" s="815">
        <v>1.89E-2</v>
      </c>
      <c r="E108" s="815">
        <v>1.89E-2</v>
      </c>
      <c r="F108" s="815">
        <v>1.89E-2</v>
      </c>
      <c r="G108" s="815">
        <v>1.89E-2</v>
      </c>
      <c r="H108" s="815">
        <v>1.89E-2</v>
      </c>
      <c r="I108" s="815">
        <v>1.89E-2</v>
      </c>
      <c r="J108" s="815">
        <v>1.89E-2</v>
      </c>
      <c r="K108" s="815">
        <v>1.89E-2</v>
      </c>
      <c r="L108" s="815">
        <v>1.89E-2</v>
      </c>
      <c r="M108" s="815">
        <v>1.89E-2</v>
      </c>
      <c r="N108" s="815">
        <v>1.89E-2</v>
      </c>
      <c r="O108" s="815">
        <v>1.89E-2</v>
      </c>
      <c r="P108" s="815">
        <v>1.89E-2</v>
      </c>
      <c r="Q108" s="815">
        <v>1.89E-2</v>
      </c>
      <c r="R108" s="815">
        <v>1.89E-2</v>
      </c>
      <c r="S108" s="815">
        <v>1.89E-2</v>
      </c>
      <c r="T108" s="815">
        <v>1.89E-2</v>
      </c>
      <c r="U108" s="815">
        <v>1.89E-2</v>
      </c>
      <c r="V108" s="815">
        <v>1.89E-2</v>
      </c>
      <c r="W108" s="815">
        <v>1.89E-2</v>
      </c>
      <c r="X108" s="815">
        <v>1.89E-2</v>
      </c>
      <c r="Y108" s="815">
        <v>1.89E-2</v>
      </c>
      <c r="Z108" s="815">
        <v>1.89E-2</v>
      </c>
      <c r="AA108" s="815">
        <v>1.89E-2</v>
      </c>
      <c r="AB108" s="815">
        <v>1.89E-2</v>
      </c>
      <c r="AC108" s="815">
        <v>1.89E-2</v>
      </c>
      <c r="AD108" s="815">
        <v>1.89E-2</v>
      </c>
      <c r="AE108" s="815">
        <v>1.89E-2</v>
      </c>
      <c r="AF108" s="814">
        <v>0</v>
      </c>
      <c r="AG108" s="802"/>
    </row>
    <row r="109" spans="1:33" ht="15" customHeight="1">
      <c r="A109" s="800" t="s">
        <v>4803</v>
      </c>
      <c r="B109" s="812" t="s">
        <v>4297</v>
      </c>
      <c r="C109" s="815">
        <v>7.9643000000000005E-2</v>
      </c>
      <c r="D109" s="815">
        <v>8.1601000000000007E-2</v>
      </c>
      <c r="E109" s="815">
        <v>8.3262000000000003E-2</v>
      </c>
      <c r="F109" s="815">
        <v>8.4375000000000006E-2</v>
      </c>
      <c r="G109" s="815">
        <v>8.5458000000000006E-2</v>
      </c>
      <c r="H109" s="815">
        <v>8.6540000000000006E-2</v>
      </c>
      <c r="I109" s="815">
        <v>8.7651000000000007E-2</v>
      </c>
      <c r="J109" s="815">
        <v>8.8801000000000005E-2</v>
      </c>
      <c r="K109" s="815">
        <v>9.0006000000000003E-2</v>
      </c>
      <c r="L109" s="815">
        <v>9.1288999999999995E-2</v>
      </c>
      <c r="M109" s="815">
        <v>9.2675999999999994E-2</v>
      </c>
      <c r="N109" s="815">
        <v>9.4200000000000006E-2</v>
      </c>
      <c r="O109" s="815">
        <v>9.5864000000000005E-2</v>
      </c>
      <c r="P109" s="815">
        <v>9.7641000000000006E-2</v>
      </c>
      <c r="Q109" s="815">
        <v>9.9548999999999999E-2</v>
      </c>
      <c r="R109" s="815">
        <v>0.101558</v>
      </c>
      <c r="S109" s="815">
        <v>0.10367999999999999</v>
      </c>
      <c r="T109" s="815">
        <v>0.10589999999999999</v>
      </c>
      <c r="U109" s="815">
        <v>0.108242</v>
      </c>
      <c r="V109" s="815">
        <v>0.110726</v>
      </c>
      <c r="W109" s="815">
        <v>0.11332399999999999</v>
      </c>
      <c r="X109" s="815">
        <v>0.11602999999999999</v>
      </c>
      <c r="Y109" s="815">
        <v>0.118823</v>
      </c>
      <c r="Z109" s="815">
        <v>0.12167600000000001</v>
      </c>
      <c r="AA109" s="815">
        <v>0.124614</v>
      </c>
      <c r="AB109" s="815">
        <v>0.12765799999999999</v>
      </c>
      <c r="AC109" s="815">
        <v>0.130828</v>
      </c>
      <c r="AD109" s="815">
        <v>0.134129</v>
      </c>
      <c r="AE109" s="815">
        <v>0.13758500000000001</v>
      </c>
      <c r="AF109" s="814">
        <v>1.9716000000000001E-2</v>
      </c>
      <c r="AG109" s="802"/>
    </row>
    <row r="110" spans="1:33" ht="15" customHeight="1">
      <c r="A110" s="800" t="s">
        <v>4804</v>
      </c>
      <c r="B110" s="812" t="s">
        <v>4326</v>
      </c>
      <c r="C110" s="815">
        <v>0</v>
      </c>
      <c r="D110" s="815">
        <v>0</v>
      </c>
      <c r="E110" s="815">
        <v>0</v>
      </c>
      <c r="F110" s="815">
        <v>0</v>
      </c>
      <c r="G110" s="815">
        <v>0</v>
      </c>
      <c r="H110" s="815">
        <v>0</v>
      </c>
      <c r="I110" s="815">
        <v>0</v>
      </c>
      <c r="J110" s="815">
        <v>0</v>
      </c>
      <c r="K110" s="815">
        <v>0</v>
      </c>
      <c r="L110" s="815">
        <v>0</v>
      </c>
      <c r="M110" s="815">
        <v>0</v>
      </c>
      <c r="N110" s="815">
        <v>0</v>
      </c>
      <c r="O110" s="815">
        <v>0</v>
      </c>
      <c r="P110" s="815">
        <v>0</v>
      </c>
      <c r="Q110" s="815">
        <v>0</v>
      </c>
      <c r="R110" s="815">
        <v>0</v>
      </c>
      <c r="S110" s="815">
        <v>0</v>
      </c>
      <c r="T110" s="815">
        <v>0</v>
      </c>
      <c r="U110" s="815">
        <v>0</v>
      </c>
      <c r="V110" s="815">
        <v>0</v>
      </c>
      <c r="W110" s="815">
        <v>0</v>
      </c>
      <c r="X110" s="815">
        <v>0</v>
      </c>
      <c r="Y110" s="815">
        <v>0</v>
      </c>
      <c r="Z110" s="815">
        <v>0</v>
      </c>
      <c r="AA110" s="815">
        <v>0</v>
      </c>
      <c r="AB110" s="815">
        <v>0</v>
      </c>
      <c r="AC110" s="815">
        <v>0</v>
      </c>
      <c r="AD110" s="815">
        <v>0</v>
      </c>
      <c r="AE110" s="815">
        <v>0</v>
      </c>
      <c r="AF110" s="814" t="s">
        <v>2805</v>
      </c>
      <c r="AG110" s="802"/>
    </row>
    <row r="111" spans="1:33" ht="15" customHeight="1">
      <c r="A111" s="800" t="s">
        <v>4805</v>
      </c>
      <c r="B111" s="812" t="s">
        <v>4558</v>
      </c>
      <c r="C111" s="815">
        <v>8.3500000000000005E-2</v>
      </c>
      <c r="D111" s="815">
        <v>8.8400000000000006E-2</v>
      </c>
      <c r="E111" s="815">
        <v>8.8400000000000006E-2</v>
      </c>
      <c r="F111" s="815">
        <v>8.8400000000000006E-2</v>
      </c>
      <c r="G111" s="815">
        <v>8.8400000000000006E-2</v>
      </c>
      <c r="H111" s="815">
        <v>8.8400000000000006E-2</v>
      </c>
      <c r="I111" s="815">
        <v>8.8400000000000006E-2</v>
      </c>
      <c r="J111" s="815">
        <v>8.8400000000000006E-2</v>
      </c>
      <c r="K111" s="815">
        <v>8.8400000000000006E-2</v>
      </c>
      <c r="L111" s="815">
        <v>8.8400000000000006E-2</v>
      </c>
      <c r="M111" s="815">
        <v>8.8400000000000006E-2</v>
      </c>
      <c r="N111" s="815">
        <v>8.8400000000000006E-2</v>
      </c>
      <c r="O111" s="815">
        <v>8.8400000000000006E-2</v>
      </c>
      <c r="P111" s="815">
        <v>8.8400000000000006E-2</v>
      </c>
      <c r="Q111" s="815">
        <v>8.8400000000000006E-2</v>
      </c>
      <c r="R111" s="815">
        <v>8.8400000000000006E-2</v>
      </c>
      <c r="S111" s="815">
        <v>8.8400000000000006E-2</v>
      </c>
      <c r="T111" s="815">
        <v>8.8400000000000006E-2</v>
      </c>
      <c r="U111" s="815">
        <v>8.8400000000000006E-2</v>
      </c>
      <c r="V111" s="815">
        <v>8.8400000000000006E-2</v>
      </c>
      <c r="W111" s="815">
        <v>8.8400000000000006E-2</v>
      </c>
      <c r="X111" s="815">
        <v>8.8400000000000006E-2</v>
      </c>
      <c r="Y111" s="815">
        <v>8.8400000000000006E-2</v>
      </c>
      <c r="Z111" s="815">
        <v>8.8400000000000006E-2</v>
      </c>
      <c r="AA111" s="815">
        <v>8.8400000000000006E-2</v>
      </c>
      <c r="AB111" s="815">
        <v>8.8400000000000006E-2</v>
      </c>
      <c r="AC111" s="815">
        <v>8.8400000000000006E-2</v>
      </c>
      <c r="AD111" s="815">
        <v>8.8400000000000006E-2</v>
      </c>
      <c r="AE111" s="815">
        <v>8.8400000000000006E-2</v>
      </c>
      <c r="AF111" s="814">
        <v>2.039E-3</v>
      </c>
      <c r="AG111" s="802"/>
    </row>
    <row r="112" spans="1:33" ht="15" customHeight="1">
      <c r="A112" s="800" t="s">
        <v>4806</v>
      </c>
      <c r="B112" s="808" t="s">
        <v>4303</v>
      </c>
      <c r="C112" s="816">
        <v>0.18204300000000001</v>
      </c>
      <c r="D112" s="816">
        <v>0.18890100000000001</v>
      </c>
      <c r="E112" s="816">
        <v>0.19056200000000001</v>
      </c>
      <c r="F112" s="816">
        <v>0.19167500000000001</v>
      </c>
      <c r="G112" s="816">
        <v>0.19275800000000001</v>
      </c>
      <c r="H112" s="816">
        <v>0.19384000000000001</v>
      </c>
      <c r="I112" s="816">
        <v>0.19495100000000001</v>
      </c>
      <c r="J112" s="816">
        <v>0.196101</v>
      </c>
      <c r="K112" s="816">
        <v>0.19730600000000001</v>
      </c>
      <c r="L112" s="816">
        <v>0.19858899999999999</v>
      </c>
      <c r="M112" s="816">
        <v>0.19997599999999999</v>
      </c>
      <c r="N112" s="816">
        <v>0.20150000000000001</v>
      </c>
      <c r="O112" s="816">
        <v>0.20316400000000001</v>
      </c>
      <c r="P112" s="816">
        <v>0.20494100000000001</v>
      </c>
      <c r="Q112" s="816">
        <v>0.20684900000000001</v>
      </c>
      <c r="R112" s="816">
        <v>0.20885799999999999</v>
      </c>
      <c r="S112" s="816">
        <v>0.21098</v>
      </c>
      <c r="T112" s="816">
        <v>0.2132</v>
      </c>
      <c r="U112" s="816">
        <v>0.21554200000000001</v>
      </c>
      <c r="V112" s="816">
        <v>0.218026</v>
      </c>
      <c r="W112" s="816">
        <v>0.22062399999999999</v>
      </c>
      <c r="X112" s="816">
        <v>0.22333</v>
      </c>
      <c r="Y112" s="816">
        <v>0.22612299999999999</v>
      </c>
      <c r="Z112" s="816">
        <v>0.22897600000000001</v>
      </c>
      <c r="AA112" s="816">
        <v>0.23191400000000001</v>
      </c>
      <c r="AB112" s="816">
        <v>0.234958</v>
      </c>
      <c r="AC112" s="816">
        <v>0.23812800000000001</v>
      </c>
      <c r="AD112" s="816">
        <v>0.241429</v>
      </c>
      <c r="AE112" s="816">
        <v>0.24488499999999999</v>
      </c>
      <c r="AF112" s="810">
        <v>1.0647E-2</v>
      </c>
      <c r="AG112" s="802"/>
    </row>
    <row r="113" spans="1:33" ht="15" customHeight="1">
      <c r="B113" s="808" t="s">
        <v>4330</v>
      </c>
      <c r="C113" s="802"/>
      <c r="D113" s="802"/>
      <c r="E113" s="802"/>
      <c r="F113" s="802"/>
      <c r="G113" s="802"/>
      <c r="H113" s="802"/>
      <c r="I113" s="802"/>
      <c r="J113" s="802"/>
      <c r="K113" s="802"/>
      <c r="L113" s="802"/>
      <c r="M113" s="802"/>
      <c r="N113" s="802"/>
      <c r="O113" s="802"/>
      <c r="P113" s="802"/>
      <c r="Q113" s="802"/>
      <c r="R113" s="802"/>
      <c r="S113" s="802"/>
      <c r="T113" s="802"/>
      <c r="U113" s="802"/>
      <c r="V113" s="802"/>
      <c r="W113" s="802"/>
      <c r="X113" s="802"/>
      <c r="Y113" s="802"/>
      <c r="Z113" s="802"/>
      <c r="AA113" s="802"/>
      <c r="AB113" s="802"/>
      <c r="AC113" s="802"/>
      <c r="AD113" s="802"/>
      <c r="AE113" s="802"/>
      <c r="AF113" s="802"/>
      <c r="AG113" s="802"/>
    </row>
    <row r="114" spans="1:33" ht="15" customHeight="1">
      <c r="A114" s="800" t="s">
        <v>4807</v>
      </c>
      <c r="B114" s="812" t="s">
        <v>4323</v>
      </c>
      <c r="C114" s="815">
        <v>3.6110000000000001E-3</v>
      </c>
      <c r="D114" s="815">
        <v>3.6110000000000001E-3</v>
      </c>
      <c r="E114" s="815">
        <v>3.6110000000000001E-3</v>
      </c>
      <c r="F114" s="815">
        <v>3.6110000000000001E-3</v>
      </c>
      <c r="G114" s="815">
        <v>3.6110000000000001E-3</v>
      </c>
      <c r="H114" s="815">
        <v>3.6110000000000001E-3</v>
      </c>
      <c r="I114" s="815">
        <v>3.6110000000000001E-3</v>
      </c>
      <c r="J114" s="815">
        <v>3.6110000000000001E-3</v>
      </c>
      <c r="K114" s="815">
        <v>3.6110000000000001E-3</v>
      </c>
      <c r="L114" s="815">
        <v>3.6110000000000001E-3</v>
      </c>
      <c r="M114" s="815">
        <v>3.6110000000000001E-3</v>
      </c>
      <c r="N114" s="815">
        <v>3.6110000000000001E-3</v>
      </c>
      <c r="O114" s="815">
        <v>3.6110000000000001E-3</v>
      </c>
      <c r="P114" s="815">
        <v>3.6110000000000001E-3</v>
      </c>
      <c r="Q114" s="815">
        <v>3.6110000000000001E-3</v>
      </c>
      <c r="R114" s="815">
        <v>3.6110000000000001E-3</v>
      </c>
      <c r="S114" s="815">
        <v>3.6110000000000001E-3</v>
      </c>
      <c r="T114" s="815">
        <v>3.6110000000000001E-3</v>
      </c>
      <c r="U114" s="815">
        <v>3.6110000000000001E-3</v>
      </c>
      <c r="V114" s="815">
        <v>3.6110000000000001E-3</v>
      </c>
      <c r="W114" s="815">
        <v>3.6110000000000001E-3</v>
      </c>
      <c r="X114" s="815">
        <v>3.6110000000000001E-3</v>
      </c>
      <c r="Y114" s="815">
        <v>3.6110000000000001E-3</v>
      </c>
      <c r="Z114" s="815">
        <v>3.6110000000000001E-3</v>
      </c>
      <c r="AA114" s="815">
        <v>3.6110000000000001E-3</v>
      </c>
      <c r="AB114" s="815">
        <v>3.6110000000000001E-3</v>
      </c>
      <c r="AC114" s="815">
        <v>3.6110000000000001E-3</v>
      </c>
      <c r="AD114" s="815">
        <v>3.6110000000000001E-3</v>
      </c>
      <c r="AE114" s="815">
        <v>3.6110000000000001E-3</v>
      </c>
      <c r="AF114" s="814">
        <v>0</v>
      </c>
      <c r="AG114" s="802"/>
    </row>
    <row r="115" spans="1:33" ht="15" customHeight="1">
      <c r="A115" s="800" t="s">
        <v>4808</v>
      </c>
      <c r="B115" s="812" t="s">
        <v>4297</v>
      </c>
      <c r="C115" s="815">
        <v>0.28252899999999997</v>
      </c>
      <c r="D115" s="815">
        <v>0.29086800000000002</v>
      </c>
      <c r="E115" s="815">
        <v>0.298012</v>
      </c>
      <c r="F115" s="815">
        <v>0.30284800000000001</v>
      </c>
      <c r="G115" s="815">
        <v>0.30759199999999998</v>
      </c>
      <c r="H115" s="815">
        <v>0.31237599999999999</v>
      </c>
      <c r="I115" s="815">
        <v>0.31733099999999997</v>
      </c>
      <c r="J115" s="815">
        <v>0.32250600000000001</v>
      </c>
      <c r="K115" s="815">
        <v>0.32798500000000003</v>
      </c>
      <c r="L115" s="815">
        <v>0.33387</v>
      </c>
      <c r="M115" s="815">
        <v>0.34029999999999999</v>
      </c>
      <c r="N115" s="815">
        <v>0.34743000000000002</v>
      </c>
      <c r="O115" s="815">
        <v>0.35528799999999999</v>
      </c>
      <c r="P115" s="815">
        <v>0.363763</v>
      </c>
      <c r="Q115" s="815">
        <v>0.372944</v>
      </c>
      <c r="R115" s="815">
        <v>0.38269999999999998</v>
      </c>
      <c r="S115" s="815">
        <v>0.39309899999999998</v>
      </c>
      <c r="T115" s="815">
        <v>0.40407999999999999</v>
      </c>
      <c r="U115" s="815">
        <v>0.41577199999999997</v>
      </c>
      <c r="V115" s="815">
        <v>0.42828500000000003</v>
      </c>
      <c r="W115" s="815">
        <v>0.4415</v>
      </c>
      <c r="X115" s="815">
        <v>0.45539499999999999</v>
      </c>
      <c r="Y115" s="815">
        <v>0.469862</v>
      </c>
      <c r="Z115" s="815">
        <v>0.48478100000000002</v>
      </c>
      <c r="AA115" s="815">
        <v>0.50027699999999997</v>
      </c>
      <c r="AB115" s="815">
        <v>0.51647399999999999</v>
      </c>
      <c r="AC115" s="815">
        <v>0.53348899999999999</v>
      </c>
      <c r="AD115" s="815">
        <v>0.55136700000000005</v>
      </c>
      <c r="AE115" s="815">
        <v>0.57023599999999997</v>
      </c>
      <c r="AF115" s="814">
        <v>2.5398E-2</v>
      </c>
      <c r="AG115" s="802"/>
    </row>
    <row r="116" spans="1:33" ht="12" customHeight="1">
      <c r="A116" s="800" t="s">
        <v>4809</v>
      </c>
      <c r="B116" s="812" t="s">
        <v>4326</v>
      </c>
      <c r="C116" s="815">
        <v>0</v>
      </c>
      <c r="D116" s="815">
        <v>0</v>
      </c>
      <c r="E116" s="815">
        <v>0</v>
      </c>
      <c r="F116" s="815">
        <v>0</v>
      </c>
      <c r="G116" s="815">
        <v>0</v>
      </c>
      <c r="H116" s="815">
        <v>0</v>
      </c>
      <c r="I116" s="815">
        <v>0</v>
      </c>
      <c r="J116" s="815">
        <v>0</v>
      </c>
      <c r="K116" s="815">
        <v>0</v>
      </c>
      <c r="L116" s="815">
        <v>0</v>
      </c>
      <c r="M116" s="815">
        <v>0</v>
      </c>
      <c r="N116" s="815">
        <v>0</v>
      </c>
      <c r="O116" s="815">
        <v>0</v>
      </c>
      <c r="P116" s="815">
        <v>0</v>
      </c>
      <c r="Q116" s="815">
        <v>0</v>
      </c>
      <c r="R116" s="815">
        <v>0</v>
      </c>
      <c r="S116" s="815">
        <v>0</v>
      </c>
      <c r="T116" s="815">
        <v>0</v>
      </c>
      <c r="U116" s="815">
        <v>0</v>
      </c>
      <c r="V116" s="815">
        <v>0</v>
      </c>
      <c r="W116" s="815">
        <v>0</v>
      </c>
      <c r="X116" s="815">
        <v>0</v>
      </c>
      <c r="Y116" s="815">
        <v>0</v>
      </c>
      <c r="Z116" s="815">
        <v>0</v>
      </c>
      <c r="AA116" s="815">
        <v>0</v>
      </c>
      <c r="AB116" s="815">
        <v>0</v>
      </c>
      <c r="AC116" s="815">
        <v>0</v>
      </c>
      <c r="AD116" s="815">
        <v>0</v>
      </c>
      <c r="AE116" s="815">
        <v>0</v>
      </c>
      <c r="AF116" s="814" t="s">
        <v>2805</v>
      </c>
      <c r="AG116" s="802"/>
    </row>
    <row r="117" spans="1:33" ht="12" customHeight="1">
      <c r="A117" s="800" t="s">
        <v>4810</v>
      </c>
      <c r="B117" s="812" t="s">
        <v>4558</v>
      </c>
      <c r="C117" s="815">
        <v>0.15014</v>
      </c>
      <c r="D117" s="815">
        <v>0.15639</v>
      </c>
      <c r="E117" s="815">
        <v>0.15639</v>
      </c>
      <c r="F117" s="815">
        <v>0.15639</v>
      </c>
      <c r="G117" s="815">
        <v>0.15639</v>
      </c>
      <c r="H117" s="815">
        <v>0.15639</v>
      </c>
      <c r="I117" s="815">
        <v>0.15639</v>
      </c>
      <c r="J117" s="815">
        <v>0.15639</v>
      </c>
      <c r="K117" s="815">
        <v>0.15639</v>
      </c>
      <c r="L117" s="815">
        <v>0.15639</v>
      </c>
      <c r="M117" s="815">
        <v>0.15639</v>
      </c>
      <c r="N117" s="815">
        <v>0.15639</v>
      </c>
      <c r="O117" s="815">
        <v>0.15639</v>
      </c>
      <c r="P117" s="815">
        <v>0.15639</v>
      </c>
      <c r="Q117" s="815">
        <v>0.15639</v>
      </c>
      <c r="R117" s="815">
        <v>0.15639</v>
      </c>
      <c r="S117" s="815">
        <v>0.15639</v>
      </c>
      <c r="T117" s="815">
        <v>0.15639</v>
      </c>
      <c r="U117" s="815">
        <v>0.15639</v>
      </c>
      <c r="V117" s="815">
        <v>0.15639</v>
      </c>
      <c r="W117" s="815">
        <v>0.15639</v>
      </c>
      <c r="X117" s="815">
        <v>0.15639</v>
      </c>
      <c r="Y117" s="815">
        <v>0.15639</v>
      </c>
      <c r="Z117" s="815">
        <v>0.15639</v>
      </c>
      <c r="AA117" s="815">
        <v>0.15639</v>
      </c>
      <c r="AB117" s="815">
        <v>0.15639</v>
      </c>
      <c r="AC117" s="815">
        <v>0.15639</v>
      </c>
      <c r="AD117" s="815">
        <v>0.15639</v>
      </c>
      <c r="AE117" s="815">
        <v>0.15639</v>
      </c>
      <c r="AF117" s="814">
        <v>1.4580000000000001E-3</v>
      </c>
      <c r="AG117" s="802"/>
    </row>
    <row r="118" spans="1:33" ht="15" customHeight="1">
      <c r="A118" s="800" t="s">
        <v>4811</v>
      </c>
      <c r="B118" s="808" t="s">
        <v>4303</v>
      </c>
      <c r="C118" s="816">
        <v>0.43627899999999997</v>
      </c>
      <c r="D118" s="816">
        <v>0.45086799999999999</v>
      </c>
      <c r="E118" s="816">
        <v>0.45801199999999997</v>
      </c>
      <c r="F118" s="816">
        <v>0.46284799999999998</v>
      </c>
      <c r="G118" s="816">
        <v>0.46759299999999998</v>
      </c>
      <c r="H118" s="816">
        <v>0.47237600000000002</v>
      </c>
      <c r="I118" s="816">
        <v>0.47733100000000001</v>
      </c>
      <c r="J118" s="816">
        <v>0.48250599999999999</v>
      </c>
      <c r="K118" s="816">
        <v>0.487985</v>
      </c>
      <c r="L118" s="816">
        <v>0.49386999999999998</v>
      </c>
      <c r="M118" s="816">
        <v>0.50029999999999997</v>
      </c>
      <c r="N118" s="816">
        <v>0.50743000000000005</v>
      </c>
      <c r="O118" s="816">
        <v>0.515289</v>
      </c>
      <c r="P118" s="816">
        <v>0.52376299999999998</v>
      </c>
      <c r="Q118" s="816">
        <v>0.53294399999999997</v>
      </c>
      <c r="R118" s="816">
        <v>0.54269999999999996</v>
      </c>
      <c r="S118" s="816">
        <v>0.55309900000000001</v>
      </c>
      <c r="T118" s="816">
        <v>0.56408000000000003</v>
      </c>
      <c r="U118" s="816">
        <v>0.57577199999999995</v>
      </c>
      <c r="V118" s="816">
        <v>0.58828499999999995</v>
      </c>
      <c r="W118" s="816">
        <v>0.60150000000000003</v>
      </c>
      <c r="X118" s="816">
        <v>0.61539500000000003</v>
      </c>
      <c r="Y118" s="816">
        <v>0.62986200000000003</v>
      </c>
      <c r="Z118" s="816">
        <v>0.64478100000000005</v>
      </c>
      <c r="AA118" s="816">
        <v>0.660277</v>
      </c>
      <c r="AB118" s="816">
        <v>0.67647400000000002</v>
      </c>
      <c r="AC118" s="816">
        <v>0.69348900000000002</v>
      </c>
      <c r="AD118" s="816">
        <v>0.71136699999999997</v>
      </c>
      <c r="AE118" s="816">
        <v>0.730236</v>
      </c>
      <c r="AF118" s="810">
        <v>1.8565999999999999E-2</v>
      </c>
      <c r="AG118" s="802"/>
    </row>
    <row r="119" spans="1:33" ht="15" customHeight="1">
      <c r="B119" s="808" t="s">
        <v>4336</v>
      </c>
      <c r="C119" s="802"/>
      <c r="D119" s="802"/>
      <c r="E119" s="802"/>
      <c r="F119" s="802"/>
      <c r="G119" s="802"/>
      <c r="H119" s="802"/>
      <c r="I119" s="802"/>
      <c r="J119" s="802"/>
      <c r="K119" s="802"/>
      <c r="L119" s="802"/>
      <c r="M119" s="802"/>
      <c r="N119" s="802"/>
      <c r="O119" s="802"/>
      <c r="P119" s="802"/>
      <c r="Q119" s="802"/>
      <c r="R119" s="802"/>
      <c r="S119" s="802"/>
      <c r="T119" s="802"/>
      <c r="U119" s="802"/>
      <c r="V119" s="802"/>
      <c r="W119" s="802"/>
      <c r="X119" s="802"/>
      <c r="Y119" s="802"/>
      <c r="Z119" s="802"/>
      <c r="AA119" s="802"/>
      <c r="AB119" s="802"/>
      <c r="AC119" s="802"/>
      <c r="AD119" s="802"/>
      <c r="AE119" s="802"/>
      <c r="AF119" s="802"/>
      <c r="AG119" s="802"/>
    </row>
    <row r="120" spans="1:33" ht="15" customHeight="1">
      <c r="A120" s="800" t="s">
        <v>4812</v>
      </c>
      <c r="B120" s="812" t="s">
        <v>4338</v>
      </c>
      <c r="C120" s="815">
        <v>4.9262E-2</v>
      </c>
      <c r="D120" s="815">
        <v>4.9961999999999999E-2</v>
      </c>
      <c r="E120" s="815">
        <v>5.0523999999999999E-2</v>
      </c>
      <c r="F120" s="815">
        <v>5.0902999999999997E-2</v>
      </c>
      <c r="G120" s="815">
        <v>5.1276000000000002E-2</v>
      </c>
      <c r="H120" s="815">
        <v>5.1652999999999998E-2</v>
      </c>
      <c r="I120" s="815">
        <v>5.2044E-2</v>
      </c>
      <c r="J120" s="815">
        <v>5.2453E-2</v>
      </c>
      <c r="K120" s="815">
        <v>5.2887000000000003E-2</v>
      </c>
      <c r="L120" s="815">
        <v>5.3355E-2</v>
      </c>
      <c r="M120" s="815">
        <v>5.3866999999999998E-2</v>
      </c>
      <c r="N120" s="815">
        <v>5.4436999999999999E-2</v>
      </c>
      <c r="O120" s="815">
        <v>5.5065000000000003E-2</v>
      </c>
      <c r="P120" s="815">
        <v>5.5744000000000002E-2</v>
      </c>
      <c r="Q120" s="815">
        <v>5.6480000000000002E-2</v>
      </c>
      <c r="R120" s="815">
        <v>5.7264000000000002E-2</v>
      </c>
      <c r="S120" s="815">
        <v>5.8099999999999999E-2</v>
      </c>
      <c r="T120" s="815">
        <v>5.8984000000000002E-2</v>
      </c>
      <c r="U120" s="815">
        <v>5.9926E-2</v>
      </c>
      <c r="V120" s="815">
        <v>6.0934000000000002E-2</v>
      </c>
      <c r="W120" s="815">
        <v>6.2001000000000001E-2</v>
      </c>
      <c r="X120" s="815">
        <v>6.3122999999999999E-2</v>
      </c>
      <c r="Y120" s="815">
        <v>6.4292000000000002E-2</v>
      </c>
      <c r="Z120" s="815">
        <v>6.5498000000000001E-2</v>
      </c>
      <c r="AA120" s="815">
        <v>6.6751000000000005E-2</v>
      </c>
      <c r="AB120" s="815">
        <v>6.8061999999999998E-2</v>
      </c>
      <c r="AC120" s="815">
        <v>6.9438E-2</v>
      </c>
      <c r="AD120" s="815">
        <v>7.0885000000000004E-2</v>
      </c>
      <c r="AE120" s="815">
        <v>7.2411000000000003E-2</v>
      </c>
      <c r="AF120" s="814">
        <v>1.3852E-2</v>
      </c>
      <c r="AG120" s="802"/>
    </row>
    <row r="121" spans="1:33" ht="12" customHeight="1">
      <c r="A121" s="800" t="s">
        <v>4813</v>
      </c>
      <c r="B121" s="812" t="s">
        <v>4340</v>
      </c>
      <c r="C121" s="815">
        <v>0.387017</v>
      </c>
      <c r="D121" s="815">
        <v>0.40090599999999998</v>
      </c>
      <c r="E121" s="815">
        <v>0.40748800000000002</v>
      </c>
      <c r="F121" s="815">
        <v>0.41194399999999998</v>
      </c>
      <c r="G121" s="815">
        <v>0.41631600000000002</v>
      </c>
      <c r="H121" s="815">
        <v>0.42072300000000001</v>
      </c>
      <c r="I121" s="815">
        <v>0.42528700000000003</v>
      </c>
      <c r="J121" s="815">
        <v>0.43005300000000002</v>
      </c>
      <c r="K121" s="815">
        <v>0.43509799999999998</v>
      </c>
      <c r="L121" s="815">
        <v>0.44051499999999999</v>
      </c>
      <c r="M121" s="815">
        <v>0.44643300000000002</v>
      </c>
      <c r="N121" s="815">
        <v>0.45299400000000001</v>
      </c>
      <c r="O121" s="815">
        <v>0.46022400000000002</v>
      </c>
      <c r="P121" s="815">
        <v>0.46801900000000002</v>
      </c>
      <c r="Q121" s="815">
        <v>0.476464</v>
      </c>
      <c r="R121" s="815">
        <v>0.48543599999999998</v>
      </c>
      <c r="S121" s="815">
        <v>0.49499900000000002</v>
      </c>
      <c r="T121" s="815">
        <v>0.50509700000000002</v>
      </c>
      <c r="U121" s="815">
        <v>0.51584600000000003</v>
      </c>
      <c r="V121" s="815">
        <v>0.52734999999999999</v>
      </c>
      <c r="W121" s="815">
        <v>0.53949899999999995</v>
      </c>
      <c r="X121" s="815">
        <v>0.55227199999999999</v>
      </c>
      <c r="Y121" s="815">
        <v>0.56557100000000005</v>
      </c>
      <c r="Z121" s="815">
        <v>0.57928299999999999</v>
      </c>
      <c r="AA121" s="815">
        <v>0.593526</v>
      </c>
      <c r="AB121" s="815">
        <v>0.60841199999999995</v>
      </c>
      <c r="AC121" s="815">
        <v>0.62405100000000002</v>
      </c>
      <c r="AD121" s="815">
        <v>0.64048300000000002</v>
      </c>
      <c r="AE121" s="815">
        <v>0.65782499999999999</v>
      </c>
      <c r="AF121" s="814">
        <v>1.9126000000000001E-2</v>
      </c>
      <c r="AG121" s="802"/>
    </row>
    <row r="122" spans="1:33" ht="15" customHeight="1" thickBot="1">
      <c r="B122" s="802"/>
      <c r="C122" s="802"/>
      <c r="D122" s="802"/>
      <c r="E122" s="802"/>
      <c r="F122" s="802"/>
      <c r="G122" s="802"/>
      <c r="H122" s="802"/>
      <c r="I122" s="802"/>
      <c r="J122" s="802"/>
      <c r="K122" s="802"/>
      <c r="L122" s="802"/>
      <c r="M122" s="802"/>
      <c r="N122" s="802"/>
      <c r="O122" s="802"/>
      <c r="P122" s="802"/>
      <c r="Q122" s="802"/>
      <c r="R122" s="802"/>
      <c r="S122" s="802"/>
      <c r="T122" s="802"/>
      <c r="U122" s="802"/>
      <c r="V122" s="802"/>
      <c r="W122" s="802"/>
      <c r="X122" s="802"/>
      <c r="Y122" s="802"/>
      <c r="Z122" s="802"/>
      <c r="AA122" s="802"/>
      <c r="AB122" s="802"/>
      <c r="AC122" s="802"/>
      <c r="AD122" s="802"/>
      <c r="AE122" s="802"/>
      <c r="AF122" s="802"/>
      <c r="AG122" s="802"/>
    </row>
    <row r="123" spans="1:33" ht="15" customHeight="1">
      <c r="B123" s="818" t="s">
        <v>4417</v>
      </c>
      <c r="C123" s="817"/>
      <c r="D123" s="817"/>
      <c r="E123" s="817"/>
      <c r="F123" s="817"/>
      <c r="G123" s="817"/>
      <c r="H123" s="817"/>
      <c r="I123" s="817"/>
      <c r="J123" s="817"/>
      <c r="K123" s="817"/>
      <c r="L123" s="817"/>
      <c r="M123" s="817"/>
      <c r="N123" s="817"/>
      <c r="O123" s="817"/>
      <c r="P123" s="817"/>
      <c r="Q123" s="817"/>
      <c r="R123" s="817"/>
      <c r="S123" s="817"/>
      <c r="T123" s="817"/>
      <c r="U123" s="817"/>
      <c r="V123" s="817"/>
      <c r="W123" s="817"/>
      <c r="X123" s="817"/>
      <c r="Y123" s="817"/>
      <c r="Z123" s="817"/>
      <c r="AA123" s="817"/>
      <c r="AB123" s="817"/>
      <c r="AC123" s="817"/>
      <c r="AD123" s="817"/>
      <c r="AE123" s="817"/>
      <c r="AF123" s="817"/>
      <c r="AG123" s="819"/>
    </row>
    <row r="124" spans="1:33" ht="15" customHeight="1">
      <c r="B124" s="802" t="s">
        <v>4567</v>
      </c>
      <c r="C124" s="802"/>
      <c r="D124" s="802"/>
      <c r="E124" s="802"/>
      <c r="F124" s="802"/>
      <c r="G124" s="802"/>
      <c r="H124" s="802"/>
      <c r="I124" s="802"/>
      <c r="J124" s="802"/>
      <c r="K124" s="802"/>
      <c r="L124" s="802"/>
      <c r="M124" s="802"/>
      <c r="N124" s="802"/>
      <c r="O124" s="802"/>
      <c r="P124" s="802"/>
      <c r="Q124" s="802"/>
      <c r="R124" s="802"/>
      <c r="S124" s="802"/>
      <c r="T124" s="802"/>
      <c r="U124" s="802"/>
      <c r="V124" s="802"/>
      <c r="W124" s="802"/>
      <c r="X124" s="802"/>
      <c r="Y124" s="802"/>
      <c r="Z124" s="802"/>
      <c r="AA124" s="802"/>
      <c r="AB124" s="802"/>
      <c r="AC124" s="802"/>
      <c r="AD124" s="802"/>
      <c r="AE124" s="802"/>
      <c r="AF124" s="802"/>
      <c r="AG124" s="802"/>
    </row>
    <row r="125" spans="1:33" ht="15" customHeight="1">
      <c r="B125" s="802" t="s">
        <v>4420</v>
      </c>
      <c r="C125" s="802"/>
      <c r="D125" s="802"/>
      <c r="E125" s="802"/>
      <c r="F125" s="802"/>
      <c r="G125" s="802"/>
      <c r="H125" s="802"/>
      <c r="I125" s="802"/>
      <c r="J125" s="802"/>
      <c r="K125" s="802"/>
      <c r="L125" s="802"/>
      <c r="M125" s="802"/>
      <c r="N125" s="802"/>
      <c r="O125" s="802"/>
      <c r="P125" s="802"/>
      <c r="Q125" s="802"/>
      <c r="R125" s="802"/>
      <c r="S125" s="802"/>
      <c r="T125" s="802"/>
      <c r="U125" s="802"/>
      <c r="V125" s="802"/>
      <c r="W125" s="802"/>
      <c r="X125" s="802"/>
      <c r="Y125" s="802"/>
      <c r="Z125" s="802"/>
      <c r="AA125" s="802"/>
      <c r="AB125" s="802"/>
      <c r="AC125" s="802"/>
      <c r="AD125" s="802"/>
      <c r="AE125" s="802"/>
      <c r="AF125" s="802"/>
      <c r="AG125" s="802"/>
    </row>
    <row r="126" spans="1:33" ht="15" customHeight="1">
      <c r="B126" s="802" t="s">
        <v>4568</v>
      </c>
      <c r="C126" s="802"/>
      <c r="D126" s="802"/>
      <c r="E126" s="802"/>
      <c r="F126" s="802"/>
      <c r="G126" s="802"/>
      <c r="H126" s="802"/>
      <c r="I126" s="802"/>
      <c r="J126" s="802"/>
      <c r="K126" s="802"/>
      <c r="L126" s="802"/>
      <c r="M126" s="802"/>
      <c r="N126" s="802"/>
      <c r="O126" s="802"/>
      <c r="P126" s="802"/>
      <c r="Q126" s="802"/>
      <c r="R126" s="802"/>
      <c r="S126" s="802"/>
      <c r="T126" s="802"/>
      <c r="U126" s="802"/>
      <c r="V126" s="802"/>
      <c r="W126" s="802"/>
      <c r="X126" s="802"/>
      <c r="Y126" s="802"/>
      <c r="Z126" s="802"/>
      <c r="AA126" s="802"/>
      <c r="AB126" s="802"/>
      <c r="AC126" s="802"/>
      <c r="AD126" s="802"/>
      <c r="AE126" s="802"/>
      <c r="AF126" s="802"/>
      <c r="AG126" s="802"/>
    </row>
    <row r="127" spans="1:33" ht="15" customHeight="1">
      <c r="B127" s="802" t="s">
        <v>4569</v>
      </c>
      <c r="C127" s="802"/>
      <c r="D127" s="802"/>
      <c r="E127" s="802"/>
      <c r="F127" s="802"/>
      <c r="G127" s="802"/>
      <c r="H127" s="802"/>
      <c r="I127" s="802"/>
      <c r="J127" s="802"/>
      <c r="K127" s="802"/>
      <c r="L127" s="802"/>
      <c r="M127" s="802"/>
      <c r="N127" s="802"/>
      <c r="O127" s="802"/>
      <c r="P127" s="802"/>
      <c r="Q127" s="802"/>
      <c r="R127" s="802"/>
      <c r="S127" s="802"/>
      <c r="T127" s="802"/>
      <c r="U127" s="802"/>
      <c r="V127" s="802"/>
      <c r="W127" s="802"/>
      <c r="X127" s="802"/>
      <c r="Y127" s="802"/>
      <c r="Z127" s="802"/>
      <c r="AA127" s="802"/>
      <c r="AB127" s="802"/>
      <c r="AC127" s="802"/>
      <c r="AD127" s="802"/>
      <c r="AE127" s="802"/>
      <c r="AF127" s="802"/>
      <c r="AG127" s="802"/>
    </row>
    <row r="128" spans="1:33" ht="15" customHeight="1">
      <c r="B128" s="802" t="s">
        <v>4570</v>
      </c>
      <c r="C128" s="802"/>
      <c r="D128" s="802"/>
      <c r="E128" s="802"/>
      <c r="F128" s="802"/>
      <c r="G128" s="802"/>
      <c r="H128" s="802"/>
      <c r="I128" s="802"/>
      <c r="J128" s="802"/>
      <c r="K128" s="802"/>
      <c r="L128" s="802"/>
      <c r="M128" s="802"/>
      <c r="N128" s="802"/>
      <c r="O128" s="802"/>
      <c r="P128" s="802"/>
      <c r="Q128" s="802"/>
      <c r="R128" s="802"/>
      <c r="S128" s="802"/>
      <c r="T128" s="802"/>
      <c r="U128" s="802"/>
      <c r="V128" s="802"/>
      <c r="W128" s="802"/>
      <c r="X128" s="802"/>
      <c r="Y128" s="802"/>
      <c r="Z128" s="802"/>
      <c r="AA128" s="802"/>
      <c r="AB128" s="802"/>
      <c r="AC128" s="802"/>
      <c r="AD128" s="802"/>
      <c r="AE128" s="802"/>
      <c r="AF128" s="802"/>
      <c r="AG128" s="802"/>
    </row>
    <row r="129" spans="2:33" ht="15" customHeight="1">
      <c r="B129" s="802" t="s">
        <v>4363</v>
      </c>
      <c r="C129" s="802"/>
      <c r="D129" s="802"/>
      <c r="E129" s="802"/>
      <c r="F129" s="802"/>
      <c r="G129" s="802"/>
      <c r="H129" s="802"/>
      <c r="I129" s="802"/>
      <c r="J129" s="802"/>
      <c r="K129" s="802"/>
      <c r="L129" s="802"/>
      <c r="M129" s="802"/>
      <c r="N129" s="802"/>
      <c r="O129" s="802"/>
      <c r="P129" s="802"/>
      <c r="Q129" s="802"/>
      <c r="R129" s="802"/>
      <c r="S129" s="802"/>
      <c r="T129" s="802"/>
      <c r="U129" s="802"/>
      <c r="V129" s="802"/>
      <c r="W129" s="802"/>
      <c r="X129" s="802"/>
      <c r="Y129" s="802"/>
      <c r="Z129" s="802"/>
      <c r="AA129" s="802"/>
      <c r="AB129" s="802"/>
      <c r="AC129" s="802"/>
      <c r="AD129" s="802"/>
      <c r="AE129" s="802"/>
      <c r="AF129" s="802"/>
      <c r="AG129" s="802"/>
    </row>
    <row r="130" spans="2:33" ht="15" customHeight="1">
      <c r="B130" s="802" t="s">
        <v>4364</v>
      </c>
      <c r="C130" s="802"/>
      <c r="D130" s="802"/>
      <c r="E130" s="802"/>
      <c r="F130" s="802"/>
      <c r="G130" s="802"/>
      <c r="H130" s="802"/>
      <c r="I130" s="802"/>
      <c r="J130" s="802"/>
      <c r="K130" s="802"/>
      <c r="L130" s="802"/>
      <c r="M130" s="802"/>
      <c r="N130" s="802"/>
      <c r="O130" s="802"/>
      <c r="P130" s="802"/>
      <c r="Q130" s="802"/>
      <c r="R130" s="802"/>
      <c r="S130" s="802"/>
      <c r="T130" s="802"/>
      <c r="U130" s="802"/>
      <c r="V130" s="802"/>
      <c r="W130" s="802"/>
      <c r="X130" s="802"/>
      <c r="Y130" s="802"/>
      <c r="Z130" s="802"/>
      <c r="AA130" s="802"/>
      <c r="AB130" s="802"/>
      <c r="AC130" s="802"/>
      <c r="AD130" s="802"/>
      <c r="AE130" s="802"/>
      <c r="AF130" s="802"/>
      <c r="AG130" s="802"/>
    </row>
    <row r="131" spans="2:33" ht="15" customHeight="1">
      <c r="B131" s="802" t="s">
        <v>4365</v>
      </c>
      <c r="C131" s="802"/>
      <c r="D131" s="802"/>
      <c r="E131" s="802"/>
      <c r="F131" s="802"/>
      <c r="G131" s="802"/>
      <c r="H131" s="802"/>
      <c r="I131" s="802"/>
      <c r="J131" s="802"/>
      <c r="K131" s="802"/>
      <c r="L131" s="802"/>
      <c r="M131" s="802"/>
      <c r="N131" s="802"/>
      <c r="O131" s="802"/>
      <c r="P131" s="802"/>
      <c r="Q131" s="802"/>
      <c r="R131" s="802"/>
      <c r="S131" s="802"/>
      <c r="T131" s="802"/>
      <c r="U131" s="802"/>
      <c r="V131" s="802"/>
      <c r="W131" s="802"/>
      <c r="X131" s="802"/>
      <c r="Y131" s="802"/>
      <c r="Z131" s="802"/>
      <c r="AA131" s="802"/>
      <c r="AB131" s="802"/>
      <c r="AC131" s="802"/>
      <c r="AD131" s="802"/>
      <c r="AE131" s="802"/>
      <c r="AF131" s="802"/>
      <c r="AG131" s="802"/>
    </row>
    <row r="132" spans="2:33" ht="15" customHeight="1">
      <c r="B132" s="802" t="s">
        <v>4366</v>
      </c>
      <c r="C132" s="802"/>
      <c r="D132" s="802"/>
      <c r="E132" s="802"/>
      <c r="F132" s="802"/>
      <c r="G132" s="802"/>
      <c r="H132" s="802"/>
      <c r="I132" s="802"/>
      <c r="J132" s="802"/>
      <c r="K132" s="802"/>
      <c r="L132" s="802"/>
      <c r="M132" s="802"/>
      <c r="N132" s="802"/>
      <c r="O132" s="802"/>
      <c r="P132" s="802"/>
      <c r="Q132" s="802"/>
      <c r="R132" s="802"/>
      <c r="S132" s="802"/>
      <c r="T132" s="802"/>
      <c r="U132" s="802"/>
      <c r="V132" s="802"/>
      <c r="W132" s="802"/>
      <c r="X132" s="802"/>
      <c r="Y132" s="802"/>
      <c r="Z132" s="802"/>
      <c r="AA132" s="802"/>
      <c r="AB132" s="802"/>
      <c r="AC132" s="802"/>
      <c r="AD132" s="802"/>
      <c r="AE132" s="802"/>
      <c r="AF132" s="802"/>
      <c r="AG132" s="802"/>
    </row>
    <row r="133" spans="2:33" ht="15" customHeight="1">
      <c r="B133" s="802" t="s">
        <v>4424</v>
      </c>
      <c r="C133" s="802"/>
      <c r="D133" s="802"/>
      <c r="E133" s="802"/>
      <c r="F133" s="802"/>
      <c r="G133" s="802"/>
      <c r="H133" s="802"/>
      <c r="I133" s="802"/>
      <c r="J133" s="802"/>
      <c r="K133" s="802"/>
      <c r="L133" s="802"/>
      <c r="M133" s="802"/>
      <c r="N133" s="802"/>
      <c r="O133" s="802"/>
      <c r="P133" s="802"/>
      <c r="Q133" s="802"/>
      <c r="R133" s="802"/>
      <c r="S133" s="802"/>
      <c r="T133" s="802"/>
      <c r="U133" s="802"/>
      <c r="V133" s="802"/>
      <c r="W133" s="802"/>
      <c r="X133" s="802"/>
      <c r="Y133" s="802"/>
      <c r="Z133" s="802"/>
      <c r="AA133" s="802"/>
      <c r="AB133" s="802"/>
      <c r="AC133" s="802"/>
      <c r="AD133" s="802"/>
      <c r="AE133" s="802"/>
      <c r="AF133" s="802"/>
      <c r="AG133" s="802"/>
    </row>
    <row r="134" spans="2:33" ht="15" customHeight="1">
      <c r="B134" s="802" t="s">
        <v>4425</v>
      </c>
      <c r="C134" s="802"/>
      <c r="D134" s="802"/>
      <c r="E134" s="802"/>
      <c r="F134" s="802"/>
      <c r="G134" s="802"/>
      <c r="H134" s="802"/>
      <c r="I134" s="802"/>
      <c r="J134" s="802"/>
      <c r="K134" s="802"/>
      <c r="L134" s="802"/>
      <c r="M134" s="802"/>
      <c r="N134" s="802"/>
      <c r="O134" s="802"/>
      <c r="P134" s="802"/>
      <c r="Q134" s="802"/>
      <c r="R134" s="802"/>
      <c r="S134" s="802"/>
      <c r="T134" s="802"/>
      <c r="U134" s="802"/>
      <c r="V134" s="802"/>
      <c r="W134" s="802"/>
      <c r="X134" s="802"/>
      <c r="Y134" s="802"/>
      <c r="Z134" s="802"/>
      <c r="AA134" s="802"/>
      <c r="AB134" s="802"/>
      <c r="AC134" s="802"/>
      <c r="AD134" s="802"/>
      <c r="AE134" s="802"/>
      <c r="AF134" s="802"/>
      <c r="AG134" s="802"/>
    </row>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93" ht="12" customHeight="1"/>
    <row r="205" ht="12" customHeight="1"/>
    <row r="219" ht="12" customHeight="1"/>
    <row r="220" ht="12" customHeight="1"/>
    <row r="225" ht="12" customHeight="1"/>
    <row r="231" ht="12" customHeight="1"/>
    <row r="237" ht="12" customHeight="1"/>
    <row r="238" ht="12" customHeight="1"/>
    <row r="240" ht="12" customHeight="1"/>
    <row r="270" ht="12" customHeight="1"/>
    <row r="271" ht="12" customHeight="1"/>
    <row r="272" ht="12" customHeight="1"/>
    <row r="273" ht="12" customHeight="1"/>
    <row r="274" ht="12" customHeight="1"/>
    <row r="275" ht="12" customHeight="1"/>
    <row r="294" ht="12" customHeight="1"/>
    <row r="305" ht="12" customHeight="1"/>
    <row r="319" ht="12" customHeight="1"/>
    <row r="320" ht="12" customHeight="1"/>
    <row r="321" ht="12" customHeight="1"/>
    <row r="322" ht="12" customHeight="1"/>
    <row r="327" ht="12" customHeight="1"/>
    <row r="333" ht="12" customHeight="1"/>
    <row r="339" ht="12" customHeight="1"/>
    <row r="340" ht="12" customHeight="1"/>
    <row r="341" ht="12" customHeight="1"/>
    <row r="34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7" ht="12" customHeight="1"/>
    <row r="409" ht="12" customHeight="1"/>
    <row r="411" ht="12" customHeight="1"/>
    <row r="416" ht="12" customHeight="1"/>
    <row r="450" ht="12" customHeight="1"/>
    <row r="452"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7" ht="12" customHeight="1"/>
    <row r="559" ht="12" customHeight="1"/>
    <row r="561" ht="12" customHeight="1"/>
    <row r="566" ht="12" customHeight="1"/>
    <row r="600" ht="12" customHeight="1"/>
    <row r="602"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7" ht="12" customHeight="1"/>
    <row r="709" ht="12" customHeight="1"/>
    <row r="711" ht="12" customHeight="1"/>
    <row r="716" ht="12" customHeight="1"/>
    <row r="750" ht="12" customHeight="1"/>
    <row r="752"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7" ht="12" customHeight="1"/>
    <row r="859" ht="12" customHeight="1"/>
    <row r="861" ht="12" customHeight="1"/>
    <row r="866" ht="12" customHeight="1"/>
    <row r="900" ht="12" customHeight="1"/>
    <row r="902"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7" ht="12" customHeight="1"/>
    <row r="1009" ht="12" customHeight="1"/>
    <row r="1011" ht="12" customHeight="1"/>
    <row r="1016" ht="12" customHeight="1"/>
    <row r="1050" ht="12" customHeight="1"/>
    <row r="1052"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7" ht="12" customHeight="1"/>
    <row r="1159" ht="12" customHeight="1"/>
    <row r="1161" ht="12" customHeight="1"/>
    <row r="1166" ht="12" customHeight="1"/>
    <row r="1200" ht="12" customHeight="1"/>
    <row r="1202"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7" ht="12" customHeight="1"/>
    <row r="1309" ht="12" customHeight="1"/>
    <row r="1311" ht="12" customHeight="1"/>
    <row r="1316" ht="12" customHeight="1"/>
    <row r="1350" ht="12" customHeight="1"/>
    <row r="1352"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7" ht="12" customHeight="1"/>
    <row r="1459" ht="12" customHeight="1"/>
    <row r="1461" ht="12" customHeight="1"/>
    <row r="1466" ht="12" customHeight="1"/>
    <row r="1500" ht="12" customHeight="1"/>
    <row r="1502"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7" ht="12" customHeight="1"/>
    <row r="1609" ht="12" customHeight="1"/>
    <row r="1611" ht="12" customHeight="1"/>
    <row r="1616" ht="12" customHeight="1"/>
    <row r="1650" ht="12" customHeight="1"/>
    <row r="1652" ht="12" customHeight="1"/>
  </sheetData>
  <pageMargins left="0.75" right="0.75" top="1" bottom="1" header="0.5" footer="0.5"/>
  <pageSetup orientation="portrait"/>
  <headerFooter>
    <oddFooter>&amp;R_x000D_&amp;1#&amp;"Aptos"&amp;10&amp;K000000 Official Use Only</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D9B99-61A7-4D38-AAC3-DAE9706209ED}">
  <dimension ref="A1:AH2828"/>
  <sheetViews>
    <sheetView workbookViewId="0">
      <pane xSplit="2" ySplit="1" topLeftCell="C12" activePane="bottomRight" state="frozen"/>
      <selection pane="bottomRight" activeCell="C69" sqref="C69"/>
      <selection pane="bottomLeft" activeCell="C34" sqref="C34"/>
      <selection pane="topRight" activeCell="C34" sqref="C34"/>
    </sheetView>
  </sheetViews>
  <sheetFormatPr defaultColWidth="9.28515625" defaultRowHeight="15" customHeight="1"/>
  <cols>
    <col min="1" max="1" width="20.7109375" style="795" hidden="1" customWidth="1"/>
    <col min="2" max="2" width="45.7109375" style="795" customWidth="1"/>
    <col min="3" max="16384" width="9.28515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row r="10" spans="1:33" ht="15" customHeight="1">
      <c r="A10" s="800" t="s">
        <v>4814</v>
      </c>
      <c r="B10" s="801" t="s">
        <v>4815</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4237</v>
      </c>
      <c r="AG10" s="802"/>
    </row>
    <row r="11" spans="1:33" ht="15" customHeight="1">
      <c r="B11" s="804"/>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4238</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4239</v>
      </c>
      <c r="AG12" s="802"/>
    </row>
    <row r="13" spans="1:33" ht="15" customHeight="1" thickBot="1">
      <c r="B13" s="806" t="s">
        <v>4240</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v>2050</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B15" s="808" t="s">
        <v>4708</v>
      </c>
      <c r="C15" s="802"/>
      <c r="D15" s="802"/>
      <c r="E15" s="802"/>
      <c r="F15" s="802"/>
      <c r="G15" s="802"/>
      <c r="H15" s="802"/>
      <c r="I15" s="802"/>
      <c r="J15" s="802"/>
      <c r="K15" s="802"/>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ht="15" customHeight="1">
      <c r="B16" s="808" t="s">
        <v>4816</v>
      </c>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A17" s="800" t="s">
        <v>4817</v>
      </c>
      <c r="B17" s="812" t="s">
        <v>4711</v>
      </c>
      <c r="C17" s="813">
        <v>0.71739200000000003</v>
      </c>
      <c r="D17" s="813">
        <v>0.61125200000000002</v>
      </c>
      <c r="E17" s="813">
        <v>2.0337879999999999</v>
      </c>
      <c r="F17" s="813">
        <v>2.2449409999999999</v>
      </c>
      <c r="G17" s="813">
        <v>2.4198390000000001</v>
      </c>
      <c r="H17" s="813">
        <v>2.6089549999999999</v>
      </c>
      <c r="I17" s="813">
        <v>2.748713</v>
      </c>
      <c r="J17" s="813">
        <v>2.81115</v>
      </c>
      <c r="K17" s="813">
        <v>2.7937959999999999</v>
      </c>
      <c r="L17" s="813">
        <v>2.8062019999999999</v>
      </c>
      <c r="M17" s="813">
        <v>2.8158729999999998</v>
      </c>
      <c r="N17" s="813">
        <v>2.7931759999999999</v>
      </c>
      <c r="O17" s="813">
        <v>2.7545009999999999</v>
      </c>
      <c r="P17" s="813">
        <v>2.7034379999999998</v>
      </c>
      <c r="Q17" s="813">
        <v>2.6174019999999998</v>
      </c>
      <c r="R17" s="813">
        <v>2.6239340000000002</v>
      </c>
      <c r="S17" s="813">
        <v>2.6176469999999998</v>
      </c>
      <c r="T17" s="813">
        <v>2.6414970000000002</v>
      </c>
      <c r="U17" s="813">
        <v>2.666677</v>
      </c>
      <c r="V17" s="813">
        <v>2.7185220000000001</v>
      </c>
      <c r="W17" s="813">
        <v>2.7637779999999998</v>
      </c>
      <c r="X17" s="813">
        <v>2.7645970000000002</v>
      </c>
      <c r="Y17" s="813">
        <v>2.7788170000000001</v>
      </c>
      <c r="Z17" s="813">
        <v>2.8075809999999999</v>
      </c>
      <c r="AA17" s="813">
        <v>2.8630749999999998</v>
      </c>
      <c r="AB17" s="813">
        <v>2.9197009999999999</v>
      </c>
      <c r="AC17" s="813">
        <v>2.9583740000000001</v>
      </c>
      <c r="AD17" s="813">
        <v>2.9910939999999999</v>
      </c>
      <c r="AE17" s="813">
        <v>3.0402450000000001</v>
      </c>
      <c r="AF17" s="814">
        <v>5.2927000000000002E-2</v>
      </c>
      <c r="AG17" s="802"/>
    </row>
    <row r="18" spans="1:33" ht="15" customHeight="1">
      <c r="A18" s="800" t="s">
        <v>4818</v>
      </c>
      <c r="B18" s="812" t="s">
        <v>4713</v>
      </c>
      <c r="C18" s="813">
        <v>6.4894259999999999</v>
      </c>
      <c r="D18" s="813">
        <v>5.4956149999999999</v>
      </c>
      <c r="E18" s="813">
        <v>5.0970529999999998</v>
      </c>
      <c r="F18" s="813">
        <v>5.4580140000000004</v>
      </c>
      <c r="G18" s="813">
        <v>5.7528920000000001</v>
      </c>
      <c r="H18" s="813">
        <v>6.1721050000000002</v>
      </c>
      <c r="I18" s="813">
        <v>6.5954240000000004</v>
      </c>
      <c r="J18" s="813">
        <v>6.7037820000000004</v>
      </c>
      <c r="K18" s="813">
        <v>6.7006220000000001</v>
      </c>
      <c r="L18" s="813">
        <v>6.7377039999999999</v>
      </c>
      <c r="M18" s="813">
        <v>6.8098429999999999</v>
      </c>
      <c r="N18" s="813">
        <v>6.8249199999999997</v>
      </c>
      <c r="O18" s="813">
        <v>6.8101760000000002</v>
      </c>
      <c r="P18" s="813">
        <v>6.7181189999999997</v>
      </c>
      <c r="Q18" s="813">
        <v>6.5408549999999996</v>
      </c>
      <c r="R18" s="813">
        <v>6.5681839999999996</v>
      </c>
      <c r="S18" s="813">
        <v>6.5918720000000004</v>
      </c>
      <c r="T18" s="813">
        <v>6.6307530000000003</v>
      </c>
      <c r="U18" s="813">
        <v>6.7233289999999997</v>
      </c>
      <c r="V18" s="813">
        <v>6.8503869999999996</v>
      </c>
      <c r="W18" s="813">
        <v>6.9638010000000001</v>
      </c>
      <c r="X18" s="813">
        <v>6.9398520000000001</v>
      </c>
      <c r="Y18" s="813">
        <v>6.9590459999999998</v>
      </c>
      <c r="Z18" s="813">
        <v>7.0047160000000002</v>
      </c>
      <c r="AA18" s="813">
        <v>7.0773289999999998</v>
      </c>
      <c r="AB18" s="813">
        <v>7.1908440000000002</v>
      </c>
      <c r="AC18" s="813">
        <v>7.2728409999999997</v>
      </c>
      <c r="AD18" s="813">
        <v>7.3159929999999997</v>
      </c>
      <c r="AE18" s="813">
        <v>7.4085390000000002</v>
      </c>
      <c r="AF18" s="814">
        <v>4.7419999999999997E-3</v>
      </c>
      <c r="AG18" s="802"/>
    </row>
    <row r="19" spans="1:33" ht="15" customHeight="1">
      <c r="A19" s="800" t="s">
        <v>4819</v>
      </c>
      <c r="B19" s="812" t="s">
        <v>4715</v>
      </c>
      <c r="C19" s="813">
        <v>0</v>
      </c>
      <c r="D19" s="813">
        <v>0</v>
      </c>
      <c r="E19" s="813">
        <v>0</v>
      </c>
      <c r="F19" s="813">
        <v>0</v>
      </c>
      <c r="G19" s="813">
        <v>0</v>
      </c>
      <c r="H19" s="813">
        <v>0</v>
      </c>
      <c r="I19" s="813">
        <v>0</v>
      </c>
      <c r="J19" s="813">
        <v>0</v>
      </c>
      <c r="K19" s="813">
        <v>0</v>
      </c>
      <c r="L19" s="813">
        <v>0</v>
      </c>
      <c r="M19" s="813">
        <v>0</v>
      </c>
      <c r="N19" s="813">
        <v>0</v>
      </c>
      <c r="O19" s="813">
        <v>0</v>
      </c>
      <c r="P19" s="813">
        <v>0</v>
      </c>
      <c r="Q19" s="813">
        <v>0</v>
      </c>
      <c r="R19" s="813">
        <v>0</v>
      </c>
      <c r="S19" s="813">
        <v>0</v>
      </c>
      <c r="T19" s="813">
        <v>0</v>
      </c>
      <c r="U19" s="813">
        <v>0</v>
      </c>
      <c r="V19" s="813">
        <v>0</v>
      </c>
      <c r="W19" s="813">
        <v>0</v>
      </c>
      <c r="X19" s="813">
        <v>0</v>
      </c>
      <c r="Y19" s="813">
        <v>0</v>
      </c>
      <c r="Z19" s="813">
        <v>0</v>
      </c>
      <c r="AA19" s="813">
        <v>0</v>
      </c>
      <c r="AB19" s="813">
        <v>0</v>
      </c>
      <c r="AC19" s="813">
        <v>0</v>
      </c>
      <c r="AD19" s="813">
        <v>0</v>
      </c>
      <c r="AE19" s="813">
        <v>0</v>
      </c>
      <c r="AF19" s="814" t="s">
        <v>2805</v>
      </c>
      <c r="AG19" s="802"/>
    </row>
    <row r="20" spans="1:33" ht="15" customHeight="1">
      <c r="A20" s="800" t="s">
        <v>4820</v>
      </c>
      <c r="B20" s="812" t="s">
        <v>4719</v>
      </c>
      <c r="C20" s="813">
        <v>7.2068180000000002</v>
      </c>
      <c r="D20" s="813">
        <v>6.1068670000000003</v>
      </c>
      <c r="E20" s="813">
        <v>7.1308400000000001</v>
      </c>
      <c r="F20" s="813">
        <v>7.7029550000000002</v>
      </c>
      <c r="G20" s="813">
        <v>8.1727310000000006</v>
      </c>
      <c r="H20" s="813">
        <v>8.7810590000000008</v>
      </c>
      <c r="I20" s="813">
        <v>9.3441369999999999</v>
      </c>
      <c r="J20" s="813">
        <v>9.5149329999999992</v>
      </c>
      <c r="K20" s="813">
        <v>9.4944170000000003</v>
      </c>
      <c r="L20" s="813">
        <v>9.5439059999999998</v>
      </c>
      <c r="M20" s="813">
        <v>9.6257160000000006</v>
      </c>
      <c r="N20" s="813">
        <v>9.6180950000000003</v>
      </c>
      <c r="O20" s="813">
        <v>9.5646769999999997</v>
      </c>
      <c r="P20" s="813">
        <v>9.4215560000000007</v>
      </c>
      <c r="Q20" s="813">
        <v>9.1582570000000008</v>
      </c>
      <c r="R20" s="813">
        <v>9.1921180000000007</v>
      </c>
      <c r="S20" s="813">
        <v>9.2095190000000002</v>
      </c>
      <c r="T20" s="813">
        <v>9.2722499999999997</v>
      </c>
      <c r="U20" s="813">
        <v>9.3900059999999996</v>
      </c>
      <c r="V20" s="813">
        <v>9.5689089999999997</v>
      </c>
      <c r="W20" s="813">
        <v>9.7275790000000004</v>
      </c>
      <c r="X20" s="813">
        <v>9.7044490000000003</v>
      </c>
      <c r="Y20" s="813">
        <v>9.7378640000000001</v>
      </c>
      <c r="Z20" s="813">
        <v>9.8122969999999992</v>
      </c>
      <c r="AA20" s="813">
        <v>9.9404050000000002</v>
      </c>
      <c r="AB20" s="813">
        <v>10.110545</v>
      </c>
      <c r="AC20" s="813">
        <v>10.231215000000001</v>
      </c>
      <c r="AD20" s="813">
        <v>10.307086999999999</v>
      </c>
      <c r="AE20" s="813">
        <v>10.448784</v>
      </c>
      <c r="AF20" s="814">
        <v>1.3355000000000001E-2</v>
      </c>
      <c r="AG20" s="802"/>
    </row>
    <row r="21" spans="1:33" ht="15" customHeight="1">
      <c r="A21" s="800" t="s">
        <v>4821</v>
      </c>
      <c r="B21" s="812" t="s">
        <v>4721</v>
      </c>
      <c r="C21" s="813">
        <v>55.928046999999999</v>
      </c>
      <c r="D21" s="813">
        <v>49.813231999999999</v>
      </c>
      <c r="E21" s="813">
        <v>48.29504</v>
      </c>
      <c r="F21" s="813">
        <v>48.966999000000001</v>
      </c>
      <c r="G21" s="813">
        <v>48.765796999999999</v>
      </c>
      <c r="H21" s="813">
        <v>48.875369999999997</v>
      </c>
      <c r="I21" s="813">
        <v>49.366554000000001</v>
      </c>
      <c r="J21" s="813">
        <v>49.702942</v>
      </c>
      <c r="K21" s="813">
        <v>49.514125999999997</v>
      </c>
      <c r="L21" s="813">
        <v>49.285397000000003</v>
      </c>
      <c r="M21" s="813">
        <v>49.338740999999999</v>
      </c>
      <c r="N21" s="813">
        <v>49.353805999999999</v>
      </c>
      <c r="O21" s="813">
        <v>49.407082000000003</v>
      </c>
      <c r="P21" s="813">
        <v>49.204056000000001</v>
      </c>
      <c r="Q21" s="813">
        <v>48.625976999999999</v>
      </c>
      <c r="R21" s="813">
        <v>48.567191999999999</v>
      </c>
      <c r="S21" s="813">
        <v>48.382441999999998</v>
      </c>
      <c r="T21" s="813">
        <v>48.388618000000001</v>
      </c>
      <c r="U21" s="813">
        <v>48.431744000000002</v>
      </c>
      <c r="V21" s="813">
        <v>48.657012999999999</v>
      </c>
      <c r="W21" s="813">
        <v>48.819077</v>
      </c>
      <c r="X21" s="813">
        <v>48.767937000000003</v>
      </c>
      <c r="Y21" s="813">
        <v>48.609940000000002</v>
      </c>
      <c r="Z21" s="813">
        <v>48.299511000000003</v>
      </c>
      <c r="AA21" s="813">
        <v>47.940581999999999</v>
      </c>
      <c r="AB21" s="813">
        <v>47.937744000000002</v>
      </c>
      <c r="AC21" s="813">
        <v>47.806690000000003</v>
      </c>
      <c r="AD21" s="813">
        <v>47.730395999999999</v>
      </c>
      <c r="AE21" s="813">
        <v>47.999580000000002</v>
      </c>
      <c r="AF21" s="814">
        <v>-5.4450000000000002E-3</v>
      </c>
      <c r="AG21" s="802"/>
    </row>
    <row r="22" spans="1:33" ht="15" customHeight="1">
      <c r="A22" s="800" t="s">
        <v>4822</v>
      </c>
      <c r="B22" s="812" t="s">
        <v>4725</v>
      </c>
      <c r="C22" s="813">
        <v>0</v>
      </c>
      <c r="D22" s="813">
        <v>0</v>
      </c>
      <c r="E22" s="813">
        <v>0</v>
      </c>
      <c r="F22" s="813">
        <v>0</v>
      </c>
      <c r="G22" s="813">
        <v>0</v>
      </c>
      <c r="H22" s="813">
        <v>0</v>
      </c>
      <c r="I22" s="813">
        <v>0</v>
      </c>
      <c r="J22" s="813">
        <v>0</v>
      </c>
      <c r="K22" s="813">
        <v>0</v>
      </c>
      <c r="L22" s="813">
        <v>0</v>
      </c>
      <c r="M22" s="813">
        <v>0</v>
      </c>
      <c r="N22" s="813">
        <v>0</v>
      </c>
      <c r="O22" s="813">
        <v>0</v>
      </c>
      <c r="P22" s="813">
        <v>0</v>
      </c>
      <c r="Q22" s="813">
        <v>0</v>
      </c>
      <c r="R22" s="813">
        <v>0</v>
      </c>
      <c r="S22" s="813">
        <v>0</v>
      </c>
      <c r="T22" s="813">
        <v>0</v>
      </c>
      <c r="U22" s="813">
        <v>0</v>
      </c>
      <c r="V22" s="813">
        <v>0</v>
      </c>
      <c r="W22" s="813">
        <v>0</v>
      </c>
      <c r="X22" s="813">
        <v>0</v>
      </c>
      <c r="Y22" s="813">
        <v>0</v>
      </c>
      <c r="Z22" s="813">
        <v>0</v>
      </c>
      <c r="AA22" s="813">
        <v>0</v>
      </c>
      <c r="AB22" s="813">
        <v>0</v>
      </c>
      <c r="AC22" s="813">
        <v>0</v>
      </c>
      <c r="AD22" s="813">
        <v>0</v>
      </c>
      <c r="AE22" s="813">
        <v>0</v>
      </c>
      <c r="AF22" s="814" t="s">
        <v>2805</v>
      </c>
      <c r="AG22" s="802"/>
    </row>
    <row r="23" spans="1:33" ht="15" customHeight="1">
      <c r="A23" s="800" t="s">
        <v>4823</v>
      </c>
      <c r="B23" s="812" t="s">
        <v>4723</v>
      </c>
      <c r="C23" s="813">
        <v>0</v>
      </c>
      <c r="D23" s="813">
        <v>0</v>
      </c>
      <c r="E23" s="813">
        <v>0</v>
      </c>
      <c r="F23" s="813">
        <v>0</v>
      </c>
      <c r="G23" s="813">
        <v>0</v>
      </c>
      <c r="H23" s="813">
        <v>0</v>
      </c>
      <c r="I23" s="813">
        <v>0</v>
      </c>
      <c r="J23" s="813">
        <v>0</v>
      </c>
      <c r="K23" s="813">
        <v>0</v>
      </c>
      <c r="L23" s="813">
        <v>0</v>
      </c>
      <c r="M23" s="813">
        <v>0</v>
      </c>
      <c r="N23" s="813">
        <v>0</v>
      </c>
      <c r="O23" s="813">
        <v>0</v>
      </c>
      <c r="P23" s="813">
        <v>0</v>
      </c>
      <c r="Q23" s="813">
        <v>0</v>
      </c>
      <c r="R23" s="813">
        <v>0</v>
      </c>
      <c r="S23" s="813">
        <v>0</v>
      </c>
      <c r="T23" s="813">
        <v>0</v>
      </c>
      <c r="U23" s="813">
        <v>0</v>
      </c>
      <c r="V23" s="813">
        <v>0</v>
      </c>
      <c r="W23" s="813">
        <v>0</v>
      </c>
      <c r="X23" s="813">
        <v>0</v>
      </c>
      <c r="Y23" s="813">
        <v>0</v>
      </c>
      <c r="Z23" s="813">
        <v>0</v>
      </c>
      <c r="AA23" s="813">
        <v>0</v>
      </c>
      <c r="AB23" s="813">
        <v>0</v>
      </c>
      <c r="AC23" s="813">
        <v>0</v>
      </c>
      <c r="AD23" s="813">
        <v>0</v>
      </c>
      <c r="AE23" s="813">
        <v>0</v>
      </c>
      <c r="AF23" s="814" t="s">
        <v>2805</v>
      </c>
      <c r="AG23" s="802"/>
    </row>
    <row r="24" spans="1:33" ht="15" customHeight="1">
      <c r="A24" s="800" t="s">
        <v>4824</v>
      </c>
      <c r="B24" s="812" t="s">
        <v>4727</v>
      </c>
      <c r="C24" s="813">
        <v>297.19873000000001</v>
      </c>
      <c r="D24" s="813">
        <v>296.38964800000002</v>
      </c>
      <c r="E24" s="813">
        <v>290.12023900000003</v>
      </c>
      <c r="F24" s="813">
        <v>297.07171599999998</v>
      </c>
      <c r="G24" s="813">
        <v>294.77410900000001</v>
      </c>
      <c r="H24" s="813">
        <v>294.779785</v>
      </c>
      <c r="I24" s="813">
        <v>299.90374800000001</v>
      </c>
      <c r="J24" s="813">
        <v>306.344696</v>
      </c>
      <c r="K24" s="813">
        <v>309.96893299999999</v>
      </c>
      <c r="L24" s="813">
        <v>312.56210299999998</v>
      </c>
      <c r="M24" s="813">
        <v>317.82153299999999</v>
      </c>
      <c r="N24" s="813">
        <v>323.843658</v>
      </c>
      <c r="O24" s="813">
        <v>330.796448</v>
      </c>
      <c r="P24" s="813">
        <v>335.25119000000001</v>
      </c>
      <c r="Q24" s="813">
        <v>335.51934799999998</v>
      </c>
      <c r="R24" s="813">
        <v>338.40957600000002</v>
      </c>
      <c r="S24" s="813">
        <v>340.97015399999998</v>
      </c>
      <c r="T24" s="813">
        <v>344.10040300000003</v>
      </c>
      <c r="U24" s="813">
        <v>348.13940400000001</v>
      </c>
      <c r="V24" s="813">
        <v>353.379974</v>
      </c>
      <c r="W24" s="813">
        <v>357.96816999999999</v>
      </c>
      <c r="X24" s="813">
        <v>361.47735599999999</v>
      </c>
      <c r="Y24" s="813">
        <v>363.15386999999998</v>
      </c>
      <c r="Z24" s="813">
        <v>362.45135499999998</v>
      </c>
      <c r="AA24" s="813">
        <v>362.48980699999998</v>
      </c>
      <c r="AB24" s="813">
        <v>364.37481700000001</v>
      </c>
      <c r="AC24" s="813">
        <v>365.06915300000003</v>
      </c>
      <c r="AD24" s="813">
        <v>366.80941799999999</v>
      </c>
      <c r="AE24" s="813">
        <v>372.106201</v>
      </c>
      <c r="AF24" s="814">
        <v>8.0599999999999995E-3</v>
      </c>
      <c r="AG24" s="802"/>
    </row>
    <row r="25" spans="1:33" ht="15" customHeight="1">
      <c r="A25" s="800" t="s">
        <v>4825</v>
      </c>
      <c r="B25" s="812" t="s">
        <v>4729</v>
      </c>
      <c r="C25" s="813">
        <v>65.763626000000002</v>
      </c>
      <c r="D25" s="813">
        <v>64.104324000000005</v>
      </c>
      <c r="E25" s="813">
        <v>62.995784999999998</v>
      </c>
      <c r="F25" s="813">
        <v>64.153412000000003</v>
      </c>
      <c r="G25" s="813">
        <v>64.571556000000001</v>
      </c>
      <c r="H25" s="813">
        <v>65.212006000000002</v>
      </c>
      <c r="I25" s="813">
        <v>66.478690999999998</v>
      </c>
      <c r="J25" s="813">
        <v>67.676033000000004</v>
      </c>
      <c r="K25" s="813">
        <v>68.043105999999995</v>
      </c>
      <c r="L25" s="813">
        <v>68.405663000000004</v>
      </c>
      <c r="M25" s="813">
        <v>69.230536999999998</v>
      </c>
      <c r="N25" s="813">
        <v>69.957069000000004</v>
      </c>
      <c r="O25" s="813">
        <v>70.796752999999995</v>
      </c>
      <c r="P25" s="813">
        <v>71.127601999999996</v>
      </c>
      <c r="Q25" s="813">
        <v>70.658446999999995</v>
      </c>
      <c r="R25" s="813">
        <v>70.916718000000003</v>
      </c>
      <c r="S25" s="813">
        <v>71.079459999999997</v>
      </c>
      <c r="T25" s="813">
        <v>71.318389999999994</v>
      </c>
      <c r="U25" s="813">
        <v>71.873619000000005</v>
      </c>
      <c r="V25" s="813">
        <v>72.726371999999998</v>
      </c>
      <c r="W25" s="813">
        <v>73.417052999999996</v>
      </c>
      <c r="X25" s="813">
        <v>73.684951999999996</v>
      </c>
      <c r="Y25" s="813">
        <v>73.726517000000001</v>
      </c>
      <c r="Z25" s="813">
        <v>73.824218999999999</v>
      </c>
      <c r="AA25" s="813">
        <v>74.154228000000003</v>
      </c>
      <c r="AB25" s="813">
        <v>74.509208999999998</v>
      </c>
      <c r="AC25" s="813">
        <v>74.695473000000007</v>
      </c>
      <c r="AD25" s="813">
        <v>74.892944</v>
      </c>
      <c r="AE25" s="813">
        <v>75.692573999999993</v>
      </c>
      <c r="AF25" s="814">
        <v>5.0350000000000004E-3</v>
      </c>
      <c r="AG25" s="802"/>
    </row>
    <row r="26" spans="1:33" ht="15" customHeight="1">
      <c r="A26" s="800" t="s">
        <v>4826</v>
      </c>
      <c r="B26" s="808" t="s">
        <v>4731</v>
      </c>
      <c r="C26" s="811">
        <v>426.09722900000003</v>
      </c>
      <c r="D26" s="811">
        <v>416.414062</v>
      </c>
      <c r="E26" s="811">
        <v>408.541901</v>
      </c>
      <c r="F26" s="811">
        <v>417.895081</v>
      </c>
      <c r="G26" s="811">
        <v>416.28420999999997</v>
      </c>
      <c r="H26" s="811">
        <v>417.64822400000003</v>
      </c>
      <c r="I26" s="811">
        <v>425.09314000000001</v>
      </c>
      <c r="J26" s="811">
        <v>433.238586</v>
      </c>
      <c r="K26" s="811">
        <v>437.02056900000002</v>
      </c>
      <c r="L26" s="811">
        <v>439.79708900000003</v>
      </c>
      <c r="M26" s="811">
        <v>446.01650999999998</v>
      </c>
      <c r="N26" s="811">
        <v>452.77261399999998</v>
      </c>
      <c r="O26" s="811">
        <v>460.56497200000001</v>
      </c>
      <c r="P26" s="811">
        <v>465.00439499999999</v>
      </c>
      <c r="Q26" s="811">
        <v>463.96203600000001</v>
      </c>
      <c r="R26" s="811">
        <v>467.08560199999999</v>
      </c>
      <c r="S26" s="811">
        <v>469.641571</v>
      </c>
      <c r="T26" s="811">
        <v>473.07965100000001</v>
      </c>
      <c r="U26" s="811">
        <v>477.83477800000003</v>
      </c>
      <c r="V26" s="811">
        <v>484.33227499999998</v>
      </c>
      <c r="W26" s="811">
        <v>489.93188500000002</v>
      </c>
      <c r="X26" s="811">
        <v>493.634705</v>
      </c>
      <c r="Y26" s="811">
        <v>495.22820999999999</v>
      </c>
      <c r="Z26" s="811">
        <v>494.38738999999998</v>
      </c>
      <c r="AA26" s="811">
        <v>494.52502399999997</v>
      </c>
      <c r="AB26" s="811">
        <v>496.93231200000002</v>
      </c>
      <c r="AC26" s="811">
        <v>497.80252100000001</v>
      </c>
      <c r="AD26" s="811">
        <v>499.73983800000002</v>
      </c>
      <c r="AE26" s="811">
        <v>506.24713100000002</v>
      </c>
      <c r="AF26" s="810">
        <v>6.1749999999999999E-3</v>
      </c>
      <c r="AG26" s="802"/>
    </row>
    <row r="27" spans="1:33" ht="15" customHeight="1">
      <c r="B27" s="802"/>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c r="AE27" s="802"/>
      <c r="AF27" s="802"/>
      <c r="AG27" s="802"/>
    </row>
    <row r="28" spans="1:33" ht="15" customHeight="1">
      <c r="B28" s="808" t="s">
        <v>4827</v>
      </c>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row>
    <row r="29" spans="1:33" ht="15" customHeight="1">
      <c r="A29" s="800" t="s">
        <v>4828</v>
      </c>
      <c r="B29" s="812" t="s">
        <v>4711</v>
      </c>
      <c r="C29" s="813">
        <v>0.46828599999999998</v>
      </c>
      <c r="D29" s="813">
        <v>0.50001200000000001</v>
      </c>
      <c r="E29" s="813">
        <v>1.8285</v>
      </c>
      <c r="F29" s="813">
        <v>1.9225939999999999</v>
      </c>
      <c r="G29" s="813">
        <v>1.9862550000000001</v>
      </c>
      <c r="H29" s="813">
        <v>2.022062</v>
      </c>
      <c r="I29" s="813">
        <v>2.0250140000000001</v>
      </c>
      <c r="J29" s="813">
        <v>2.0118459999999998</v>
      </c>
      <c r="K29" s="813">
        <v>1.982343</v>
      </c>
      <c r="L29" s="813">
        <v>1.949864</v>
      </c>
      <c r="M29" s="813">
        <v>1.9150640000000001</v>
      </c>
      <c r="N29" s="813">
        <v>1.8832549999999999</v>
      </c>
      <c r="O29" s="813">
        <v>1.8617939999999999</v>
      </c>
      <c r="P29" s="813">
        <v>1.853024</v>
      </c>
      <c r="Q29" s="813">
        <v>1.8381670000000001</v>
      </c>
      <c r="R29" s="813">
        <v>1.815753</v>
      </c>
      <c r="S29" s="813">
        <v>1.787309</v>
      </c>
      <c r="T29" s="813">
        <v>1.776216</v>
      </c>
      <c r="U29" s="813">
        <v>1.7495590000000001</v>
      </c>
      <c r="V29" s="813">
        <v>1.7279089999999999</v>
      </c>
      <c r="W29" s="813">
        <v>1.7140150000000001</v>
      </c>
      <c r="X29" s="813">
        <v>1.705211</v>
      </c>
      <c r="Y29" s="813">
        <v>1.6957009999999999</v>
      </c>
      <c r="Z29" s="813">
        <v>1.6803539999999999</v>
      </c>
      <c r="AA29" s="813">
        <v>1.6688449999999999</v>
      </c>
      <c r="AB29" s="813">
        <v>1.656088</v>
      </c>
      <c r="AC29" s="813">
        <v>1.638555</v>
      </c>
      <c r="AD29" s="813">
        <v>1.6266579999999999</v>
      </c>
      <c r="AE29" s="813">
        <v>1.62212</v>
      </c>
      <c r="AF29" s="814">
        <v>4.5371000000000002E-2</v>
      </c>
      <c r="AG29" s="802"/>
    </row>
    <row r="30" spans="1:33" ht="15" customHeight="1">
      <c r="A30" s="800" t="s">
        <v>4829</v>
      </c>
      <c r="B30" s="812" t="s">
        <v>4713</v>
      </c>
      <c r="C30" s="813">
        <v>0</v>
      </c>
      <c r="D30" s="813">
        <v>0</v>
      </c>
      <c r="E30" s="813">
        <v>0</v>
      </c>
      <c r="F30" s="813">
        <v>0</v>
      </c>
      <c r="G30" s="813">
        <v>0</v>
      </c>
      <c r="H30" s="813">
        <v>0</v>
      </c>
      <c r="I30" s="813">
        <v>0</v>
      </c>
      <c r="J30" s="813">
        <v>0</v>
      </c>
      <c r="K30" s="813">
        <v>0</v>
      </c>
      <c r="L30" s="813">
        <v>0</v>
      </c>
      <c r="M30" s="813">
        <v>0</v>
      </c>
      <c r="N30" s="813">
        <v>0</v>
      </c>
      <c r="O30" s="813">
        <v>0</v>
      </c>
      <c r="P30" s="813">
        <v>0</v>
      </c>
      <c r="Q30" s="813">
        <v>0</v>
      </c>
      <c r="R30" s="813">
        <v>0</v>
      </c>
      <c r="S30" s="813">
        <v>0</v>
      </c>
      <c r="T30" s="813">
        <v>0</v>
      </c>
      <c r="U30" s="813">
        <v>0</v>
      </c>
      <c r="V30" s="813">
        <v>0</v>
      </c>
      <c r="W30" s="813">
        <v>0</v>
      </c>
      <c r="X30" s="813">
        <v>0</v>
      </c>
      <c r="Y30" s="813">
        <v>0</v>
      </c>
      <c r="Z30" s="813">
        <v>0</v>
      </c>
      <c r="AA30" s="813">
        <v>0</v>
      </c>
      <c r="AB30" s="813">
        <v>0</v>
      </c>
      <c r="AC30" s="813">
        <v>0</v>
      </c>
      <c r="AD30" s="813">
        <v>0</v>
      </c>
      <c r="AE30" s="813">
        <v>0</v>
      </c>
      <c r="AF30" s="814" t="s">
        <v>2805</v>
      </c>
      <c r="AG30" s="802"/>
    </row>
    <row r="31" spans="1:33" ht="15" customHeight="1">
      <c r="A31" s="800" t="s">
        <v>4830</v>
      </c>
      <c r="B31" s="812" t="s">
        <v>4715</v>
      </c>
      <c r="C31" s="813">
        <v>3.539E-3</v>
      </c>
      <c r="D31" s="813">
        <v>3.088E-3</v>
      </c>
      <c r="E31" s="813">
        <v>2.9689999999999999E-3</v>
      </c>
      <c r="F31" s="813">
        <v>2.8530000000000001E-3</v>
      </c>
      <c r="G31" s="813">
        <v>2.7409999999999999E-3</v>
      </c>
      <c r="H31" s="813">
        <v>2.6350000000000002E-3</v>
      </c>
      <c r="I31" s="813">
        <v>2.5360000000000001E-3</v>
      </c>
      <c r="J31" s="813">
        <v>2.447E-3</v>
      </c>
      <c r="K31" s="813">
        <v>2.369E-3</v>
      </c>
      <c r="L31" s="813">
        <v>2.3029999999999999E-3</v>
      </c>
      <c r="M31" s="813">
        <v>2.251E-3</v>
      </c>
      <c r="N31" s="813">
        <v>2.2130000000000001E-3</v>
      </c>
      <c r="O31" s="813">
        <v>2.1900000000000001E-3</v>
      </c>
      <c r="P31" s="813">
        <v>2.1819999999999999E-3</v>
      </c>
      <c r="Q31" s="813">
        <v>2.1819999999999999E-3</v>
      </c>
      <c r="R31" s="813">
        <v>2.1819999999999999E-3</v>
      </c>
      <c r="S31" s="813">
        <v>2.1819999999999999E-3</v>
      </c>
      <c r="T31" s="813">
        <v>2.1819999999999999E-3</v>
      </c>
      <c r="U31" s="813">
        <v>2.1819999999999999E-3</v>
      </c>
      <c r="V31" s="813">
        <v>2.1819999999999999E-3</v>
      </c>
      <c r="W31" s="813">
        <v>2.1819999999999999E-3</v>
      </c>
      <c r="X31" s="813">
        <v>2.1819999999999999E-3</v>
      </c>
      <c r="Y31" s="813">
        <v>2.1819999999999999E-3</v>
      </c>
      <c r="Z31" s="813">
        <v>2.1819999999999999E-3</v>
      </c>
      <c r="AA31" s="813">
        <v>2.1819999999999999E-3</v>
      </c>
      <c r="AB31" s="813">
        <v>2.1819999999999999E-3</v>
      </c>
      <c r="AC31" s="813">
        <v>2.1819999999999999E-3</v>
      </c>
      <c r="AD31" s="813">
        <v>2.1819999999999999E-3</v>
      </c>
      <c r="AE31" s="813">
        <v>2.1819999999999999E-3</v>
      </c>
      <c r="AF31" s="814">
        <v>-1.7125999999999999E-2</v>
      </c>
      <c r="AG31" s="802"/>
    </row>
    <row r="32" spans="1:33" ht="15" customHeight="1">
      <c r="A32" s="800" t="s">
        <v>4831</v>
      </c>
      <c r="B32" s="812" t="s">
        <v>4719</v>
      </c>
      <c r="C32" s="813">
        <v>0.47182600000000002</v>
      </c>
      <c r="D32" s="813">
        <v>0.50309999999999999</v>
      </c>
      <c r="E32" s="813">
        <v>1.831469</v>
      </c>
      <c r="F32" s="813">
        <v>1.925448</v>
      </c>
      <c r="G32" s="813">
        <v>1.988996</v>
      </c>
      <c r="H32" s="813">
        <v>2.0246960000000001</v>
      </c>
      <c r="I32" s="813">
        <v>2.0275509999999999</v>
      </c>
      <c r="J32" s="813">
        <v>2.0142929999999999</v>
      </c>
      <c r="K32" s="813">
        <v>1.984712</v>
      </c>
      <c r="L32" s="813">
        <v>1.9521679999999999</v>
      </c>
      <c r="M32" s="813">
        <v>1.9173150000000001</v>
      </c>
      <c r="N32" s="813">
        <v>1.8854679999999999</v>
      </c>
      <c r="O32" s="813">
        <v>1.8639840000000001</v>
      </c>
      <c r="P32" s="813">
        <v>1.8552059999999999</v>
      </c>
      <c r="Q32" s="813">
        <v>1.840349</v>
      </c>
      <c r="R32" s="813">
        <v>1.8179339999999999</v>
      </c>
      <c r="S32" s="813">
        <v>1.7894909999999999</v>
      </c>
      <c r="T32" s="813">
        <v>1.7783979999999999</v>
      </c>
      <c r="U32" s="813">
        <v>1.751741</v>
      </c>
      <c r="V32" s="813">
        <v>1.7300899999999999</v>
      </c>
      <c r="W32" s="813">
        <v>1.716197</v>
      </c>
      <c r="X32" s="813">
        <v>1.7073929999999999</v>
      </c>
      <c r="Y32" s="813">
        <v>1.697883</v>
      </c>
      <c r="Z32" s="813">
        <v>1.6825349999999999</v>
      </c>
      <c r="AA32" s="813">
        <v>1.671027</v>
      </c>
      <c r="AB32" s="813">
        <v>1.6582699999999999</v>
      </c>
      <c r="AC32" s="813">
        <v>1.6407369999999999</v>
      </c>
      <c r="AD32" s="813">
        <v>1.6288400000000001</v>
      </c>
      <c r="AE32" s="813">
        <v>1.6243019999999999</v>
      </c>
      <c r="AF32" s="814">
        <v>4.514E-2</v>
      </c>
      <c r="AG32" s="802"/>
    </row>
    <row r="33" spans="1:33" ht="15" customHeight="1">
      <c r="A33" s="800" t="s">
        <v>4832</v>
      </c>
      <c r="B33" s="812" t="s">
        <v>4721</v>
      </c>
      <c r="C33" s="813">
        <v>80.805588</v>
      </c>
      <c r="D33" s="813">
        <v>78.484131000000005</v>
      </c>
      <c r="E33" s="813">
        <v>79.225326999999993</v>
      </c>
      <c r="F33" s="813">
        <v>80.669433999999995</v>
      </c>
      <c r="G33" s="813">
        <v>82.867148999999998</v>
      </c>
      <c r="H33" s="813">
        <v>84.492171999999997</v>
      </c>
      <c r="I33" s="813">
        <v>85.50206</v>
      </c>
      <c r="J33" s="813">
        <v>86.185387000000006</v>
      </c>
      <c r="K33" s="813">
        <v>86.577286000000001</v>
      </c>
      <c r="L33" s="813">
        <v>87.083648999999994</v>
      </c>
      <c r="M33" s="813">
        <v>87.942490000000006</v>
      </c>
      <c r="N33" s="813">
        <v>88.707213999999993</v>
      </c>
      <c r="O33" s="813">
        <v>89.585007000000004</v>
      </c>
      <c r="P33" s="813">
        <v>90.772537</v>
      </c>
      <c r="Q33" s="813">
        <v>91.881553999999994</v>
      </c>
      <c r="R33" s="813">
        <v>92.872444000000002</v>
      </c>
      <c r="S33" s="813">
        <v>93.780060000000006</v>
      </c>
      <c r="T33" s="813">
        <v>94.909560999999997</v>
      </c>
      <c r="U33" s="813">
        <v>95.795212000000006</v>
      </c>
      <c r="V33" s="813">
        <v>96.963676000000007</v>
      </c>
      <c r="W33" s="813">
        <v>98.233245999999994</v>
      </c>
      <c r="X33" s="813">
        <v>99.710114000000004</v>
      </c>
      <c r="Y33" s="813">
        <v>100.97483800000001</v>
      </c>
      <c r="Z33" s="813">
        <v>102.025955</v>
      </c>
      <c r="AA33" s="813">
        <v>102.95251500000001</v>
      </c>
      <c r="AB33" s="813">
        <v>104.325508</v>
      </c>
      <c r="AC33" s="813">
        <v>105.515839</v>
      </c>
      <c r="AD33" s="813">
        <v>106.77755000000001</v>
      </c>
      <c r="AE33" s="813">
        <v>108.593216</v>
      </c>
      <c r="AF33" s="814">
        <v>1.0612E-2</v>
      </c>
      <c r="AG33" s="802"/>
    </row>
    <row r="34" spans="1:33" ht="12" customHeight="1">
      <c r="A34" s="800" t="s">
        <v>4833</v>
      </c>
      <c r="B34" s="812" t="s">
        <v>4725</v>
      </c>
      <c r="C34" s="813">
        <v>0</v>
      </c>
      <c r="D34" s="813">
        <v>0</v>
      </c>
      <c r="E34" s="813">
        <v>0</v>
      </c>
      <c r="F34" s="813">
        <v>0</v>
      </c>
      <c r="G34" s="813">
        <v>0</v>
      </c>
      <c r="H34" s="813">
        <v>0</v>
      </c>
      <c r="I34" s="813">
        <v>0</v>
      </c>
      <c r="J34" s="813">
        <v>0</v>
      </c>
      <c r="K34" s="813">
        <v>0</v>
      </c>
      <c r="L34" s="813">
        <v>0</v>
      </c>
      <c r="M34" s="813">
        <v>0</v>
      </c>
      <c r="N34" s="813">
        <v>0</v>
      </c>
      <c r="O34" s="813">
        <v>0</v>
      </c>
      <c r="P34" s="813">
        <v>0</v>
      </c>
      <c r="Q34" s="813">
        <v>0</v>
      </c>
      <c r="R34" s="813">
        <v>0</v>
      </c>
      <c r="S34" s="813">
        <v>0</v>
      </c>
      <c r="T34" s="813">
        <v>0</v>
      </c>
      <c r="U34" s="813">
        <v>0</v>
      </c>
      <c r="V34" s="813">
        <v>0</v>
      </c>
      <c r="W34" s="813">
        <v>0</v>
      </c>
      <c r="X34" s="813">
        <v>0</v>
      </c>
      <c r="Y34" s="813">
        <v>0</v>
      </c>
      <c r="Z34" s="813">
        <v>0</v>
      </c>
      <c r="AA34" s="813">
        <v>0</v>
      </c>
      <c r="AB34" s="813">
        <v>0</v>
      </c>
      <c r="AC34" s="813">
        <v>0</v>
      </c>
      <c r="AD34" s="813">
        <v>0</v>
      </c>
      <c r="AE34" s="813">
        <v>0</v>
      </c>
      <c r="AF34" s="814" t="s">
        <v>2805</v>
      </c>
      <c r="AG34" s="802"/>
    </row>
    <row r="35" spans="1:33" ht="12" customHeight="1">
      <c r="A35" s="800" t="s">
        <v>4834</v>
      </c>
      <c r="B35" s="812" t="s">
        <v>4723</v>
      </c>
      <c r="C35" s="813">
        <v>0</v>
      </c>
      <c r="D35" s="813">
        <v>0</v>
      </c>
      <c r="E35" s="813">
        <v>0</v>
      </c>
      <c r="F35" s="813">
        <v>0</v>
      </c>
      <c r="G35" s="813">
        <v>0</v>
      </c>
      <c r="H35" s="813">
        <v>0</v>
      </c>
      <c r="I35" s="813">
        <v>0</v>
      </c>
      <c r="J35" s="813">
        <v>0</v>
      </c>
      <c r="K35" s="813">
        <v>0</v>
      </c>
      <c r="L35" s="813">
        <v>0</v>
      </c>
      <c r="M35" s="813">
        <v>0</v>
      </c>
      <c r="N35" s="813">
        <v>0</v>
      </c>
      <c r="O35" s="813">
        <v>0</v>
      </c>
      <c r="P35" s="813">
        <v>0</v>
      </c>
      <c r="Q35" s="813">
        <v>0</v>
      </c>
      <c r="R35" s="813">
        <v>0</v>
      </c>
      <c r="S35" s="813">
        <v>0</v>
      </c>
      <c r="T35" s="813">
        <v>0</v>
      </c>
      <c r="U35" s="813">
        <v>0</v>
      </c>
      <c r="V35" s="813">
        <v>0</v>
      </c>
      <c r="W35" s="813">
        <v>0</v>
      </c>
      <c r="X35" s="813">
        <v>0</v>
      </c>
      <c r="Y35" s="813">
        <v>0</v>
      </c>
      <c r="Z35" s="813">
        <v>0</v>
      </c>
      <c r="AA35" s="813">
        <v>0</v>
      </c>
      <c r="AB35" s="813">
        <v>0</v>
      </c>
      <c r="AC35" s="813">
        <v>0</v>
      </c>
      <c r="AD35" s="813">
        <v>0</v>
      </c>
      <c r="AE35" s="813">
        <v>0</v>
      </c>
      <c r="AF35" s="814" t="s">
        <v>2805</v>
      </c>
      <c r="AG35" s="802"/>
    </row>
    <row r="36" spans="1:33" ht="12" customHeight="1">
      <c r="A36" s="800" t="s">
        <v>4835</v>
      </c>
      <c r="B36" s="812" t="s">
        <v>4727</v>
      </c>
      <c r="C36" s="813">
        <v>0</v>
      </c>
      <c r="D36" s="813">
        <v>0</v>
      </c>
      <c r="E36" s="813">
        <v>0</v>
      </c>
      <c r="F36" s="813">
        <v>0</v>
      </c>
      <c r="G36" s="813">
        <v>0</v>
      </c>
      <c r="H36" s="813">
        <v>0</v>
      </c>
      <c r="I36" s="813">
        <v>0</v>
      </c>
      <c r="J36" s="813">
        <v>0</v>
      </c>
      <c r="K36" s="813">
        <v>0</v>
      </c>
      <c r="L36" s="813">
        <v>0</v>
      </c>
      <c r="M36" s="813">
        <v>0</v>
      </c>
      <c r="N36" s="813">
        <v>0</v>
      </c>
      <c r="O36" s="813">
        <v>0</v>
      </c>
      <c r="P36" s="813">
        <v>0</v>
      </c>
      <c r="Q36" s="813">
        <v>0</v>
      </c>
      <c r="R36" s="813">
        <v>0</v>
      </c>
      <c r="S36" s="813">
        <v>0</v>
      </c>
      <c r="T36" s="813">
        <v>0</v>
      </c>
      <c r="U36" s="813">
        <v>0</v>
      </c>
      <c r="V36" s="813">
        <v>0</v>
      </c>
      <c r="W36" s="813">
        <v>0</v>
      </c>
      <c r="X36" s="813">
        <v>0</v>
      </c>
      <c r="Y36" s="813">
        <v>0</v>
      </c>
      <c r="Z36" s="813">
        <v>0</v>
      </c>
      <c r="AA36" s="813">
        <v>0</v>
      </c>
      <c r="AB36" s="813">
        <v>0</v>
      </c>
      <c r="AC36" s="813">
        <v>0</v>
      </c>
      <c r="AD36" s="813">
        <v>0</v>
      </c>
      <c r="AE36" s="813">
        <v>0</v>
      </c>
      <c r="AF36" s="814" t="s">
        <v>2805</v>
      </c>
      <c r="AG36" s="802"/>
    </row>
    <row r="37" spans="1:33" ht="12" customHeight="1">
      <c r="A37" s="800" t="s">
        <v>4836</v>
      </c>
      <c r="B37" s="812" t="s">
        <v>4729</v>
      </c>
      <c r="C37" s="813">
        <v>158.30687</v>
      </c>
      <c r="D37" s="813">
        <v>160.75990300000001</v>
      </c>
      <c r="E37" s="813">
        <v>160.212357</v>
      </c>
      <c r="F37" s="813">
        <v>161.91776999999999</v>
      </c>
      <c r="G37" s="813">
        <v>165.137787</v>
      </c>
      <c r="H37" s="813">
        <v>167.74194299999999</v>
      </c>
      <c r="I37" s="813">
        <v>169.64802599999999</v>
      </c>
      <c r="J37" s="813">
        <v>171.200638</v>
      </c>
      <c r="K37" s="813">
        <v>172.16153</v>
      </c>
      <c r="L37" s="813">
        <v>173.43731700000001</v>
      </c>
      <c r="M37" s="813">
        <v>175.354614</v>
      </c>
      <c r="N37" s="813">
        <v>176.79693599999999</v>
      </c>
      <c r="O37" s="813">
        <v>178.459686</v>
      </c>
      <c r="P37" s="813">
        <v>180.72534200000001</v>
      </c>
      <c r="Q37" s="813">
        <v>182.18420399999999</v>
      </c>
      <c r="R37" s="813">
        <v>183.458145</v>
      </c>
      <c r="S37" s="813">
        <v>184.74221800000001</v>
      </c>
      <c r="T37" s="813">
        <v>185.778717</v>
      </c>
      <c r="U37" s="813">
        <v>187.04141200000001</v>
      </c>
      <c r="V37" s="813">
        <v>188.69120799999999</v>
      </c>
      <c r="W37" s="813">
        <v>190.351257</v>
      </c>
      <c r="X37" s="813">
        <v>192.266907</v>
      </c>
      <c r="Y37" s="813">
        <v>193.733215</v>
      </c>
      <c r="Z37" s="813">
        <v>195.04791299999999</v>
      </c>
      <c r="AA37" s="813">
        <v>196.70443700000001</v>
      </c>
      <c r="AB37" s="813">
        <v>198.49568199999999</v>
      </c>
      <c r="AC37" s="813">
        <v>199.86547899999999</v>
      </c>
      <c r="AD37" s="813">
        <v>201.36772199999999</v>
      </c>
      <c r="AE37" s="813">
        <v>204.075729</v>
      </c>
      <c r="AF37" s="814">
        <v>9.1109999999999993E-3</v>
      </c>
      <c r="AG37" s="802"/>
    </row>
    <row r="38" spans="1:33" ht="12" customHeight="1">
      <c r="A38" s="800" t="s">
        <v>4837</v>
      </c>
      <c r="B38" s="808" t="s">
        <v>4731</v>
      </c>
      <c r="C38" s="811">
        <v>239.58429000000001</v>
      </c>
      <c r="D38" s="811">
        <v>239.747131</v>
      </c>
      <c r="E38" s="811">
        <v>241.26915</v>
      </c>
      <c r="F38" s="811">
        <v>244.51265000000001</v>
      </c>
      <c r="G38" s="811">
        <v>249.99392700000001</v>
      </c>
      <c r="H38" s="811">
        <v>254.25881999999999</v>
      </c>
      <c r="I38" s="811">
        <v>257.17764299999999</v>
      </c>
      <c r="J38" s="811">
        <v>259.40033</v>
      </c>
      <c r="K38" s="811">
        <v>260.72351099999997</v>
      </c>
      <c r="L38" s="811">
        <v>262.47314499999999</v>
      </c>
      <c r="M38" s="811">
        <v>265.21441700000003</v>
      </c>
      <c r="N38" s="811">
        <v>267.38961799999998</v>
      </c>
      <c r="O38" s="811">
        <v>269.90869099999998</v>
      </c>
      <c r="P38" s="811">
        <v>273.35308800000001</v>
      </c>
      <c r="Q38" s="811">
        <v>275.90609699999999</v>
      </c>
      <c r="R38" s="811">
        <v>278.148529</v>
      </c>
      <c r="S38" s="811">
        <v>280.31176799999997</v>
      </c>
      <c r="T38" s="811">
        <v>282.46667500000001</v>
      </c>
      <c r="U38" s="811">
        <v>284.58837899999997</v>
      </c>
      <c r="V38" s="811">
        <v>287.38497899999999</v>
      </c>
      <c r="W38" s="811">
        <v>290.30068999999997</v>
      </c>
      <c r="X38" s="811">
        <v>293.68441799999999</v>
      </c>
      <c r="Y38" s="811">
        <v>296.40594499999997</v>
      </c>
      <c r="Z38" s="811">
        <v>298.75640900000002</v>
      </c>
      <c r="AA38" s="811">
        <v>301.32797199999999</v>
      </c>
      <c r="AB38" s="811">
        <v>304.47946200000001</v>
      </c>
      <c r="AC38" s="811">
        <v>307.022064</v>
      </c>
      <c r="AD38" s="811">
        <v>309.77410900000001</v>
      </c>
      <c r="AE38" s="811">
        <v>314.29324300000002</v>
      </c>
      <c r="AF38" s="810">
        <v>9.7409999999999997E-3</v>
      </c>
      <c r="AG38" s="802"/>
    </row>
    <row r="39" spans="1:33" ht="12" customHeight="1">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row>
    <row r="40" spans="1:33" ht="12" customHeight="1">
      <c r="B40" s="808" t="s">
        <v>4838</v>
      </c>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row>
    <row r="41" spans="1:33" ht="12" customHeight="1">
      <c r="A41" s="800" t="s">
        <v>4839</v>
      </c>
      <c r="B41" s="812" t="s">
        <v>4711</v>
      </c>
      <c r="C41" s="813">
        <v>3.4739610000000001</v>
      </c>
      <c r="D41" s="813">
        <v>3.8192629999999999</v>
      </c>
      <c r="E41" s="813">
        <v>13.688148</v>
      </c>
      <c r="F41" s="813">
        <v>13.200716999999999</v>
      </c>
      <c r="G41" s="813">
        <v>12.786343</v>
      </c>
      <c r="H41" s="813">
        <v>12.597159</v>
      </c>
      <c r="I41" s="813">
        <v>12.514664</v>
      </c>
      <c r="J41" s="813">
        <v>12.55349</v>
      </c>
      <c r="K41" s="813">
        <v>12.578454000000001</v>
      </c>
      <c r="L41" s="813">
        <v>12.612946000000001</v>
      </c>
      <c r="M41" s="813">
        <v>12.678715</v>
      </c>
      <c r="N41" s="813">
        <v>12.756962</v>
      </c>
      <c r="O41" s="813">
        <v>12.828331</v>
      </c>
      <c r="P41" s="813">
        <v>12.908493</v>
      </c>
      <c r="Q41" s="813">
        <v>12.961611</v>
      </c>
      <c r="R41" s="813">
        <v>13.033624</v>
      </c>
      <c r="S41" s="813">
        <v>13.135208</v>
      </c>
      <c r="T41" s="813">
        <v>13.189280999999999</v>
      </c>
      <c r="U41" s="813">
        <v>13.319019000000001</v>
      </c>
      <c r="V41" s="813">
        <v>13.447816</v>
      </c>
      <c r="W41" s="813">
        <v>13.563891999999999</v>
      </c>
      <c r="X41" s="813">
        <v>13.657982000000001</v>
      </c>
      <c r="Y41" s="813">
        <v>13.766216999999999</v>
      </c>
      <c r="Z41" s="813">
        <v>13.866167000000001</v>
      </c>
      <c r="AA41" s="813">
        <v>13.961797000000001</v>
      </c>
      <c r="AB41" s="813">
        <v>14.074680000000001</v>
      </c>
      <c r="AC41" s="813">
        <v>14.171424999999999</v>
      </c>
      <c r="AD41" s="813">
        <v>14.245901999999999</v>
      </c>
      <c r="AE41" s="813">
        <v>14.378797</v>
      </c>
      <c r="AF41" s="814">
        <v>5.2040000000000003E-2</v>
      </c>
      <c r="AG41" s="802"/>
    </row>
    <row r="42" spans="1:33" ht="12" customHeight="1">
      <c r="A42" s="800" t="s">
        <v>4840</v>
      </c>
      <c r="B42" s="812" t="s">
        <v>4713</v>
      </c>
      <c r="C42" s="813">
        <v>31.701138</v>
      </c>
      <c r="D42" s="813">
        <v>32.211105000000003</v>
      </c>
      <c r="E42" s="813">
        <v>30.498183999999998</v>
      </c>
      <c r="F42" s="813">
        <v>30.021414</v>
      </c>
      <c r="G42" s="813">
        <v>29.440449000000001</v>
      </c>
      <c r="H42" s="813">
        <v>28.913553</v>
      </c>
      <c r="I42" s="813">
        <v>28.51783</v>
      </c>
      <c r="J42" s="813">
        <v>28.149674999999998</v>
      </c>
      <c r="K42" s="813">
        <v>27.808712</v>
      </c>
      <c r="L42" s="813">
        <v>27.477931999999999</v>
      </c>
      <c r="M42" s="813">
        <v>27.201530000000002</v>
      </c>
      <c r="N42" s="813">
        <v>26.968481000000001</v>
      </c>
      <c r="O42" s="813">
        <v>26.772922999999999</v>
      </c>
      <c r="P42" s="813">
        <v>26.608474999999999</v>
      </c>
      <c r="Q42" s="813">
        <v>26.456242</v>
      </c>
      <c r="R42" s="813">
        <v>26.316310999999999</v>
      </c>
      <c r="S42" s="813">
        <v>26.202559000000001</v>
      </c>
      <c r="T42" s="813">
        <v>26.059149000000001</v>
      </c>
      <c r="U42" s="813">
        <v>25.961683000000001</v>
      </c>
      <c r="V42" s="813">
        <v>25.857026999999999</v>
      </c>
      <c r="W42" s="813">
        <v>25.758709</v>
      </c>
      <c r="X42" s="813">
        <v>25.637834999999999</v>
      </c>
      <c r="Y42" s="813">
        <v>25.536451</v>
      </c>
      <c r="Z42" s="813">
        <v>25.425934000000002</v>
      </c>
      <c r="AA42" s="813">
        <v>25.304345999999999</v>
      </c>
      <c r="AB42" s="813">
        <v>25.213051</v>
      </c>
      <c r="AC42" s="813">
        <v>25.108212000000002</v>
      </c>
      <c r="AD42" s="813">
        <v>24.987862</v>
      </c>
      <c r="AE42" s="813">
        <v>24.913167999999999</v>
      </c>
      <c r="AF42" s="814">
        <v>-8.5690000000000002E-3</v>
      </c>
      <c r="AG42" s="802"/>
    </row>
    <row r="43" spans="1:33" ht="12" customHeight="1">
      <c r="A43" s="800" t="s">
        <v>4841</v>
      </c>
      <c r="B43" s="812" t="s">
        <v>4715</v>
      </c>
      <c r="C43" s="813">
        <v>2.5280879999999999</v>
      </c>
      <c r="D43" s="813">
        <v>2.0959469999999998</v>
      </c>
      <c r="E43" s="813">
        <v>2.008915</v>
      </c>
      <c r="F43" s="813">
        <v>1.9294629999999999</v>
      </c>
      <c r="G43" s="813">
        <v>1.8451109999999999</v>
      </c>
      <c r="H43" s="813">
        <v>1.750283</v>
      </c>
      <c r="I43" s="813">
        <v>1.6613640000000001</v>
      </c>
      <c r="J43" s="813">
        <v>1.580627</v>
      </c>
      <c r="K43" s="813">
        <v>1.508607</v>
      </c>
      <c r="L43" s="813">
        <v>1.4457310000000001</v>
      </c>
      <c r="M43" s="813">
        <v>1.3923639999999999</v>
      </c>
      <c r="N43" s="813">
        <v>1.3485549999999999</v>
      </c>
      <c r="O43" s="813">
        <v>1.314451</v>
      </c>
      <c r="P43" s="813">
        <v>1.289947</v>
      </c>
      <c r="Q43" s="813">
        <v>1.270308</v>
      </c>
      <c r="R43" s="813">
        <v>1.2508490000000001</v>
      </c>
      <c r="S43" s="813">
        <v>1.231439</v>
      </c>
      <c r="T43" s="813">
        <v>1.2123569999999999</v>
      </c>
      <c r="U43" s="813">
        <v>1.193354</v>
      </c>
      <c r="V43" s="813">
        <v>1.17449</v>
      </c>
      <c r="W43" s="813">
        <v>1.1559330000000001</v>
      </c>
      <c r="X43" s="813">
        <v>1.137721</v>
      </c>
      <c r="Y43" s="813">
        <v>1.1198650000000001</v>
      </c>
      <c r="Z43" s="813">
        <v>1.1022860000000001</v>
      </c>
      <c r="AA43" s="813">
        <v>1.084983</v>
      </c>
      <c r="AB43" s="813">
        <v>1.0680069999999999</v>
      </c>
      <c r="AC43" s="813">
        <v>1.051315</v>
      </c>
      <c r="AD43" s="813">
        <v>1.0349429999999999</v>
      </c>
      <c r="AE43" s="813">
        <v>1.01885</v>
      </c>
      <c r="AF43" s="814">
        <v>-3.1935999999999999E-2</v>
      </c>
      <c r="AG43" s="802"/>
    </row>
    <row r="44" spans="1:33" ht="12" customHeight="1">
      <c r="A44" s="800" t="s">
        <v>4842</v>
      </c>
      <c r="B44" s="812" t="s">
        <v>4717</v>
      </c>
      <c r="C44" s="813">
        <v>1.2177039999999999</v>
      </c>
      <c r="D44" s="813">
        <v>1.1123270000000001</v>
      </c>
      <c r="E44" s="813">
        <v>0.65469100000000002</v>
      </c>
      <c r="F44" s="813">
        <v>0.52288999999999997</v>
      </c>
      <c r="G44" s="813">
        <v>0.36729600000000001</v>
      </c>
      <c r="H44" s="813">
        <v>0.27893299999999999</v>
      </c>
      <c r="I44" s="813">
        <v>0.23122000000000001</v>
      </c>
      <c r="J44" s="813">
        <v>0.24241799999999999</v>
      </c>
      <c r="K44" s="813">
        <v>0.25793199999999999</v>
      </c>
      <c r="L44" s="813">
        <v>0.27817500000000001</v>
      </c>
      <c r="M44" s="813">
        <v>0.29963299999999998</v>
      </c>
      <c r="N44" s="813">
        <v>0.32713900000000001</v>
      </c>
      <c r="O44" s="813">
        <v>0.34789900000000001</v>
      </c>
      <c r="P44" s="813">
        <v>0.36430400000000002</v>
      </c>
      <c r="Q44" s="813">
        <v>0.36724499999999999</v>
      </c>
      <c r="R44" s="813">
        <v>0.37407000000000001</v>
      </c>
      <c r="S44" s="813">
        <v>0.39348</v>
      </c>
      <c r="T44" s="813">
        <v>0.38650699999999999</v>
      </c>
      <c r="U44" s="813">
        <v>0.40729700000000002</v>
      </c>
      <c r="V44" s="813">
        <v>0.42037400000000003</v>
      </c>
      <c r="W44" s="813">
        <v>0.42603999999999997</v>
      </c>
      <c r="X44" s="813">
        <v>0.420122</v>
      </c>
      <c r="Y44" s="813">
        <v>0.41996299999999998</v>
      </c>
      <c r="Z44" s="813">
        <v>0.42270799999999997</v>
      </c>
      <c r="AA44" s="813">
        <v>0.42339399999999999</v>
      </c>
      <c r="AB44" s="813">
        <v>0.42257499999999998</v>
      </c>
      <c r="AC44" s="813">
        <v>0.41891699999999998</v>
      </c>
      <c r="AD44" s="813">
        <v>0.41302499999999998</v>
      </c>
      <c r="AE44" s="813">
        <v>0.41405399999999998</v>
      </c>
      <c r="AF44" s="814">
        <v>-3.7793E-2</v>
      </c>
      <c r="AG44" s="802"/>
    </row>
    <row r="45" spans="1:33" ht="12" customHeight="1">
      <c r="A45" s="800" t="s">
        <v>4843</v>
      </c>
      <c r="B45" s="812" t="s">
        <v>4844</v>
      </c>
      <c r="C45" s="813">
        <v>36.495773</v>
      </c>
      <c r="D45" s="813">
        <v>31.177233000000001</v>
      </c>
      <c r="E45" s="813">
        <v>19.098845000000001</v>
      </c>
      <c r="F45" s="813">
        <v>15.822265</v>
      </c>
      <c r="G45" s="813">
        <v>11.453035</v>
      </c>
      <c r="H45" s="813">
        <v>8.8985459999999996</v>
      </c>
      <c r="I45" s="813">
        <v>7.5115270000000001</v>
      </c>
      <c r="J45" s="813">
        <v>7.9967600000000001</v>
      </c>
      <c r="K45" s="813">
        <v>8.5991180000000007</v>
      </c>
      <c r="L45" s="813">
        <v>9.3476090000000003</v>
      </c>
      <c r="M45" s="813">
        <v>10.126621999999999</v>
      </c>
      <c r="N45" s="813">
        <v>11.093249999999999</v>
      </c>
      <c r="O45" s="813">
        <v>11.819813999999999</v>
      </c>
      <c r="P45" s="813">
        <v>12.379827000000001</v>
      </c>
      <c r="Q45" s="813">
        <v>12.480713</v>
      </c>
      <c r="R45" s="813">
        <v>12.714173000000001</v>
      </c>
      <c r="S45" s="813">
        <v>13.369213</v>
      </c>
      <c r="T45" s="813">
        <v>13.143954000000001</v>
      </c>
      <c r="U45" s="813">
        <v>13.839808</v>
      </c>
      <c r="V45" s="813">
        <v>14.280551000000001</v>
      </c>
      <c r="W45" s="813">
        <v>14.47359</v>
      </c>
      <c r="X45" s="813">
        <v>14.276363999999999</v>
      </c>
      <c r="Y45" s="813">
        <v>14.266541999999999</v>
      </c>
      <c r="Z45" s="813">
        <v>14.364395</v>
      </c>
      <c r="AA45" s="813">
        <v>14.388582</v>
      </c>
      <c r="AB45" s="813">
        <v>14.359736</v>
      </c>
      <c r="AC45" s="813">
        <v>14.231006000000001</v>
      </c>
      <c r="AD45" s="813">
        <v>14.036519999999999</v>
      </c>
      <c r="AE45" s="813">
        <v>14.074733999999999</v>
      </c>
      <c r="AF45" s="814">
        <v>-3.3457000000000001E-2</v>
      </c>
      <c r="AG45" s="802"/>
    </row>
    <row r="46" spans="1:33" ht="12" customHeight="1">
      <c r="A46" s="800" t="s">
        <v>4845</v>
      </c>
      <c r="B46" s="812" t="s">
        <v>4719</v>
      </c>
      <c r="C46" s="813">
        <v>75.416663999999997</v>
      </c>
      <c r="D46" s="813">
        <v>70.415878000000006</v>
      </c>
      <c r="E46" s="813">
        <v>65.948784000000003</v>
      </c>
      <c r="F46" s="813">
        <v>61.496746000000002</v>
      </c>
      <c r="G46" s="813">
        <v>55.892234999999999</v>
      </c>
      <c r="H46" s="813">
        <v>52.438476999999999</v>
      </c>
      <c r="I46" s="813">
        <v>50.436604000000003</v>
      </c>
      <c r="J46" s="813">
        <v>50.522967999999999</v>
      </c>
      <c r="K46" s="813">
        <v>50.752822999999999</v>
      </c>
      <c r="L46" s="813">
        <v>51.162391999999997</v>
      </c>
      <c r="M46" s="813">
        <v>51.698864</v>
      </c>
      <c r="N46" s="813">
        <v>52.494385000000001</v>
      </c>
      <c r="O46" s="813">
        <v>53.083416</v>
      </c>
      <c r="P46" s="813">
        <v>53.551048000000002</v>
      </c>
      <c r="Q46" s="813">
        <v>53.536118000000002</v>
      </c>
      <c r="R46" s="813">
        <v>53.689025999999998</v>
      </c>
      <c r="S46" s="813">
        <v>54.331901999999999</v>
      </c>
      <c r="T46" s="813">
        <v>53.991244999999999</v>
      </c>
      <c r="U46" s="813">
        <v>54.721161000000002</v>
      </c>
      <c r="V46" s="813">
        <v>55.180259999999997</v>
      </c>
      <c r="W46" s="813">
        <v>55.378166</v>
      </c>
      <c r="X46" s="813">
        <v>55.130023999999999</v>
      </c>
      <c r="Y46" s="813">
        <v>55.109039000000003</v>
      </c>
      <c r="Z46" s="813">
        <v>55.181488000000002</v>
      </c>
      <c r="AA46" s="813">
        <v>55.163100999999997</v>
      </c>
      <c r="AB46" s="813">
        <v>55.138046000000003</v>
      </c>
      <c r="AC46" s="813">
        <v>54.980873000000003</v>
      </c>
      <c r="AD46" s="813">
        <v>54.718254000000002</v>
      </c>
      <c r="AE46" s="813">
        <v>54.799602999999998</v>
      </c>
      <c r="AF46" s="814">
        <v>-1.1339999999999999E-2</v>
      </c>
      <c r="AG46" s="802"/>
    </row>
    <row r="47" spans="1:33" ht="12" customHeight="1">
      <c r="A47" s="800" t="s">
        <v>4846</v>
      </c>
      <c r="B47" s="812" t="s">
        <v>4721</v>
      </c>
      <c r="C47" s="813">
        <v>723.59228499999995</v>
      </c>
      <c r="D47" s="813">
        <v>669.314392</v>
      </c>
      <c r="E47" s="813">
        <v>698.567139</v>
      </c>
      <c r="F47" s="813">
        <v>708.44787599999995</v>
      </c>
      <c r="G47" s="813">
        <v>723.54077099999995</v>
      </c>
      <c r="H47" s="813">
        <v>734.54791299999999</v>
      </c>
      <c r="I47" s="813">
        <v>741.06402600000001</v>
      </c>
      <c r="J47" s="813">
        <v>742.91369599999996</v>
      </c>
      <c r="K47" s="813">
        <v>742.60644500000001</v>
      </c>
      <c r="L47" s="813">
        <v>741.27624500000002</v>
      </c>
      <c r="M47" s="813">
        <v>742.24371299999996</v>
      </c>
      <c r="N47" s="813">
        <v>743.462219</v>
      </c>
      <c r="O47" s="813">
        <v>745.84106399999996</v>
      </c>
      <c r="P47" s="813">
        <v>749.48620600000004</v>
      </c>
      <c r="Q47" s="813">
        <v>755.99523899999997</v>
      </c>
      <c r="R47" s="813">
        <v>762.70117200000004</v>
      </c>
      <c r="S47" s="813">
        <v>768.59222399999999</v>
      </c>
      <c r="T47" s="813">
        <v>778.58056599999998</v>
      </c>
      <c r="U47" s="813">
        <v>785.65197799999999</v>
      </c>
      <c r="V47" s="813">
        <v>794.78002900000001</v>
      </c>
      <c r="W47" s="813">
        <v>805.79211399999997</v>
      </c>
      <c r="X47" s="813">
        <v>817.96929899999998</v>
      </c>
      <c r="Y47" s="813">
        <v>829.81756600000006</v>
      </c>
      <c r="Z47" s="813">
        <v>839.85803199999998</v>
      </c>
      <c r="AA47" s="813">
        <v>845.06530799999996</v>
      </c>
      <c r="AB47" s="813">
        <v>857.05084199999999</v>
      </c>
      <c r="AC47" s="813">
        <v>868.63452099999995</v>
      </c>
      <c r="AD47" s="813">
        <v>879.09667999999999</v>
      </c>
      <c r="AE47" s="813">
        <v>891.08184800000004</v>
      </c>
      <c r="AF47" s="814">
        <v>7.4640000000000001E-3</v>
      </c>
      <c r="AG47" s="802"/>
    </row>
    <row r="48" spans="1:33" ht="12" customHeight="1">
      <c r="A48" s="800" t="s">
        <v>4847</v>
      </c>
      <c r="B48" s="812" t="s">
        <v>4725</v>
      </c>
      <c r="C48" s="813">
        <v>26.987853999999999</v>
      </c>
      <c r="D48" s="813">
        <v>24.288665999999999</v>
      </c>
      <c r="E48" s="813">
        <v>24.613990999999999</v>
      </c>
      <c r="F48" s="813">
        <v>24.992177999999999</v>
      </c>
      <c r="G48" s="813">
        <v>25.527363000000001</v>
      </c>
      <c r="H48" s="813">
        <v>26.123552</v>
      </c>
      <c r="I48" s="813">
        <v>26.689433999999999</v>
      </c>
      <c r="J48" s="813">
        <v>27.187768999999999</v>
      </c>
      <c r="K48" s="813">
        <v>27.608650000000001</v>
      </c>
      <c r="L48" s="813">
        <v>27.992387999999998</v>
      </c>
      <c r="M48" s="813">
        <v>28.428439999999998</v>
      </c>
      <c r="N48" s="813">
        <v>28.802541999999999</v>
      </c>
      <c r="O48" s="813">
        <v>29.137882000000001</v>
      </c>
      <c r="P48" s="813">
        <v>29.456682000000001</v>
      </c>
      <c r="Q48" s="813">
        <v>29.752738999999998</v>
      </c>
      <c r="R48" s="813">
        <v>30.082042999999999</v>
      </c>
      <c r="S48" s="813">
        <v>30.442568000000001</v>
      </c>
      <c r="T48" s="813">
        <v>30.794823000000001</v>
      </c>
      <c r="U48" s="813">
        <v>31.19717</v>
      </c>
      <c r="V48" s="813">
        <v>31.638051999999998</v>
      </c>
      <c r="W48" s="813">
        <v>32.098221000000002</v>
      </c>
      <c r="X48" s="813">
        <v>32.563667000000002</v>
      </c>
      <c r="Y48" s="813">
        <v>33.018546999999998</v>
      </c>
      <c r="Z48" s="813">
        <v>33.457721999999997</v>
      </c>
      <c r="AA48" s="813">
        <v>33.903739999999999</v>
      </c>
      <c r="AB48" s="813">
        <v>34.382446000000002</v>
      </c>
      <c r="AC48" s="813">
        <v>34.834702</v>
      </c>
      <c r="AD48" s="813">
        <v>35.234558</v>
      </c>
      <c r="AE48" s="813">
        <v>35.752777000000002</v>
      </c>
      <c r="AF48" s="814">
        <v>1.0095E-2</v>
      </c>
      <c r="AG48" s="802"/>
    </row>
    <row r="49" spans="1:33" ht="12" customHeight="1">
      <c r="A49" s="800" t="s">
        <v>4848</v>
      </c>
      <c r="B49" s="812" t="s">
        <v>4723</v>
      </c>
      <c r="C49" s="813">
        <v>0</v>
      </c>
      <c r="D49" s="813">
        <v>0</v>
      </c>
      <c r="E49" s="813">
        <v>0</v>
      </c>
      <c r="F49" s="813">
        <v>0</v>
      </c>
      <c r="G49" s="813">
        <v>0</v>
      </c>
      <c r="H49" s="813">
        <v>0</v>
      </c>
      <c r="I49" s="813">
        <v>0</v>
      </c>
      <c r="J49" s="813">
        <v>0</v>
      </c>
      <c r="K49" s="813">
        <v>0</v>
      </c>
      <c r="L49" s="813">
        <v>0</v>
      </c>
      <c r="M49" s="813">
        <v>0</v>
      </c>
      <c r="N49" s="813">
        <v>0</v>
      </c>
      <c r="O49" s="813">
        <v>0</v>
      </c>
      <c r="P49" s="813">
        <v>0</v>
      </c>
      <c r="Q49" s="813">
        <v>0</v>
      </c>
      <c r="R49" s="813">
        <v>0</v>
      </c>
      <c r="S49" s="813">
        <v>0</v>
      </c>
      <c r="T49" s="813">
        <v>0</v>
      </c>
      <c r="U49" s="813">
        <v>0</v>
      </c>
      <c r="V49" s="813">
        <v>0</v>
      </c>
      <c r="W49" s="813">
        <v>0</v>
      </c>
      <c r="X49" s="813">
        <v>0</v>
      </c>
      <c r="Y49" s="813">
        <v>0</v>
      </c>
      <c r="Z49" s="813">
        <v>0</v>
      </c>
      <c r="AA49" s="813">
        <v>0</v>
      </c>
      <c r="AB49" s="813">
        <v>0</v>
      </c>
      <c r="AC49" s="813">
        <v>0</v>
      </c>
      <c r="AD49" s="813">
        <v>0</v>
      </c>
      <c r="AE49" s="813">
        <v>0</v>
      </c>
      <c r="AF49" s="814" t="s">
        <v>2805</v>
      </c>
      <c r="AG49" s="802"/>
    </row>
    <row r="50" spans="1:33" ht="15" customHeight="1">
      <c r="A50" s="800" t="s">
        <v>4849</v>
      </c>
      <c r="B50" s="812" t="s">
        <v>4727</v>
      </c>
      <c r="C50" s="813">
        <v>22.498187999999999</v>
      </c>
      <c r="D50" s="813">
        <v>23.296755000000001</v>
      </c>
      <c r="E50" s="813">
        <v>23.340751999999998</v>
      </c>
      <c r="F50" s="813">
        <v>23.420815999999999</v>
      </c>
      <c r="G50" s="813">
        <v>23.637519999999999</v>
      </c>
      <c r="H50" s="813">
        <v>23.923897</v>
      </c>
      <c r="I50" s="813">
        <v>24.207606999999999</v>
      </c>
      <c r="J50" s="813">
        <v>24.465927000000001</v>
      </c>
      <c r="K50" s="813">
        <v>24.680814999999999</v>
      </c>
      <c r="L50" s="813">
        <v>24.896260999999999</v>
      </c>
      <c r="M50" s="813">
        <v>25.198236000000001</v>
      </c>
      <c r="N50" s="813">
        <v>25.498051</v>
      </c>
      <c r="O50" s="813">
        <v>25.810258999999999</v>
      </c>
      <c r="P50" s="813">
        <v>26.148109000000002</v>
      </c>
      <c r="Q50" s="813">
        <v>26.487228000000002</v>
      </c>
      <c r="R50" s="813">
        <v>26.845226</v>
      </c>
      <c r="S50" s="813">
        <v>27.238707999999999</v>
      </c>
      <c r="T50" s="813">
        <v>27.640181999999999</v>
      </c>
      <c r="U50" s="813">
        <v>28.084177</v>
      </c>
      <c r="V50" s="813">
        <v>28.571149999999999</v>
      </c>
      <c r="W50" s="813">
        <v>29.079685000000001</v>
      </c>
      <c r="X50" s="813">
        <v>29.596512000000001</v>
      </c>
      <c r="Y50" s="813">
        <v>30.118739999999999</v>
      </c>
      <c r="Z50" s="813">
        <v>30.631883999999999</v>
      </c>
      <c r="AA50" s="813">
        <v>31.153828000000001</v>
      </c>
      <c r="AB50" s="813">
        <v>31.714212</v>
      </c>
      <c r="AC50" s="813">
        <v>32.271732</v>
      </c>
      <c r="AD50" s="813">
        <v>32.794750000000001</v>
      </c>
      <c r="AE50" s="813">
        <v>33.406216000000001</v>
      </c>
      <c r="AF50" s="814">
        <v>1.4218E-2</v>
      </c>
      <c r="AG50" s="802"/>
    </row>
    <row r="51" spans="1:33" ht="15" customHeight="1">
      <c r="A51" s="800" t="s">
        <v>4850</v>
      </c>
      <c r="B51" s="812" t="s">
        <v>4729</v>
      </c>
      <c r="C51" s="813">
        <v>481.16271999999998</v>
      </c>
      <c r="D51" s="813">
        <v>473.020081</v>
      </c>
      <c r="E51" s="813">
        <v>468.40234400000003</v>
      </c>
      <c r="F51" s="813">
        <v>465.85537699999998</v>
      </c>
      <c r="G51" s="813">
        <v>467.15124500000002</v>
      </c>
      <c r="H51" s="813">
        <v>470.69781499999999</v>
      </c>
      <c r="I51" s="813">
        <v>474.55328400000002</v>
      </c>
      <c r="J51" s="813">
        <v>477.66479500000003</v>
      </c>
      <c r="K51" s="813">
        <v>479.42474399999998</v>
      </c>
      <c r="L51" s="813">
        <v>481.12664799999999</v>
      </c>
      <c r="M51" s="813">
        <v>484.27246100000002</v>
      </c>
      <c r="N51" s="813">
        <v>486.37252799999999</v>
      </c>
      <c r="O51" s="813">
        <v>489.87109400000003</v>
      </c>
      <c r="P51" s="813">
        <v>494.570404</v>
      </c>
      <c r="Q51" s="813">
        <v>497.45281999999997</v>
      </c>
      <c r="R51" s="813">
        <v>500.88537600000001</v>
      </c>
      <c r="S51" s="813">
        <v>505.28610200000003</v>
      </c>
      <c r="T51" s="813">
        <v>507.87191799999999</v>
      </c>
      <c r="U51" s="813">
        <v>513.37786900000003</v>
      </c>
      <c r="V51" s="813">
        <v>519.17474400000003</v>
      </c>
      <c r="W51" s="813">
        <v>525.02282700000001</v>
      </c>
      <c r="X51" s="813">
        <v>530.56872599999997</v>
      </c>
      <c r="Y51" s="813">
        <v>535.66943400000002</v>
      </c>
      <c r="Z51" s="813">
        <v>541.67755099999999</v>
      </c>
      <c r="AA51" s="813">
        <v>552.39770499999997</v>
      </c>
      <c r="AB51" s="813">
        <v>558.88299600000005</v>
      </c>
      <c r="AC51" s="813">
        <v>564.67559800000004</v>
      </c>
      <c r="AD51" s="813">
        <v>569.75988800000005</v>
      </c>
      <c r="AE51" s="813">
        <v>577.39569100000006</v>
      </c>
      <c r="AF51" s="814">
        <v>6.5329999999999997E-3</v>
      </c>
      <c r="AG51" s="802"/>
    </row>
    <row r="52" spans="1:33" ht="15" customHeight="1">
      <c r="A52" s="800" t="s">
        <v>4851</v>
      </c>
      <c r="B52" s="808" t="s">
        <v>4731</v>
      </c>
      <c r="C52" s="811">
        <v>1329.6577150000001</v>
      </c>
      <c r="D52" s="811">
        <v>1260.335693</v>
      </c>
      <c r="E52" s="811">
        <v>1280.873047</v>
      </c>
      <c r="F52" s="811">
        <v>1284.213013</v>
      </c>
      <c r="G52" s="811">
        <v>1295.7490230000001</v>
      </c>
      <c r="H52" s="811">
        <v>1307.731689</v>
      </c>
      <c r="I52" s="811">
        <v>1316.950928</v>
      </c>
      <c r="J52" s="811">
        <v>1322.7551269999999</v>
      </c>
      <c r="K52" s="811">
        <v>1325.073486</v>
      </c>
      <c r="L52" s="811">
        <v>1326.453857</v>
      </c>
      <c r="M52" s="811">
        <v>1331.841797</v>
      </c>
      <c r="N52" s="811">
        <v>1336.6297609999999</v>
      </c>
      <c r="O52" s="811">
        <v>1343.7436520000001</v>
      </c>
      <c r="P52" s="811">
        <v>1353.2124020000001</v>
      </c>
      <c r="Q52" s="811">
        <v>1363.224121</v>
      </c>
      <c r="R52" s="811">
        <v>1374.2028809999999</v>
      </c>
      <c r="S52" s="811">
        <v>1385.8914789999999</v>
      </c>
      <c r="T52" s="811">
        <v>1398.878784</v>
      </c>
      <c r="U52" s="811">
        <v>1413.0323490000001</v>
      </c>
      <c r="V52" s="811">
        <v>1429.3442379999999</v>
      </c>
      <c r="W52" s="811">
        <v>1447.3710940000001</v>
      </c>
      <c r="X52" s="811">
        <v>1465.828125</v>
      </c>
      <c r="Y52" s="811">
        <v>1483.7333980000001</v>
      </c>
      <c r="Z52" s="811">
        <v>1500.8066409999999</v>
      </c>
      <c r="AA52" s="811">
        <v>1517.6835940000001</v>
      </c>
      <c r="AB52" s="811">
        <v>1537.1685789999999</v>
      </c>
      <c r="AC52" s="811">
        <v>1555.397461</v>
      </c>
      <c r="AD52" s="811">
        <v>1571.604126</v>
      </c>
      <c r="AE52" s="811">
        <v>1592.4361570000001</v>
      </c>
      <c r="AF52" s="810">
        <v>6.4619999999999999E-3</v>
      </c>
      <c r="AG52" s="802"/>
    </row>
    <row r="53" spans="1:33" ht="15" customHeight="1">
      <c r="B53" s="802"/>
      <c r="C53" s="802"/>
      <c r="D53" s="802"/>
      <c r="E53" s="802"/>
      <c r="F53" s="802"/>
      <c r="G53" s="802"/>
      <c r="H53" s="802"/>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2"/>
    </row>
    <row r="54" spans="1:33" ht="15" customHeight="1">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2"/>
    </row>
    <row r="55" spans="1:33" ht="15" customHeight="1">
      <c r="B55" s="808" t="s">
        <v>4242</v>
      </c>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802"/>
      <c r="AE55" s="802"/>
      <c r="AF55" s="802"/>
      <c r="AG55" s="802"/>
    </row>
    <row r="56" spans="1:33" ht="15" customHeight="1">
      <c r="A56" s="800" t="s">
        <v>4852</v>
      </c>
      <c r="B56" s="812" t="s">
        <v>4853</v>
      </c>
      <c r="C56" s="820">
        <v>109.157951</v>
      </c>
      <c r="D56" s="820">
        <v>99.189582999999999</v>
      </c>
      <c r="E56" s="820">
        <v>96.542572000000007</v>
      </c>
      <c r="F56" s="820">
        <v>98.351212000000004</v>
      </c>
      <c r="G56" s="820">
        <v>97.092917999999997</v>
      </c>
      <c r="H56" s="820">
        <v>96.657241999999997</v>
      </c>
      <c r="I56" s="820">
        <v>97.914101000000002</v>
      </c>
      <c r="J56" s="820">
        <v>99.570167999999995</v>
      </c>
      <c r="K56" s="820">
        <v>100.326973</v>
      </c>
      <c r="L56" s="820">
        <v>100.708099</v>
      </c>
      <c r="M56" s="820">
        <v>101.90055099999999</v>
      </c>
      <c r="N56" s="820">
        <v>103.34674800000001</v>
      </c>
      <c r="O56" s="820">
        <v>105.10797100000001</v>
      </c>
      <c r="P56" s="820">
        <v>106.07505</v>
      </c>
      <c r="Q56" s="820">
        <v>105.740578</v>
      </c>
      <c r="R56" s="820">
        <v>106.268326</v>
      </c>
      <c r="S56" s="820">
        <v>106.630623</v>
      </c>
      <c r="T56" s="820">
        <v>107.17532300000001</v>
      </c>
      <c r="U56" s="820">
        <v>108.014572</v>
      </c>
      <c r="V56" s="820">
        <v>109.217476</v>
      </c>
      <c r="W56" s="820">
        <v>110.19882200000001</v>
      </c>
      <c r="X56" s="820">
        <v>110.84369700000001</v>
      </c>
      <c r="Y56" s="820">
        <v>110.92272199999999</v>
      </c>
      <c r="Z56" s="820">
        <v>110.26979799999999</v>
      </c>
      <c r="AA56" s="820">
        <v>109.84787799999999</v>
      </c>
      <c r="AB56" s="820">
        <v>109.98687700000001</v>
      </c>
      <c r="AC56" s="820">
        <v>109.763977</v>
      </c>
      <c r="AD56" s="820">
        <v>109.85477400000001</v>
      </c>
      <c r="AE56" s="820">
        <v>111.003975</v>
      </c>
      <c r="AF56" s="814">
        <v>5.9900000000000003E-4</v>
      </c>
      <c r="AG56" s="802"/>
    </row>
    <row r="57" spans="1:33" ht="15" customHeight="1">
      <c r="A57" s="800" t="s">
        <v>4854</v>
      </c>
      <c r="B57" s="812" t="s">
        <v>4855</v>
      </c>
      <c r="C57" s="820">
        <v>254.56864899999999</v>
      </c>
      <c r="D57" s="820">
        <v>249.40261799999999</v>
      </c>
      <c r="E57" s="820">
        <v>247.59620699999999</v>
      </c>
      <c r="F57" s="820">
        <v>251.19984400000001</v>
      </c>
      <c r="G57" s="820">
        <v>257.79541</v>
      </c>
      <c r="H57" s="820">
        <v>263.61346400000002</v>
      </c>
      <c r="I57" s="820">
        <v>268.53961199999998</v>
      </c>
      <c r="J57" s="820">
        <v>273.15313700000002</v>
      </c>
      <c r="K57" s="820">
        <v>277.04922499999998</v>
      </c>
      <c r="L57" s="820">
        <v>281.63604700000002</v>
      </c>
      <c r="M57" s="820">
        <v>287.50537100000003</v>
      </c>
      <c r="N57" s="820">
        <v>292.88174400000003</v>
      </c>
      <c r="O57" s="820">
        <v>297.91622899999999</v>
      </c>
      <c r="P57" s="820">
        <v>303.86456299999998</v>
      </c>
      <c r="Q57" s="820">
        <v>309.03872699999999</v>
      </c>
      <c r="R57" s="820">
        <v>314.230591</v>
      </c>
      <c r="S57" s="820">
        <v>319.516479</v>
      </c>
      <c r="T57" s="820">
        <v>324.26388500000002</v>
      </c>
      <c r="U57" s="820">
        <v>329.411224</v>
      </c>
      <c r="V57" s="820">
        <v>335.37335200000001</v>
      </c>
      <c r="W57" s="820">
        <v>341.05621300000001</v>
      </c>
      <c r="X57" s="820">
        <v>347.279449</v>
      </c>
      <c r="Y57" s="820">
        <v>352.69454999999999</v>
      </c>
      <c r="Z57" s="820">
        <v>357.66485599999999</v>
      </c>
      <c r="AA57" s="820">
        <v>363.25119000000001</v>
      </c>
      <c r="AB57" s="820">
        <v>369.17843599999998</v>
      </c>
      <c r="AC57" s="820">
        <v>374.38232399999998</v>
      </c>
      <c r="AD57" s="820">
        <v>379.796875</v>
      </c>
      <c r="AE57" s="820">
        <v>387.68673699999999</v>
      </c>
      <c r="AF57" s="814">
        <v>1.5136E-2</v>
      </c>
      <c r="AG57" s="802"/>
    </row>
    <row r="58" spans="1:33" ht="15" customHeight="1">
      <c r="A58" s="800" t="s">
        <v>4856</v>
      </c>
      <c r="B58" s="812" t="s">
        <v>4857</v>
      </c>
      <c r="C58" s="820">
        <v>1231.2298579999999</v>
      </c>
      <c r="D58" s="820">
        <v>1223.403564</v>
      </c>
      <c r="E58" s="820">
        <v>1223.0042719999999</v>
      </c>
      <c r="F58" s="820">
        <v>1225.4499510000001</v>
      </c>
      <c r="G58" s="820">
        <v>1238.0627440000001</v>
      </c>
      <c r="H58" s="820">
        <v>1255.5458980000001</v>
      </c>
      <c r="I58" s="820">
        <v>1272.4782709999999</v>
      </c>
      <c r="J58" s="820">
        <v>1287.2457280000001</v>
      </c>
      <c r="K58" s="820">
        <v>1298.7993160000001</v>
      </c>
      <c r="L58" s="820">
        <v>1310.133789</v>
      </c>
      <c r="M58" s="820">
        <v>1326.9229740000001</v>
      </c>
      <c r="N58" s="820">
        <v>1343.1523440000001</v>
      </c>
      <c r="O58" s="820">
        <v>1360.0668949999999</v>
      </c>
      <c r="P58" s="820">
        <v>1378.600586</v>
      </c>
      <c r="Q58" s="820">
        <v>1397.1152340000001</v>
      </c>
      <c r="R58" s="820">
        <v>1417.141846</v>
      </c>
      <c r="S58" s="820">
        <v>1439.143433</v>
      </c>
      <c r="T58" s="820">
        <v>1461.4449460000001</v>
      </c>
      <c r="U58" s="820">
        <v>1486.2993160000001</v>
      </c>
      <c r="V58" s="820">
        <v>1513.6733400000001</v>
      </c>
      <c r="W58" s="820">
        <v>1542.3984379999999</v>
      </c>
      <c r="X58" s="820">
        <v>1571.486572</v>
      </c>
      <c r="Y58" s="820">
        <v>1600.4545900000001</v>
      </c>
      <c r="Z58" s="820">
        <v>1628.5792240000001</v>
      </c>
      <c r="AA58" s="820">
        <v>1657.036255</v>
      </c>
      <c r="AB58" s="820">
        <v>1687.643433</v>
      </c>
      <c r="AC58" s="820">
        <v>1717.4841309999999</v>
      </c>
      <c r="AD58" s="820">
        <v>1744.647095</v>
      </c>
      <c r="AE58" s="820">
        <v>1777.666626</v>
      </c>
      <c r="AF58" s="814">
        <v>1.3204E-2</v>
      </c>
      <c r="AG58" s="802"/>
    </row>
    <row r="59" spans="1:33" ht="15" customHeight="1">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row>
    <row r="60" spans="1:33" ht="15" customHeight="1">
      <c r="B60" s="808" t="s">
        <v>4388</v>
      </c>
      <c r="C60" s="802"/>
      <c r="D60" s="802"/>
      <c r="E60" s="802"/>
      <c r="F60" s="802"/>
      <c r="G60" s="802"/>
      <c r="H60" s="802"/>
      <c r="I60" s="802"/>
      <c r="J60" s="802"/>
      <c r="K60" s="802"/>
      <c r="L60" s="802"/>
      <c r="M60" s="802"/>
      <c r="N60" s="802"/>
      <c r="O60" s="802"/>
      <c r="P60" s="802"/>
      <c r="Q60" s="802"/>
      <c r="R60" s="802"/>
      <c r="S60" s="802"/>
      <c r="T60" s="802"/>
      <c r="U60" s="802"/>
      <c r="V60" s="802"/>
      <c r="W60" s="802"/>
      <c r="X60" s="802"/>
      <c r="Y60" s="802"/>
      <c r="Z60" s="802"/>
      <c r="AA60" s="802"/>
      <c r="AB60" s="802"/>
      <c r="AC60" s="802"/>
      <c r="AD60" s="802"/>
      <c r="AE60" s="802"/>
      <c r="AF60" s="802"/>
      <c r="AG60" s="802"/>
    </row>
    <row r="61" spans="1:33" ht="15" customHeight="1">
      <c r="B61" s="808" t="s">
        <v>4389</v>
      </c>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row>
    <row r="62" spans="1:33" ht="15" customHeight="1">
      <c r="A62" s="800" t="s">
        <v>4858</v>
      </c>
      <c r="B62" s="812" t="s">
        <v>4853</v>
      </c>
      <c r="C62" s="815">
        <v>3.903492</v>
      </c>
      <c r="D62" s="815">
        <v>4.1981630000000001</v>
      </c>
      <c r="E62" s="815">
        <v>4.2317280000000004</v>
      </c>
      <c r="F62" s="815">
        <v>4.2490079999999999</v>
      </c>
      <c r="G62" s="815">
        <v>4.2874829999999999</v>
      </c>
      <c r="H62" s="815">
        <v>4.3209200000000001</v>
      </c>
      <c r="I62" s="815">
        <v>4.3414910000000004</v>
      </c>
      <c r="J62" s="815">
        <v>4.3510879999999998</v>
      </c>
      <c r="K62" s="815">
        <v>4.355963</v>
      </c>
      <c r="L62" s="815">
        <v>4.3670479999999996</v>
      </c>
      <c r="M62" s="815">
        <v>4.3769780000000003</v>
      </c>
      <c r="N62" s="815">
        <v>4.3811020000000003</v>
      </c>
      <c r="O62" s="815">
        <v>4.3818270000000004</v>
      </c>
      <c r="P62" s="815">
        <v>4.3837299999999999</v>
      </c>
      <c r="Q62" s="815">
        <v>4.3877389999999998</v>
      </c>
      <c r="R62" s="815">
        <v>4.3953420000000003</v>
      </c>
      <c r="S62" s="815">
        <v>4.4043780000000003</v>
      </c>
      <c r="T62" s="815">
        <v>4.4140730000000001</v>
      </c>
      <c r="U62" s="815">
        <v>4.4237989999999998</v>
      </c>
      <c r="V62" s="815">
        <v>4.4345670000000004</v>
      </c>
      <c r="W62" s="815">
        <v>4.4458900000000003</v>
      </c>
      <c r="X62" s="815">
        <v>4.4534310000000001</v>
      </c>
      <c r="Y62" s="815">
        <v>4.4646229999999996</v>
      </c>
      <c r="Z62" s="815">
        <v>4.4834339999999999</v>
      </c>
      <c r="AA62" s="815">
        <v>4.5019080000000002</v>
      </c>
      <c r="AB62" s="815">
        <v>4.5181060000000004</v>
      </c>
      <c r="AC62" s="815">
        <v>4.535209</v>
      </c>
      <c r="AD62" s="815">
        <v>4.5490950000000003</v>
      </c>
      <c r="AE62" s="815">
        <v>4.5606220000000004</v>
      </c>
      <c r="AF62" s="814">
        <v>5.5719999999999997E-3</v>
      </c>
      <c r="AG62" s="802"/>
    </row>
    <row r="63" spans="1:33" ht="15" customHeight="1">
      <c r="A63" s="800" t="s">
        <v>4859</v>
      </c>
      <c r="B63" s="812" t="s">
        <v>4855</v>
      </c>
      <c r="C63" s="815">
        <v>0.94113800000000003</v>
      </c>
      <c r="D63" s="815">
        <v>0.96128599999999997</v>
      </c>
      <c r="E63" s="815">
        <v>0.97444600000000003</v>
      </c>
      <c r="F63" s="815">
        <v>0.97337899999999999</v>
      </c>
      <c r="G63" s="815">
        <v>0.96973799999999999</v>
      </c>
      <c r="H63" s="815">
        <v>0.96451399999999998</v>
      </c>
      <c r="I63" s="815">
        <v>0.95769000000000004</v>
      </c>
      <c r="J63" s="815">
        <v>0.94965200000000005</v>
      </c>
      <c r="K63" s="815">
        <v>0.94107300000000005</v>
      </c>
      <c r="L63" s="815">
        <v>0.93195899999999998</v>
      </c>
      <c r="M63" s="815">
        <v>0.92246799999999995</v>
      </c>
      <c r="N63" s="815">
        <v>0.91296100000000002</v>
      </c>
      <c r="O63" s="815">
        <v>0.90598900000000004</v>
      </c>
      <c r="P63" s="815">
        <v>0.89958899999999997</v>
      </c>
      <c r="Q63" s="815">
        <v>0.89278800000000003</v>
      </c>
      <c r="R63" s="815">
        <v>0.88517299999999999</v>
      </c>
      <c r="S63" s="815">
        <v>0.87729999999999997</v>
      </c>
      <c r="T63" s="815">
        <v>0.87110100000000001</v>
      </c>
      <c r="U63" s="815">
        <v>0.86392999999999998</v>
      </c>
      <c r="V63" s="815">
        <v>0.85691099999999998</v>
      </c>
      <c r="W63" s="815">
        <v>0.85118099999999997</v>
      </c>
      <c r="X63" s="815">
        <v>0.84567199999999998</v>
      </c>
      <c r="Y63" s="815">
        <v>0.84040400000000004</v>
      </c>
      <c r="Z63" s="815">
        <v>0.83529699999999996</v>
      </c>
      <c r="AA63" s="815">
        <v>0.82953100000000002</v>
      </c>
      <c r="AB63" s="815">
        <v>0.82474899999999995</v>
      </c>
      <c r="AC63" s="815">
        <v>0.82007600000000003</v>
      </c>
      <c r="AD63" s="815">
        <v>0.81563099999999999</v>
      </c>
      <c r="AE63" s="815">
        <v>0.81068899999999999</v>
      </c>
      <c r="AF63" s="814">
        <v>-5.3150000000000003E-3</v>
      </c>
      <c r="AG63" s="802"/>
    </row>
    <row r="64" spans="1:33" ht="15" customHeight="1">
      <c r="A64" s="800" t="s">
        <v>4860</v>
      </c>
      <c r="B64" s="812" t="s">
        <v>4857</v>
      </c>
      <c r="C64" s="815">
        <v>1.0799430000000001</v>
      </c>
      <c r="D64" s="815">
        <v>1.0301880000000001</v>
      </c>
      <c r="E64" s="815">
        <v>1.0473170000000001</v>
      </c>
      <c r="F64" s="815">
        <v>1.047952</v>
      </c>
      <c r="G64" s="815">
        <v>1.046594</v>
      </c>
      <c r="H64" s="815">
        <v>1.0415639999999999</v>
      </c>
      <c r="I64" s="815">
        <v>1.03495</v>
      </c>
      <c r="J64" s="815">
        <v>1.0275860000000001</v>
      </c>
      <c r="K64" s="815">
        <v>1.02023</v>
      </c>
      <c r="L64" s="815">
        <v>1.0124569999999999</v>
      </c>
      <c r="M64" s="815">
        <v>1.0037069999999999</v>
      </c>
      <c r="N64" s="815">
        <v>0.99514400000000003</v>
      </c>
      <c r="O64" s="815">
        <v>0.98799800000000004</v>
      </c>
      <c r="P64" s="815">
        <v>0.98158400000000001</v>
      </c>
      <c r="Q64" s="815">
        <v>0.975742</v>
      </c>
      <c r="R64" s="815">
        <v>0.96970000000000001</v>
      </c>
      <c r="S64" s="815">
        <v>0.96299699999999999</v>
      </c>
      <c r="T64" s="815">
        <v>0.95718899999999996</v>
      </c>
      <c r="U64" s="815">
        <v>0.95070500000000002</v>
      </c>
      <c r="V64" s="815">
        <v>0.94428800000000002</v>
      </c>
      <c r="W64" s="815">
        <v>0.93838999999999995</v>
      </c>
      <c r="X64" s="815">
        <v>0.93276499999999996</v>
      </c>
      <c r="Y64" s="815">
        <v>0.92706999999999995</v>
      </c>
      <c r="Z64" s="815">
        <v>0.92154400000000003</v>
      </c>
      <c r="AA64" s="815">
        <v>0.91590199999999999</v>
      </c>
      <c r="AB64" s="815">
        <v>0.91083700000000001</v>
      </c>
      <c r="AC64" s="815">
        <v>0.90562600000000004</v>
      </c>
      <c r="AD64" s="815">
        <v>0.90081500000000003</v>
      </c>
      <c r="AE64" s="815">
        <v>0.89580099999999996</v>
      </c>
      <c r="AF64" s="814">
        <v>-6.6540000000000002E-3</v>
      </c>
      <c r="AG64" s="802"/>
    </row>
    <row r="65" spans="1:33" ht="15" customHeight="1">
      <c r="B65" s="802"/>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row>
    <row r="66" spans="1:33" ht="15" customHeight="1">
      <c r="B66" s="808" t="s">
        <v>4861</v>
      </c>
      <c r="C66" s="802"/>
      <c r="D66" s="802"/>
      <c r="E66" s="802"/>
      <c r="F66" s="802"/>
      <c r="G66" s="802"/>
      <c r="H66" s="802"/>
      <c r="I66" s="802"/>
      <c r="J66" s="802"/>
      <c r="K66" s="802"/>
      <c r="L66" s="802"/>
      <c r="M66" s="802"/>
      <c r="N66" s="802"/>
      <c r="O66" s="802"/>
      <c r="P66" s="802"/>
      <c r="Q66" s="802"/>
      <c r="R66" s="802"/>
      <c r="S66" s="802"/>
      <c r="T66" s="802"/>
      <c r="U66" s="802"/>
      <c r="V66" s="802"/>
      <c r="W66" s="802"/>
      <c r="X66" s="802"/>
      <c r="Y66" s="802"/>
      <c r="Z66" s="802"/>
      <c r="AA66" s="802"/>
      <c r="AB66" s="802"/>
      <c r="AC66" s="802"/>
      <c r="AD66" s="802"/>
      <c r="AE66" s="802"/>
      <c r="AF66" s="802"/>
      <c r="AG66" s="802"/>
    </row>
    <row r="67" spans="1:33" ht="12" customHeight="1">
      <c r="B67" s="808" t="s">
        <v>4792</v>
      </c>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row>
    <row r="68" spans="1:33" ht="15" customHeight="1">
      <c r="A68" s="800" t="s">
        <v>4862</v>
      </c>
      <c r="B68" s="812" t="s">
        <v>4853</v>
      </c>
      <c r="C68" s="820">
        <v>10.960661</v>
      </c>
      <c r="D68" s="820">
        <v>9.9337920000000004</v>
      </c>
      <c r="E68" s="820">
        <v>9.7502379999999995</v>
      </c>
      <c r="F68" s="820">
        <v>9.4228369999999995</v>
      </c>
      <c r="G68" s="820">
        <v>8.7661689999999997</v>
      </c>
      <c r="H68" s="820">
        <v>8.1381549999999994</v>
      </c>
      <c r="I68" s="820">
        <v>7.7143740000000003</v>
      </c>
      <c r="J68" s="820">
        <v>7.4132110000000004</v>
      </c>
      <c r="K68" s="820">
        <v>7.1299599999999996</v>
      </c>
      <c r="L68" s="820">
        <v>6.9842089999999999</v>
      </c>
      <c r="M68" s="820">
        <v>6.9250670000000003</v>
      </c>
      <c r="N68" s="820">
        <v>6.9339110000000002</v>
      </c>
      <c r="O68" s="820">
        <v>6.9010670000000003</v>
      </c>
      <c r="P68" s="820">
        <v>6.8638120000000002</v>
      </c>
      <c r="Q68" s="820">
        <v>6.7540110000000002</v>
      </c>
      <c r="R68" s="820">
        <v>6.7072139999999996</v>
      </c>
      <c r="S68" s="820">
        <v>6.6530209999999999</v>
      </c>
      <c r="T68" s="820">
        <v>6.6376499999999998</v>
      </c>
      <c r="U68" s="820">
        <v>6.6465059999999996</v>
      </c>
      <c r="V68" s="820">
        <v>6.7103780000000004</v>
      </c>
      <c r="W68" s="820">
        <v>6.7582209999999998</v>
      </c>
      <c r="X68" s="820">
        <v>6.7377510000000003</v>
      </c>
      <c r="Y68" s="820">
        <v>6.6530670000000001</v>
      </c>
      <c r="Z68" s="820">
        <v>6.6023019999999999</v>
      </c>
      <c r="AA68" s="820">
        <v>6.5301869999999997</v>
      </c>
      <c r="AB68" s="820">
        <v>6.5204550000000001</v>
      </c>
      <c r="AC68" s="820">
        <v>6.4876399999999999</v>
      </c>
      <c r="AD68" s="820">
        <v>6.4673369999999997</v>
      </c>
      <c r="AE68" s="820">
        <v>6.476966</v>
      </c>
      <c r="AF68" s="814">
        <v>-1.8613000000000001E-2</v>
      </c>
      <c r="AG68" s="802"/>
    </row>
    <row r="69" spans="1:33" ht="15" customHeight="1">
      <c r="A69" s="800" t="s">
        <v>4863</v>
      </c>
      <c r="B69" s="812" t="s">
        <v>4855</v>
      </c>
      <c r="C69" s="820">
        <v>22.758980000000001</v>
      </c>
      <c r="D69" s="820">
        <v>21.798242999999999</v>
      </c>
      <c r="E69" s="820">
        <v>21.634739</v>
      </c>
      <c r="F69" s="820">
        <v>20.593081999999999</v>
      </c>
      <c r="G69" s="820">
        <v>19.116161000000002</v>
      </c>
      <c r="H69" s="820">
        <v>17.612241999999998</v>
      </c>
      <c r="I69" s="820">
        <v>16.205503</v>
      </c>
      <c r="J69" s="820">
        <v>15.188501</v>
      </c>
      <c r="K69" s="820">
        <v>14.403648</v>
      </c>
      <c r="L69" s="820">
        <v>14.121975000000001</v>
      </c>
      <c r="M69" s="820">
        <v>14.007547000000001</v>
      </c>
      <c r="N69" s="820">
        <v>14.105764000000001</v>
      </c>
      <c r="O69" s="820">
        <v>14.029839000000001</v>
      </c>
      <c r="P69" s="820">
        <v>14.131392999999999</v>
      </c>
      <c r="Q69" s="820">
        <v>14.200638</v>
      </c>
      <c r="R69" s="820">
        <v>14.181547</v>
      </c>
      <c r="S69" s="820">
        <v>14.114490999999999</v>
      </c>
      <c r="T69" s="820">
        <v>14.123339</v>
      </c>
      <c r="U69" s="820">
        <v>14.169612000000001</v>
      </c>
      <c r="V69" s="820">
        <v>14.322108999999999</v>
      </c>
      <c r="W69" s="820">
        <v>14.462239</v>
      </c>
      <c r="X69" s="820">
        <v>14.539654000000001</v>
      </c>
      <c r="Y69" s="820">
        <v>14.486478</v>
      </c>
      <c r="Z69" s="820">
        <v>14.443937999999999</v>
      </c>
      <c r="AA69" s="820">
        <v>14.360987</v>
      </c>
      <c r="AB69" s="820">
        <v>14.417532</v>
      </c>
      <c r="AC69" s="820">
        <v>14.4107</v>
      </c>
      <c r="AD69" s="820">
        <v>14.444580999999999</v>
      </c>
      <c r="AE69" s="820">
        <v>14.498022000000001</v>
      </c>
      <c r="AF69" s="814">
        <v>-1.5976000000000001E-2</v>
      </c>
      <c r="AG69" s="802"/>
    </row>
    <row r="70" spans="1:33" ht="15" customHeight="1">
      <c r="A70" s="800" t="s">
        <v>4864</v>
      </c>
      <c r="B70" s="812" t="s">
        <v>4857</v>
      </c>
      <c r="C70" s="820">
        <v>101.469894</v>
      </c>
      <c r="D70" s="820">
        <v>93.776764</v>
      </c>
      <c r="E70" s="820">
        <v>94.132248000000004</v>
      </c>
      <c r="F70" s="820">
        <v>90.327376999999998</v>
      </c>
      <c r="G70" s="820">
        <v>85.725753999999995</v>
      </c>
      <c r="H70" s="820">
        <v>81.509628000000006</v>
      </c>
      <c r="I70" s="820">
        <v>77.747314000000003</v>
      </c>
      <c r="J70" s="820">
        <v>74.932120999999995</v>
      </c>
      <c r="K70" s="820">
        <v>72.735664</v>
      </c>
      <c r="L70" s="820">
        <v>71.766471999999993</v>
      </c>
      <c r="M70" s="820">
        <v>71.326751999999999</v>
      </c>
      <c r="N70" s="820">
        <v>71.471763999999993</v>
      </c>
      <c r="O70" s="820">
        <v>71.221344000000002</v>
      </c>
      <c r="P70" s="820">
        <v>71.439635999999993</v>
      </c>
      <c r="Q70" s="820">
        <v>71.743606999999997</v>
      </c>
      <c r="R70" s="820">
        <v>71.989906000000005</v>
      </c>
      <c r="S70" s="820">
        <v>72.165465999999995</v>
      </c>
      <c r="T70" s="820">
        <v>72.560135000000002</v>
      </c>
      <c r="U70" s="820">
        <v>73.131576999999993</v>
      </c>
      <c r="V70" s="820">
        <v>74.016754000000006</v>
      </c>
      <c r="W70" s="820">
        <v>74.924674999999993</v>
      </c>
      <c r="X70" s="820">
        <v>75.604804999999999</v>
      </c>
      <c r="Y70" s="820">
        <v>76.018066000000005</v>
      </c>
      <c r="Z70" s="820">
        <v>76.423209999999997</v>
      </c>
      <c r="AA70" s="820">
        <v>76.568779000000006</v>
      </c>
      <c r="AB70" s="820">
        <v>77.233742000000007</v>
      </c>
      <c r="AC70" s="820">
        <v>77.718818999999996</v>
      </c>
      <c r="AD70" s="820">
        <v>78.252632000000006</v>
      </c>
      <c r="AE70" s="820">
        <v>78.781959999999998</v>
      </c>
      <c r="AF70" s="814">
        <v>-8.9980000000000008E-3</v>
      </c>
      <c r="AG70" s="802"/>
    </row>
    <row r="71" spans="1:33" ht="15" customHeight="1">
      <c r="B71" s="802"/>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1:33" ht="15" customHeight="1">
      <c r="B72" s="802"/>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1:33" ht="15" customHeight="1">
      <c r="B73" s="808" t="s">
        <v>4865</v>
      </c>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row>
    <row r="74" spans="1:33" ht="15" customHeight="1">
      <c r="B74" s="802"/>
      <c r="C74" s="802"/>
      <c r="D74" s="802"/>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802"/>
      <c r="AF74" s="802"/>
      <c r="AG74" s="802"/>
    </row>
    <row r="75" spans="1:33" ht="12" customHeight="1">
      <c r="B75" s="808" t="s">
        <v>4866</v>
      </c>
      <c r="C75" s="802"/>
      <c r="D75" s="802"/>
      <c r="E75" s="802"/>
      <c r="F75" s="802"/>
      <c r="G75" s="802"/>
      <c r="H75" s="802"/>
      <c r="I75" s="802"/>
      <c r="J75" s="802"/>
      <c r="K75" s="802"/>
      <c r="L75" s="802"/>
      <c r="M75" s="802"/>
      <c r="N75" s="802"/>
      <c r="O75" s="802"/>
      <c r="P75" s="802"/>
      <c r="Q75" s="802"/>
      <c r="R75" s="802"/>
      <c r="S75" s="802"/>
      <c r="T75" s="802"/>
      <c r="U75" s="802"/>
      <c r="V75" s="802"/>
      <c r="W75" s="802"/>
      <c r="X75" s="802"/>
      <c r="Y75" s="802"/>
      <c r="Z75" s="802"/>
      <c r="AA75" s="802"/>
      <c r="AB75" s="802"/>
      <c r="AC75" s="802"/>
      <c r="AD75" s="802"/>
      <c r="AE75" s="802"/>
      <c r="AF75" s="802"/>
      <c r="AG75" s="802"/>
    </row>
    <row r="76" spans="1:33" ht="15" customHeight="1">
      <c r="B76" s="808" t="s">
        <v>4403</v>
      </c>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row>
    <row r="77" spans="1:33" ht="15" customHeight="1">
      <c r="A77" s="800" t="s">
        <v>4867</v>
      </c>
      <c r="B77" s="812" t="s">
        <v>4323</v>
      </c>
      <c r="C77" s="815">
        <v>3.7499999999999999E-2</v>
      </c>
      <c r="D77" s="815">
        <v>3.7499999999999999E-2</v>
      </c>
      <c r="E77" s="815">
        <v>3.7499999999999999E-2</v>
      </c>
      <c r="F77" s="815">
        <v>3.7499999999999999E-2</v>
      </c>
      <c r="G77" s="815">
        <v>3.7499999999999999E-2</v>
      </c>
      <c r="H77" s="815">
        <v>3.7499999999999999E-2</v>
      </c>
      <c r="I77" s="815">
        <v>3.7499999999999999E-2</v>
      </c>
      <c r="J77" s="815">
        <v>3.7499999999999999E-2</v>
      </c>
      <c r="K77" s="815">
        <v>3.7499999999999999E-2</v>
      </c>
      <c r="L77" s="815">
        <v>3.7499999999999999E-2</v>
      </c>
      <c r="M77" s="815">
        <v>3.7499999999999999E-2</v>
      </c>
      <c r="N77" s="815">
        <v>3.7499999999999999E-2</v>
      </c>
      <c r="O77" s="815">
        <v>3.7499999999999999E-2</v>
      </c>
      <c r="P77" s="815">
        <v>3.7499999999999999E-2</v>
      </c>
      <c r="Q77" s="815">
        <v>3.7499999999999999E-2</v>
      </c>
      <c r="R77" s="815">
        <v>3.7499999999999999E-2</v>
      </c>
      <c r="S77" s="815">
        <v>3.7499999999999999E-2</v>
      </c>
      <c r="T77" s="815">
        <v>3.7499999999999999E-2</v>
      </c>
      <c r="U77" s="815">
        <v>3.7499999999999999E-2</v>
      </c>
      <c r="V77" s="815">
        <v>3.7499999999999999E-2</v>
      </c>
      <c r="W77" s="815">
        <v>3.7499999999999999E-2</v>
      </c>
      <c r="X77" s="815">
        <v>3.7499999999999999E-2</v>
      </c>
      <c r="Y77" s="815">
        <v>3.7499999999999999E-2</v>
      </c>
      <c r="Z77" s="815">
        <v>3.7499999999999999E-2</v>
      </c>
      <c r="AA77" s="815">
        <v>3.7499999999999999E-2</v>
      </c>
      <c r="AB77" s="815">
        <v>3.7499999999999999E-2</v>
      </c>
      <c r="AC77" s="815">
        <v>3.7499999999999999E-2</v>
      </c>
      <c r="AD77" s="815">
        <v>3.7499999999999999E-2</v>
      </c>
      <c r="AE77" s="815">
        <v>3.7499999999999999E-2</v>
      </c>
      <c r="AF77" s="814">
        <v>0</v>
      </c>
      <c r="AG77" s="802"/>
    </row>
    <row r="78" spans="1:33" ht="15" customHeight="1">
      <c r="A78" s="800" t="s">
        <v>4868</v>
      </c>
      <c r="B78" s="812" t="s">
        <v>4297</v>
      </c>
      <c r="C78" s="815">
        <v>0.31029099999999998</v>
      </c>
      <c r="D78" s="815">
        <v>0.32133899999999999</v>
      </c>
      <c r="E78" s="815">
        <v>0.32917400000000002</v>
      </c>
      <c r="F78" s="815">
        <v>0.33380700000000002</v>
      </c>
      <c r="G78" s="815">
        <v>0.33823900000000001</v>
      </c>
      <c r="H78" s="815">
        <v>0.34260200000000002</v>
      </c>
      <c r="I78" s="815">
        <v>0.34711199999999998</v>
      </c>
      <c r="J78" s="815">
        <v>0.35186899999999999</v>
      </c>
      <c r="K78" s="815">
        <v>0.35694199999999998</v>
      </c>
      <c r="L78" s="815">
        <v>0.36238799999999999</v>
      </c>
      <c r="M78" s="815">
        <v>0.368309</v>
      </c>
      <c r="N78" s="815">
        <v>0.37491400000000003</v>
      </c>
      <c r="O78" s="815">
        <v>0.382355</v>
      </c>
      <c r="P78" s="815">
        <v>0.39042700000000002</v>
      </c>
      <c r="Q78" s="815">
        <v>0.39923500000000001</v>
      </c>
      <c r="R78" s="815">
        <v>0.40866799999999998</v>
      </c>
      <c r="S78" s="815">
        <v>0.41880800000000001</v>
      </c>
      <c r="T78" s="815">
        <v>0.42959000000000003</v>
      </c>
      <c r="U78" s="815">
        <v>0.44116699999999998</v>
      </c>
      <c r="V78" s="815">
        <v>0.45362400000000003</v>
      </c>
      <c r="W78" s="815">
        <v>0.46686299999999997</v>
      </c>
      <c r="X78" s="815">
        <v>0.480904</v>
      </c>
      <c r="Y78" s="815">
        <v>0.495612</v>
      </c>
      <c r="Z78" s="815">
        <v>0.51062600000000002</v>
      </c>
      <c r="AA78" s="815">
        <v>0.52383299999999999</v>
      </c>
      <c r="AB78" s="815">
        <v>0.53753799999999996</v>
      </c>
      <c r="AC78" s="815">
        <v>0.55184999999999995</v>
      </c>
      <c r="AD78" s="815">
        <v>0.56676499999999996</v>
      </c>
      <c r="AE78" s="815">
        <v>0.58243800000000001</v>
      </c>
      <c r="AF78" s="814">
        <v>2.2745000000000001E-2</v>
      </c>
      <c r="AG78" s="802"/>
    </row>
    <row r="79" spans="1:33" ht="15" customHeight="1">
      <c r="A79" s="800" t="s">
        <v>4869</v>
      </c>
      <c r="B79" s="812" t="s">
        <v>4326</v>
      </c>
      <c r="C79" s="815">
        <v>0</v>
      </c>
      <c r="D79" s="815">
        <v>0</v>
      </c>
      <c r="E79" s="815">
        <v>0</v>
      </c>
      <c r="F79" s="815">
        <v>0</v>
      </c>
      <c r="G79" s="815">
        <v>0</v>
      </c>
      <c r="H79" s="815">
        <v>0</v>
      </c>
      <c r="I79" s="815">
        <v>0</v>
      </c>
      <c r="J79" s="815">
        <v>0</v>
      </c>
      <c r="K79" s="815">
        <v>0</v>
      </c>
      <c r="L79" s="815">
        <v>0</v>
      </c>
      <c r="M79" s="815">
        <v>0</v>
      </c>
      <c r="N79" s="815">
        <v>0</v>
      </c>
      <c r="O79" s="815">
        <v>0</v>
      </c>
      <c r="P79" s="815">
        <v>0</v>
      </c>
      <c r="Q79" s="815">
        <v>0</v>
      </c>
      <c r="R79" s="815">
        <v>0</v>
      </c>
      <c r="S79" s="815">
        <v>0</v>
      </c>
      <c r="T79" s="815">
        <v>0</v>
      </c>
      <c r="U79" s="815">
        <v>0</v>
      </c>
      <c r="V79" s="815">
        <v>0</v>
      </c>
      <c r="W79" s="815">
        <v>0</v>
      </c>
      <c r="X79" s="815">
        <v>0</v>
      </c>
      <c r="Y79" s="815">
        <v>0</v>
      </c>
      <c r="Z79" s="815">
        <v>0</v>
      </c>
      <c r="AA79" s="815">
        <v>0</v>
      </c>
      <c r="AB79" s="815">
        <v>0</v>
      </c>
      <c r="AC79" s="815">
        <v>0</v>
      </c>
      <c r="AD79" s="815">
        <v>0</v>
      </c>
      <c r="AE79" s="815">
        <v>0</v>
      </c>
      <c r="AF79" s="814" t="s">
        <v>2805</v>
      </c>
      <c r="AG79" s="802"/>
    </row>
    <row r="80" spans="1:33" ht="15" customHeight="1">
      <c r="A80" s="800" t="s">
        <v>4870</v>
      </c>
      <c r="B80" s="812" t="s">
        <v>4408</v>
      </c>
      <c r="C80" s="815">
        <v>0.371</v>
      </c>
      <c r="D80" s="815">
        <v>0.371</v>
      </c>
      <c r="E80" s="815">
        <v>0.371</v>
      </c>
      <c r="F80" s="815">
        <v>0.39100000000000001</v>
      </c>
      <c r="G80" s="815">
        <v>0.39100000000000001</v>
      </c>
      <c r="H80" s="815">
        <v>0.39100000000000001</v>
      </c>
      <c r="I80" s="815">
        <v>0.39100000000000001</v>
      </c>
      <c r="J80" s="815">
        <v>0.39100000000000001</v>
      </c>
      <c r="K80" s="815">
        <v>0.39100000000000001</v>
      </c>
      <c r="L80" s="815">
        <v>0.39100000000000001</v>
      </c>
      <c r="M80" s="815">
        <v>0.39100000000000001</v>
      </c>
      <c r="N80" s="815">
        <v>0.39100000000000001</v>
      </c>
      <c r="O80" s="815">
        <v>0.39100000000000001</v>
      </c>
      <c r="P80" s="815">
        <v>0.39100000000000001</v>
      </c>
      <c r="Q80" s="815">
        <v>0.39100000000000001</v>
      </c>
      <c r="R80" s="815">
        <v>0.39100000000000001</v>
      </c>
      <c r="S80" s="815">
        <v>0.39100000000000001</v>
      </c>
      <c r="T80" s="815">
        <v>0.39100000000000001</v>
      </c>
      <c r="U80" s="815">
        <v>0.39100000000000001</v>
      </c>
      <c r="V80" s="815">
        <v>0.39100000000000001</v>
      </c>
      <c r="W80" s="815">
        <v>0.39100000000000001</v>
      </c>
      <c r="X80" s="815">
        <v>0.39100000000000001</v>
      </c>
      <c r="Y80" s="815">
        <v>0.39100000000000001</v>
      </c>
      <c r="Z80" s="815">
        <v>0.39100000000000001</v>
      </c>
      <c r="AA80" s="815">
        <v>0.39100000000000001</v>
      </c>
      <c r="AB80" s="815">
        <v>0.39100000000000001</v>
      </c>
      <c r="AC80" s="815">
        <v>0.39100000000000001</v>
      </c>
      <c r="AD80" s="815">
        <v>0.39100000000000001</v>
      </c>
      <c r="AE80" s="815">
        <v>0.39100000000000001</v>
      </c>
      <c r="AF80" s="814">
        <v>1.877E-3</v>
      </c>
      <c r="AG80" s="802"/>
    </row>
    <row r="81" spans="1:34" ht="15" customHeight="1">
      <c r="A81" s="800" t="s">
        <v>4871</v>
      </c>
      <c r="B81" s="808" t="s">
        <v>4303</v>
      </c>
      <c r="C81" s="816">
        <v>0.71879099999999996</v>
      </c>
      <c r="D81" s="816">
        <v>0.72983900000000002</v>
      </c>
      <c r="E81" s="816">
        <v>0.73767400000000005</v>
      </c>
      <c r="F81" s="816">
        <v>0.76230699999999996</v>
      </c>
      <c r="G81" s="816">
        <v>0.76673899999999995</v>
      </c>
      <c r="H81" s="816">
        <v>0.77110199999999995</v>
      </c>
      <c r="I81" s="816">
        <v>0.77561199999999997</v>
      </c>
      <c r="J81" s="816">
        <v>0.78036899999999998</v>
      </c>
      <c r="K81" s="816">
        <v>0.78544199999999997</v>
      </c>
      <c r="L81" s="816">
        <v>0.79088800000000004</v>
      </c>
      <c r="M81" s="816">
        <v>0.79680899999999999</v>
      </c>
      <c r="N81" s="816">
        <v>0.80341399999999996</v>
      </c>
      <c r="O81" s="816">
        <v>0.81085499999999999</v>
      </c>
      <c r="P81" s="816">
        <v>0.81892699999999996</v>
      </c>
      <c r="Q81" s="816">
        <v>0.827735</v>
      </c>
      <c r="R81" s="816">
        <v>0.83716800000000002</v>
      </c>
      <c r="S81" s="816">
        <v>0.84730799999999995</v>
      </c>
      <c r="T81" s="816">
        <v>0.85809000000000002</v>
      </c>
      <c r="U81" s="816">
        <v>0.86966699999999997</v>
      </c>
      <c r="V81" s="816">
        <v>0.88212400000000002</v>
      </c>
      <c r="W81" s="816">
        <v>0.89536300000000002</v>
      </c>
      <c r="X81" s="816">
        <v>0.90940399999999999</v>
      </c>
      <c r="Y81" s="816">
        <v>0.92411200000000004</v>
      </c>
      <c r="Z81" s="816">
        <v>0.93912600000000002</v>
      </c>
      <c r="AA81" s="816">
        <v>0.95233299999999999</v>
      </c>
      <c r="AB81" s="816">
        <v>0.96603799999999995</v>
      </c>
      <c r="AC81" s="816">
        <v>0.98035000000000005</v>
      </c>
      <c r="AD81" s="816">
        <v>0.99526499999999996</v>
      </c>
      <c r="AE81" s="816">
        <v>1.0109379999999999</v>
      </c>
      <c r="AF81" s="810">
        <v>1.2255E-2</v>
      </c>
      <c r="AG81" s="802"/>
    </row>
    <row r="82" spans="1:34" ht="15" customHeight="1">
      <c r="B82" s="808" t="s">
        <v>4330</v>
      </c>
      <c r="C82" s="802"/>
      <c r="D82" s="802"/>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2"/>
      <c r="AE82" s="802"/>
      <c r="AF82" s="802"/>
      <c r="AG82" s="802"/>
    </row>
    <row r="83" spans="1:34" ht="12" customHeight="1">
      <c r="A83" s="800" t="s">
        <v>4872</v>
      </c>
      <c r="B83" s="812" t="s">
        <v>4323</v>
      </c>
      <c r="C83" s="815">
        <v>1.663E-3</v>
      </c>
      <c r="D83" s="815">
        <v>1.663E-3</v>
      </c>
      <c r="E83" s="815">
        <v>1.663E-3</v>
      </c>
      <c r="F83" s="815">
        <v>1.663E-3</v>
      </c>
      <c r="G83" s="815">
        <v>1.663E-3</v>
      </c>
      <c r="H83" s="815">
        <v>1.663E-3</v>
      </c>
      <c r="I83" s="815">
        <v>1.663E-3</v>
      </c>
      <c r="J83" s="815">
        <v>1.663E-3</v>
      </c>
      <c r="K83" s="815">
        <v>1.663E-3</v>
      </c>
      <c r="L83" s="815">
        <v>1.663E-3</v>
      </c>
      <c r="M83" s="815">
        <v>1.663E-3</v>
      </c>
      <c r="N83" s="815">
        <v>1.663E-3</v>
      </c>
      <c r="O83" s="815">
        <v>1.663E-3</v>
      </c>
      <c r="P83" s="815">
        <v>1.663E-3</v>
      </c>
      <c r="Q83" s="815">
        <v>1.663E-3</v>
      </c>
      <c r="R83" s="815">
        <v>1.663E-3</v>
      </c>
      <c r="S83" s="815">
        <v>1.663E-3</v>
      </c>
      <c r="T83" s="815">
        <v>1.663E-3</v>
      </c>
      <c r="U83" s="815">
        <v>1.663E-3</v>
      </c>
      <c r="V83" s="815">
        <v>1.663E-3</v>
      </c>
      <c r="W83" s="815">
        <v>1.663E-3</v>
      </c>
      <c r="X83" s="815">
        <v>1.663E-3</v>
      </c>
      <c r="Y83" s="815">
        <v>1.663E-3</v>
      </c>
      <c r="Z83" s="815">
        <v>1.663E-3</v>
      </c>
      <c r="AA83" s="815">
        <v>1.663E-3</v>
      </c>
      <c r="AB83" s="815">
        <v>1.663E-3</v>
      </c>
      <c r="AC83" s="815">
        <v>1.663E-3</v>
      </c>
      <c r="AD83" s="815">
        <v>1.663E-3</v>
      </c>
      <c r="AE83" s="815">
        <v>1.663E-3</v>
      </c>
      <c r="AF83" s="814">
        <v>0</v>
      </c>
      <c r="AG83" s="802"/>
    </row>
    <row r="84" spans="1:34" ht="15" customHeight="1">
      <c r="A84" s="800" t="s">
        <v>4873</v>
      </c>
      <c r="B84" s="812" t="s">
        <v>4297</v>
      </c>
      <c r="C84" s="815">
        <v>1.15235</v>
      </c>
      <c r="D84" s="815">
        <v>1.1997370000000001</v>
      </c>
      <c r="E84" s="815">
        <v>1.2343740000000001</v>
      </c>
      <c r="F84" s="815">
        <v>1.255355</v>
      </c>
      <c r="G84" s="815">
        <v>1.2755129999999999</v>
      </c>
      <c r="H84" s="815">
        <v>1.295396</v>
      </c>
      <c r="I84" s="815">
        <v>1.315968</v>
      </c>
      <c r="J84" s="815">
        <v>1.33771</v>
      </c>
      <c r="K84" s="815">
        <v>1.3609329999999999</v>
      </c>
      <c r="L84" s="815">
        <v>1.3858839999999999</v>
      </c>
      <c r="M84" s="815">
        <v>1.4130480000000001</v>
      </c>
      <c r="N84" s="815">
        <v>1.443327</v>
      </c>
      <c r="O84" s="815">
        <v>1.477368</v>
      </c>
      <c r="P84" s="815">
        <v>1.5143009999999999</v>
      </c>
      <c r="Q84" s="815">
        <v>1.5545960000000001</v>
      </c>
      <c r="R84" s="815">
        <v>1.597753</v>
      </c>
      <c r="S84" s="815">
        <v>1.644134</v>
      </c>
      <c r="T84" s="815">
        <v>1.6934709999999999</v>
      </c>
      <c r="U84" s="815">
        <v>1.746443</v>
      </c>
      <c r="V84" s="815">
        <v>1.803469</v>
      </c>
      <c r="W84" s="815">
        <v>1.864109</v>
      </c>
      <c r="X84" s="815">
        <v>1.928434</v>
      </c>
      <c r="Y84" s="815">
        <v>1.9958530000000001</v>
      </c>
      <c r="Z84" s="815">
        <v>2.0648710000000001</v>
      </c>
      <c r="AA84" s="815">
        <v>2.1275909999999998</v>
      </c>
      <c r="AB84" s="815">
        <v>2.1928169999999998</v>
      </c>
      <c r="AC84" s="815">
        <v>2.261034</v>
      </c>
      <c r="AD84" s="815">
        <v>2.3322759999999998</v>
      </c>
      <c r="AE84" s="815">
        <v>2.4072149999999999</v>
      </c>
      <c r="AF84" s="814">
        <v>2.6658999999999999E-2</v>
      </c>
      <c r="AG84" s="802"/>
    </row>
    <row r="85" spans="1:34" ht="15" customHeight="1">
      <c r="A85" s="800" t="s">
        <v>4874</v>
      </c>
      <c r="B85" s="812" t="s">
        <v>4326</v>
      </c>
      <c r="C85" s="815">
        <v>0</v>
      </c>
      <c r="D85" s="815">
        <v>0</v>
      </c>
      <c r="E85" s="815">
        <v>0</v>
      </c>
      <c r="F85" s="815">
        <v>0</v>
      </c>
      <c r="G85" s="815">
        <v>0</v>
      </c>
      <c r="H85" s="815">
        <v>0</v>
      </c>
      <c r="I85" s="815">
        <v>0</v>
      </c>
      <c r="J85" s="815">
        <v>0</v>
      </c>
      <c r="K85" s="815">
        <v>0</v>
      </c>
      <c r="L85" s="815">
        <v>0</v>
      </c>
      <c r="M85" s="815">
        <v>0</v>
      </c>
      <c r="N85" s="815">
        <v>0</v>
      </c>
      <c r="O85" s="815">
        <v>0</v>
      </c>
      <c r="P85" s="815">
        <v>0</v>
      </c>
      <c r="Q85" s="815">
        <v>0</v>
      </c>
      <c r="R85" s="815">
        <v>0</v>
      </c>
      <c r="S85" s="815">
        <v>0</v>
      </c>
      <c r="T85" s="815">
        <v>0</v>
      </c>
      <c r="U85" s="815">
        <v>0</v>
      </c>
      <c r="V85" s="815">
        <v>0</v>
      </c>
      <c r="W85" s="815">
        <v>0</v>
      </c>
      <c r="X85" s="815">
        <v>0</v>
      </c>
      <c r="Y85" s="815">
        <v>0</v>
      </c>
      <c r="Z85" s="815">
        <v>0</v>
      </c>
      <c r="AA85" s="815">
        <v>0</v>
      </c>
      <c r="AB85" s="815">
        <v>0</v>
      </c>
      <c r="AC85" s="815">
        <v>0</v>
      </c>
      <c r="AD85" s="815">
        <v>0</v>
      </c>
      <c r="AE85" s="815">
        <v>0</v>
      </c>
      <c r="AF85" s="814" t="s">
        <v>2805</v>
      </c>
      <c r="AG85" s="802"/>
    </row>
    <row r="86" spans="1:34" ht="15" customHeight="1">
      <c r="A86" s="800" t="s">
        <v>4875</v>
      </c>
      <c r="B86" s="812" t="s">
        <v>4408</v>
      </c>
      <c r="C86" s="815">
        <v>1.5043280000000001</v>
      </c>
      <c r="D86" s="815">
        <v>1.5043280000000001</v>
      </c>
      <c r="E86" s="815">
        <v>1.5043280000000001</v>
      </c>
      <c r="F86" s="815">
        <v>1.600268</v>
      </c>
      <c r="G86" s="815">
        <v>1.600268</v>
      </c>
      <c r="H86" s="815">
        <v>1.600268</v>
      </c>
      <c r="I86" s="815">
        <v>1.600268</v>
      </c>
      <c r="J86" s="815">
        <v>1.600268</v>
      </c>
      <c r="K86" s="815">
        <v>1.600268</v>
      </c>
      <c r="L86" s="815">
        <v>1.600268</v>
      </c>
      <c r="M86" s="815">
        <v>1.600268</v>
      </c>
      <c r="N86" s="815">
        <v>1.600268</v>
      </c>
      <c r="O86" s="815">
        <v>1.600268</v>
      </c>
      <c r="P86" s="815">
        <v>1.600268</v>
      </c>
      <c r="Q86" s="815">
        <v>1.600268</v>
      </c>
      <c r="R86" s="815">
        <v>1.600268</v>
      </c>
      <c r="S86" s="815">
        <v>1.600268</v>
      </c>
      <c r="T86" s="815">
        <v>1.600268</v>
      </c>
      <c r="U86" s="815">
        <v>1.600268</v>
      </c>
      <c r="V86" s="815">
        <v>1.600268</v>
      </c>
      <c r="W86" s="815">
        <v>1.600268</v>
      </c>
      <c r="X86" s="815">
        <v>1.600268</v>
      </c>
      <c r="Y86" s="815">
        <v>1.600268</v>
      </c>
      <c r="Z86" s="815">
        <v>1.600268</v>
      </c>
      <c r="AA86" s="815">
        <v>1.600268</v>
      </c>
      <c r="AB86" s="815">
        <v>1.600268</v>
      </c>
      <c r="AC86" s="815">
        <v>1.600268</v>
      </c>
      <c r="AD86" s="815">
        <v>1.600268</v>
      </c>
      <c r="AE86" s="815">
        <v>1.600268</v>
      </c>
      <c r="AF86" s="814">
        <v>2.2100000000000002E-3</v>
      </c>
      <c r="AG86" s="802"/>
    </row>
    <row r="87" spans="1:34" ht="15" customHeight="1">
      <c r="A87" s="800" t="s">
        <v>4876</v>
      </c>
      <c r="B87" s="808" t="s">
        <v>4303</v>
      </c>
      <c r="C87" s="816">
        <v>2.6583410000000001</v>
      </c>
      <c r="D87" s="816">
        <v>2.7057280000000001</v>
      </c>
      <c r="E87" s="816">
        <v>2.7403650000000002</v>
      </c>
      <c r="F87" s="816">
        <v>2.8572860000000002</v>
      </c>
      <c r="G87" s="816">
        <v>2.8774440000000001</v>
      </c>
      <c r="H87" s="816">
        <v>2.8973270000000002</v>
      </c>
      <c r="I87" s="816">
        <v>2.9178980000000001</v>
      </c>
      <c r="J87" s="816">
        <v>2.9396399999999998</v>
      </c>
      <c r="K87" s="816">
        <v>2.962863</v>
      </c>
      <c r="L87" s="816">
        <v>2.9878149999999999</v>
      </c>
      <c r="M87" s="816">
        <v>3.0149780000000002</v>
      </c>
      <c r="N87" s="816">
        <v>3.045258</v>
      </c>
      <c r="O87" s="816">
        <v>3.0792989999999998</v>
      </c>
      <c r="P87" s="816">
        <v>3.1162320000000001</v>
      </c>
      <c r="Q87" s="816">
        <v>3.1565270000000001</v>
      </c>
      <c r="R87" s="816">
        <v>3.199684</v>
      </c>
      <c r="S87" s="816">
        <v>3.2460640000000001</v>
      </c>
      <c r="T87" s="816">
        <v>3.295401</v>
      </c>
      <c r="U87" s="816">
        <v>3.348373</v>
      </c>
      <c r="V87" s="816">
        <v>3.4053990000000001</v>
      </c>
      <c r="W87" s="816">
        <v>3.46604</v>
      </c>
      <c r="X87" s="816">
        <v>3.5303650000000002</v>
      </c>
      <c r="Y87" s="816">
        <v>3.5977830000000002</v>
      </c>
      <c r="Z87" s="816">
        <v>3.666801</v>
      </c>
      <c r="AA87" s="816">
        <v>3.7295210000000001</v>
      </c>
      <c r="AB87" s="816">
        <v>3.7947470000000001</v>
      </c>
      <c r="AC87" s="816">
        <v>3.8629639999999998</v>
      </c>
      <c r="AD87" s="816">
        <v>3.9342060000000001</v>
      </c>
      <c r="AE87" s="816">
        <v>4.0091460000000003</v>
      </c>
      <c r="AF87" s="810">
        <v>1.4782E-2</v>
      </c>
      <c r="AG87" s="802"/>
    </row>
    <row r="88" spans="1:34" ht="15" customHeight="1">
      <c r="B88" s="808" t="s">
        <v>4336</v>
      </c>
      <c r="C88" s="802"/>
      <c r="D88" s="802"/>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2"/>
      <c r="AE88" s="802"/>
      <c r="AF88" s="802"/>
      <c r="AG88" s="802"/>
    </row>
    <row r="89" spans="1:34" ht="12" customHeight="1">
      <c r="A89" s="800" t="s">
        <v>4877</v>
      </c>
      <c r="B89" s="812" t="s">
        <v>4338</v>
      </c>
      <c r="C89" s="815">
        <v>1.436005</v>
      </c>
      <c r="D89" s="815">
        <v>1.4434990000000001</v>
      </c>
      <c r="E89" s="815">
        <v>1.448637</v>
      </c>
      <c r="F89" s="815">
        <v>1.451697</v>
      </c>
      <c r="G89" s="815">
        <v>1.4546030000000001</v>
      </c>
      <c r="H89" s="815">
        <v>1.4574579999999999</v>
      </c>
      <c r="I89" s="815">
        <v>1.4604470000000001</v>
      </c>
      <c r="J89" s="815">
        <v>1.463652</v>
      </c>
      <c r="K89" s="815">
        <v>1.467109</v>
      </c>
      <c r="L89" s="815">
        <v>1.470842</v>
      </c>
      <c r="M89" s="815">
        <v>1.474955</v>
      </c>
      <c r="N89" s="815">
        <v>1.479608</v>
      </c>
      <c r="O89" s="815">
        <v>1.484934</v>
      </c>
      <c r="P89" s="815">
        <v>1.4907820000000001</v>
      </c>
      <c r="Q89" s="815">
        <v>1.4971699999999999</v>
      </c>
      <c r="R89" s="815">
        <v>1.5040500000000001</v>
      </c>
      <c r="S89" s="815">
        <v>1.511477</v>
      </c>
      <c r="T89" s="815">
        <v>1.5194190000000001</v>
      </c>
      <c r="U89" s="815">
        <v>1.528009</v>
      </c>
      <c r="V89" s="815">
        <v>1.5373429999999999</v>
      </c>
      <c r="W89" s="815">
        <v>1.547356</v>
      </c>
      <c r="X89" s="815">
        <v>1.558044</v>
      </c>
      <c r="Y89" s="815">
        <v>1.5692900000000001</v>
      </c>
      <c r="Z89" s="815">
        <v>1.5807370000000001</v>
      </c>
      <c r="AA89" s="815">
        <v>1.590104</v>
      </c>
      <c r="AB89" s="815">
        <v>1.599874</v>
      </c>
      <c r="AC89" s="815">
        <v>1.6101179999999999</v>
      </c>
      <c r="AD89" s="815">
        <v>1.6208530000000001</v>
      </c>
      <c r="AE89" s="815">
        <v>1.632239</v>
      </c>
      <c r="AF89" s="814">
        <v>4.5849999999999997E-3</v>
      </c>
      <c r="AG89" s="802"/>
    </row>
    <row r="90" spans="1:34" ht="15" customHeight="1" thickBot="1">
      <c r="A90" s="800" t="s">
        <v>4878</v>
      </c>
      <c r="B90" s="812" t="s">
        <v>4340</v>
      </c>
      <c r="C90" s="815">
        <v>1.2223360000000001</v>
      </c>
      <c r="D90" s="815">
        <v>1.262229</v>
      </c>
      <c r="E90" s="815">
        <v>1.291728</v>
      </c>
      <c r="F90" s="815">
        <v>1.405589</v>
      </c>
      <c r="G90" s="815">
        <v>1.422841</v>
      </c>
      <c r="H90" s="815">
        <v>1.4398690000000001</v>
      </c>
      <c r="I90" s="815">
        <v>1.4574510000000001</v>
      </c>
      <c r="J90" s="815">
        <v>1.4759880000000001</v>
      </c>
      <c r="K90" s="815">
        <v>1.495754</v>
      </c>
      <c r="L90" s="815">
        <v>1.5169729999999999</v>
      </c>
      <c r="M90" s="815">
        <v>1.5400229999999999</v>
      </c>
      <c r="N90" s="815">
        <v>1.56565</v>
      </c>
      <c r="O90" s="815">
        <v>1.594365</v>
      </c>
      <c r="P90" s="815">
        <v>1.6254500000000001</v>
      </c>
      <c r="Q90" s="815">
        <v>1.659357</v>
      </c>
      <c r="R90" s="815">
        <v>1.6956340000000001</v>
      </c>
      <c r="S90" s="815">
        <v>1.734588</v>
      </c>
      <c r="T90" s="815">
        <v>1.7759819999999999</v>
      </c>
      <c r="U90" s="815">
        <v>1.820365</v>
      </c>
      <c r="V90" s="815">
        <v>1.8680559999999999</v>
      </c>
      <c r="W90" s="815">
        <v>1.9186840000000001</v>
      </c>
      <c r="X90" s="815">
        <v>1.9723200000000001</v>
      </c>
      <c r="Y90" s="815">
        <v>2.0284930000000001</v>
      </c>
      <c r="Z90" s="815">
        <v>2.0860639999999999</v>
      </c>
      <c r="AA90" s="815">
        <v>2.1394169999999999</v>
      </c>
      <c r="AB90" s="815">
        <v>2.194874</v>
      </c>
      <c r="AC90" s="815">
        <v>2.252847</v>
      </c>
      <c r="AD90" s="815">
        <v>2.3133530000000002</v>
      </c>
      <c r="AE90" s="815">
        <v>2.3769070000000001</v>
      </c>
      <c r="AF90" s="814">
        <v>2.4035999999999998E-2</v>
      </c>
      <c r="AG90" s="802"/>
    </row>
    <row r="91" spans="1:34" ht="15" customHeight="1">
      <c r="B91" s="1258" t="s">
        <v>4417</v>
      </c>
      <c r="C91" s="1259"/>
      <c r="D91" s="1259"/>
      <c r="E91" s="1259"/>
      <c r="F91" s="1259"/>
      <c r="G91" s="1259"/>
      <c r="H91" s="1259"/>
      <c r="I91" s="1259"/>
      <c r="J91" s="1259"/>
      <c r="K91" s="1259"/>
      <c r="L91" s="1259"/>
      <c r="M91" s="1259"/>
      <c r="N91" s="1259"/>
      <c r="O91" s="1259"/>
      <c r="P91" s="1259"/>
      <c r="Q91" s="1259"/>
      <c r="R91" s="1259"/>
      <c r="S91" s="1259"/>
      <c r="T91" s="1259"/>
      <c r="U91" s="1259"/>
      <c r="V91" s="1259"/>
      <c r="W91" s="1259"/>
      <c r="X91" s="1259"/>
      <c r="Y91" s="1259"/>
      <c r="Z91" s="1259"/>
      <c r="AA91" s="1259"/>
      <c r="AB91" s="1259"/>
      <c r="AC91" s="1259"/>
      <c r="AD91" s="1259"/>
      <c r="AE91" s="1259"/>
      <c r="AF91" s="1259"/>
      <c r="AG91" s="1259"/>
      <c r="AH91" s="817"/>
    </row>
    <row r="92" spans="1:34" ht="15" customHeight="1">
      <c r="B92" s="802" t="s">
        <v>4418</v>
      </c>
      <c r="C92" s="802"/>
      <c r="D92" s="802"/>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2"/>
      <c r="AE92" s="802"/>
      <c r="AF92" s="802"/>
      <c r="AG92" s="802"/>
    </row>
    <row r="93" spans="1:34" ht="15" customHeight="1">
      <c r="B93" s="802" t="s">
        <v>4419</v>
      </c>
      <c r="C93" s="802"/>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row>
    <row r="94" spans="1:34" ht="12" customHeight="1">
      <c r="B94" s="802" t="s">
        <v>4420</v>
      </c>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1:34" ht="15" customHeight="1">
      <c r="B95" s="802" t="s">
        <v>4421</v>
      </c>
      <c r="C95" s="802"/>
      <c r="D95" s="802"/>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2"/>
      <c r="AE95" s="802"/>
      <c r="AF95" s="802"/>
      <c r="AG95" s="802"/>
    </row>
    <row r="96" spans="1:34" ht="15" customHeight="1">
      <c r="B96" s="802" t="s">
        <v>4422</v>
      </c>
      <c r="C96" s="802"/>
      <c r="D96" s="802"/>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2"/>
      <c r="AE96" s="802"/>
      <c r="AF96" s="802"/>
      <c r="AG96" s="802"/>
    </row>
    <row r="97" spans="2:33" ht="15" customHeight="1">
      <c r="B97" s="802" t="s">
        <v>4423</v>
      </c>
      <c r="C97" s="802"/>
      <c r="D97" s="802"/>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2"/>
      <c r="AE97" s="802"/>
      <c r="AF97" s="802"/>
      <c r="AG97" s="802"/>
    </row>
    <row r="98" spans="2:33" ht="12" customHeight="1">
      <c r="B98" s="802" t="s">
        <v>4363</v>
      </c>
      <c r="C98" s="802"/>
      <c r="D98" s="802"/>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2"/>
      <c r="AE98" s="802"/>
      <c r="AF98" s="802"/>
      <c r="AG98" s="802"/>
    </row>
    <row r="99" spans="2:33" ht="15" customHeight="1">
      <c r="B99" s="802" t="s">
        <v>4879</v>
      </c>
      <c r="C99" s="802"/>
      <c r="D99" s="802"/>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2"/>
      <c r="AE99" s="802"/>
      <c r="AF99" s="802"/>
      <c r="AG99" s="802"/>
    </row>
    <row r="100" spans="2:33" ht="15" customHeight="1">
      <c r="B100" s="802" t="s">
        <v>4365</v>
      </c>
      <c r="C100" s="802"/>
      <c r="D100" s="802"/>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2"/>
      <c r="AE100" s="802"/>
      <c r="AF100" s="802"/>
      <c r="AG100" s="802"/>
    </row>
    <row r="101" spans="2:33" ht="15" customHeight="1">
      <c r="B101" s="802" t="s">
        <v>4366</v>
      </c>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2:33" ht="15" customHeight="1">
      <c r="B102" s="802" t="s">
        <v>4424</v>
      </c>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2:33" ht="15" customHeight="1">
      <c r="B103" s="802" t="s">
        <v>4425</v>
      </c>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2:33" ht="15" customHeight="1">
      <c r="B104" s="802"/>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2:33" ht="15" customHeight="1">
      <c r="B105" s="802"/>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2:33" ht="12" customHeight="1">
      <c r="B106" s="802"/>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2:33" ht="15" customHeight="1">
      <c r="B107" s="802"/>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2:33" ht="15" customHeight="1">
      <c r="B108" s="802"/>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802"/>
      <c r="AG108" s="802"/>
    </row>
    <row r="109" spans="2:33" ht="15" customHeight="1">
      <c r="B109" s="802"/>
      <c r="C109" s="802"/>
      <c r="D109" s="802"/>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2"/>
      <c r="AE109" s="802"/>
      <c r="AF109" s="802" t="s">
        <v>1505</v>
      </c>
      <c r="AG109" s="802"/>
    </row>
    <row r="113" ht="12" customHeight="1"/>
    <row r="119" ht="12" customHeight="1"/>
    <row r="123" ht="12" customHeight="1"/>
    <row r="129" ht="12" customHeight="1"/>
    <row r="134" ht="12" customHeight="1"/>
    <row r="156" spans="2:32" ht="15" customHeight="1">
      <c r="B156" s="1260"/>
      <c r="C156" s="1260"/>
      <c r="D156" s="1260"/>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1260"/>
      <c r="C292" s="1260"/>
      <c r="D292" s="1260"/>
      <c r="E292" s="1260"/>
      <c r="F292" s="1260"/>
      <c r="G292" s="1260"/>
      <c r="H292" s="1260"/>
      <c r="I292" s="1260"/>
      <c r="J292" s="1260"/>
      <c r="K292" s="1260"/>
      <c r="L292" s="1260"/>
      <c r="M292" s="1260"/>
      <c r="N292" s="1260"/>
      <c r="O292" s="1260"/>
      <c r="P292" s="1260"/>
      <c r="Q292" s="1260"/>
      <c r="R292" s="1260"/>
      <c r="S292" s="1260"/>
      <c r="T292" s="1260"/>
      <c r="U292" s="1260"/>
      <c r="V292" s="1260"/>
      <c r="W292" s="1260"/>
      <c r="X292" s="1260"/>
      <c r="Y292" s="1260"/>
      <c r="Z292" s="1260"/>
      <c r="AA292" s="1260"/>
      <c r="AB292" s="1260"/>
      <c r="AC292" s="1260"/>
      <c r="AD292" s="1260"/>
      <c r="AE292" s="1260"/>
      <c r="AF292" s="126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1260"/>
      <c r="C378" s="1260"/>
      <c r="D378" s="1260"/>
      <c r="E378" s="1260"/>
      <c r="F378" s="1260"/>
      <c r="G378" s="1260"/>
      <c r="H378" s="1260"/>
      <c r="I378" s="1260"/>
      <c r="J378" s="1260"/>
      <c r="K378" s="1260"/>
      <c r="L378" s="1260"/>
      <c r="M378" s="1260"/>
      <c r="N378" s="1260"/>
      <c r="O378" s="1260"/>
      <c r="P378" s="1260"/>
      <c r="Q378" s="1260"/>
      <c r="R378" s="1260"/>
      <c r="S378" s="1260"/>
      <c r="T378" s="1260"/>
      <c r="U378" s="1260"/>
      <c r="V378" s="1260"/>
      <c r="W378" s="1260"/>
      <c r="X378" s="1260"/>
      <c r="Y378" s="1260"/>
      <c r="Z378" s="1260"/>
      <c r="AA378" s="1260"/>
      <c r="AB378" s="1260"/>
      <c r="AC378" s="1260"/>
      <c r="AD378" s="1260"/>
      <c r="AE378" s="1260"/>
      <c r="AF378" s="126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1260"/>
      <c r="C560" s="1260"/>
      <c r="D560" s="1260"/>
      <c r="E560" s="1260"/>
      <c r="F560" s="1260"/>
      <c r="G560" s="1260"/>
      <c r="H560" s="1260"/>
      <c r="I560" s="1260"/>
      <c r="J560" s="1260"/>
      <c r="K560" s="1260"/>
      <c r="L560" s="1260"/>
      <c r="M560" s="1260"/>
      <c r="N560" s="1260"/>
      <c r="O560" s="1260"/>
      <c r="P560" s="1260"/>
      <c r="Q560" s="1260"/>
      <c r="R560" s="1260"/>
      <c r="S560" s="1260"/>
      <c r="T560" s="1260"/>
      <c r="U560" s="1260"/>
      <c r="V560" s="1260"/>
      <c r="W560" s="1260"/>
      <c r="X560" s="1260"/>
      <c r="Y560" s="1260"/>
      <c r="Z560" s="1260"/>
      <c r="AA560" s="1260"/>
      <c r="AB560" s="1260"/>
      <c r="AC560" s="1260"/>
      <c r="AD560" s="1260"/>
      <c r="AE560" s="1260"/>
      <c r="AF560" s="126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1260"/>
      <c r="C652" s="1260"/>
      <c r="D652" s="1260"/>
      <c r="E652" s="1260"/>
      <c r="F652" s="1260"/>
      <c r="G652" s="1260"/>
      <c r="H652" s="1260"/>
      <c r="I652" s="1260"/>
      <c r="J652" s="1260"/>
      <c r="K652" s="1260"/>
      <c r="L652" s="1260"/>
      <c r="M652" s="1260"/>
      <c r="N652" s="1260"/>
      <c r="O652" s="1260"/>
      <c r="P652" s="1260"/>
      <c r="Q652" s="1260"/>
      <c r="R652" s="1260"/>
      <c r="S652" s="1260"/>
      <c r="T652" s="1260"/>
      <c r="U652" s="1260"/>
      <c r="V652" s="1260"/>
      <c r="W652" s="1260"/>
      <c r="X652" s="1260"/>
      <c r="Y652" s="1260"/>
      <c r="Z652" s="1260"/>
      <c r="AA652" s="1260"/>
      <c r="AB652" s="1260"/>
      <c r="AC652" s="1260"/>
      <c r="AD652" s="1260"/>
      <c r="AE652" s="1260"/>
      <c r="AF652" s="126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1260"/>
      <c r="C728" s="1260"/>
      <c r="D728" s="1260"/>
      <c r="E728" s="1260"/>
      <c r="F728" s="1260"/>
      <c r="G728" s="1260"/>
      <c r="H728" s="1260"/>
      <c r="I728" s="1260"/>
      <c r="J728" s="1260"/>
      <c r="K728" s="1260"/>
      <c r="L728" s="1260"/>
      <c r="M728" s="1260"/>
      <c r="N728" s="1260"/>
      <c r="O728" s="1260"/>
      <c r="P728" s="1260"/>
      <c r="Q728" s="1260"/>
      <c r="R728" s="1260"/>
      <c r="S728" s="1260"/>
      <c r="T728" s="1260"/>
      <c r="U728" s="1260"/>
      <c r="V728" s="1260"/>
      <c r="W728" s="1260"/>
      <c r="X728" s="1260"/>
      <c r="Y728" s="1260"/>
      <c r="Z728" s="1260"/>
      <c r="AA728" s="1260"/>
      <c r="AB728" s="1260"/>
      <c r="AC728" s="1260"/>
      <c r="AD728" s="1260"/>
      <c r="AE728" s="1260"/>
      <c r="AF728" s="126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1260"/>
      <c r="C819" s="1260"/>
      <c r="D819" s="1260"/>
      <c r="E819" s="1260"/>
      <c r="F819" s="1260"/>
      <c r="G819" s="1260"/>
      <c r="H819" s="1260"/>
      <c r="I819" s="1260"/>
      <c r="J819" s="1260"/>
      <c r="K819" s="1260"/>
      <c r="L819" s="1260"/>
      <c r="M819" s="1260"/>
      <c r="N819" s="1260"/>
      <c r="O819" s="1260"/>
      <c r="P819" s="1260"/>
      <c r="Q819" s="1260"/>
      <c r="R819" s="1260"/>
      <c r="S819" s="1260"/>
      <c r="T819" s="1260"/>
      <c r="U819" s="1260"/>
      <c r="V819" s="1260"/>
      <c r="W819" s="1260"/>
      <c r="X819" s="1260"/>
      <c r="Y819" s="1260"/>
      <c r="Z819" s="1260"/>
      <c r="AA819" s="1260"/>
      <c r="AB819" s="1260"/>
      <c r="AC819" s="1260"/>
      <c r="AD819" s="1260"/>
      <c r="AE819" s="1260"/>
      <c r="AF819" s="126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1260"/>
      <c r="C897" s="1260"/>
      <c r="D897" s="1260"/>
      <c r="E897" s="1260"/>
      <c r="F897" s="1260"/>
      <c r="G897" s="1260"/>
      <c r="H897" s="1260"/>
      <c r="I897" s="1260"/>
      <c r="J897" s="1260"/>
      <c r="K897" s="1260"/>
      <c r="L897" s="1260"/>
      <c r="M897" s="1260"/>
      <c r="N897" s="1260"/>
      <c r="O897" s="1260"/>
      <c r="P897" s="1260"/>
      <c r="Q897" s="1260"/>
      <c r="R897" s="1260"/>
      <c r="S897" s="1260"/>
      <c r="T897" s="1260"/>
      <c r="U897" s="1260"/>
      <c r="V897" s="1260"/>
      <c r="W897" s="1260"/>
      <c r="X897" s="1260"/>
      <c r="Y897" s="1260"/>
      <c r="Z897" s="1260"/>
      <c r="AA897" s="1260"/>
      <c r="AB897" s="1260"/>
      <c r="AC897" s="1260"/>
      <c r="AD897" s="1260"/>
      <c r="AE897" s="1260"/>
      <c r="AF897" s="126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1260"/>
      <c r="C983" s="1260"/>
      <c r="D983" s="1260"/>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0"/>
      <c r="AF983" s="126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1260"/>
      <c r="C1082" s="1260"/>
      <c r="D1082" s="1260"/>
      <c r="E1082" s="1260"/>
      <c r="F1082" s="1260"/>
      <c r="G1082" s="1260"/>
      <c r="H1082" s="1260"/>
      <c r="I1082" s="1260"/>
      <c r="J1082" s="1260"/>
      <c r="K1082" s="1260"/>
      <c r="L1082" s="1260"/>
      <c r="M1082" s="1260"/>
      <c r="N1082" s="1260"/>
      <c r="O1082" s="1260"/>
      <c r="P1082" s="1260"/>
      <c r="Q1082" s="1260"/>
      <c r="R1082" s="1260"/>
      <c r="S1082" s="1260"/>
      <c r="T1082" s="1260"/>
      <c r="U1082" s="1260"/>
      <c r="V1082" s="1260"/>
      <c r="W1082" s="1260"/>
      <c r="X1082" s="1260"/>
      <c r="Y1082" s="1260"/>
      <c r="Z1082" s="1260"/>
      <c r="AA1082" s="1260"/>
      <c r="AB1082" s="1260"/>
      <c r="AC1082" s="1260"/>
      <c r="AD1082" s="1260"/>
      <c r="AE1082" s="1260"/>
      <c r="AF1082" s="126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1260"/>
      <c r="C1179" s="1260"/>
      <c r="D1179" s="1260"/>
      <c r="E1179" s="1260"/>
      <c r="F1179" s="1260"/>
      <c r="G1179" s="1260"/>
      <c r="H1179" s="1260"/>
      <c r="I1179" s="1260"/>
      <c r="J1179" s="1260"/>
      <c r="K1179" s="1260"/>
      <c r="L1179" s="1260"/>
      <c r="M1179" s="1260"/>
      <c r="N1179" s="1260"/>
      <c r="O1179" s="1260"/>
      <c r="P1179" s="1260"/>
      <c r="Q1179" s="1260"/>
      <c r="R1179" s="1260"/>
      <c r="S1179" s="1260"/>
      <c r="T1179" s="1260"/>
      <c r="U1179" s="1260"/>
      <c r="V1179" s="1260"/>
      <c r="W1179" s="1260"/>
      <c r="X1179" s="1260"/>
      <c r="Y1179" s="1260"/>
      <c r="Z1179" s="1260"/>
      <c r="AA1179" s="1260"/>
      <c r="AB1179" s="1260"/>
      <c r="AC1179" s="1260"/>
      <c r="AD1179" s="1260"/>
      <c r="AE1179" s="1260"/>
      <c r="AF1179" s="126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1260"/>
      <c r="C1313" s="1260"/>
      <c r="D1313" s="1260"/>
      <c r="E1313" s="1260"/>
      <c r="F1313" s="1260"/>
      <c r="G1313" s="1260"/>
      <c r="H1313" s="1260"/>
      <c r="I1313" s="1260"/>
      <c r="J1313" s="1260"/>
      <c r="K1313" s="1260"/>
      <c r="L1313" s="1260"/>
      <c r="M1313" s="1260"/>
      <c r="N1313" s="1260"/>
      <c r="O1313" s="1260"/>
      <c r="P1313" s="1260"/>
      <c r="Q1313" s="1260"/>
      <c r="R1313" s="1260"/>
      <c r="S1313" s="1260"/>
      <c r="T1313" s="1260"/>
      <c r="U1313" s="1260"/>
      <c r="V1313" s="1260"/>
      <c r="W1313" s="1260"/>
      <c r="X1313" s="1260"/>
      <c r="Y1313" s="1260"/>
      <c r="Z1313" s="1260"/>
      <c r="AA1313" s="1260"/>
      <c r="AB1313" s="1260"/>
      <c r="AC1313" s="1260"/>
      <c r="AD1313" s="1260"/>
      <c r="AE1313" s="1260"/>
      <c r="AF1313" s="126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1260"/>
      <c r="C1431" s="1260"/>
      <c r="D1431" s="1260"/>
      <c r="E1431" s="1260"/>
      <c r="F1431" s="1260"/>
      <c r="G1431" s="1260"/>
      <c r="H1431" s="1260"/>
      <c r="I1431" s="1260"/>
      <c r="J1431" s="1260"/>
      <c r="K1431" s="1260"/>
      <c r="L1431" s="1260"/>
      <c r="M1431" s="1260"/>
      <c r="N1431" s="1260"/>
      <c r="O1431" s="1260"/>
      <c r="P1431" s="1260"/>
      <c r="Q1431" s="1260"/>
      <c r="R1431" s="1260"/>
      <c r="S1431" s="1260"/>
      <c r="T1431" s="1260"/>
      <c r="U1431" s="1260"/>
      <c r="V1431" s="1260"/>
      <c r="W1431" s="1260"/>
      <c r="X1431" s="1260"/>
      <c r="Y1431" s="1260"/>
      <c r="Z1431" s="1260"/>
      <c r="AA1431" s="1260"/>
      <c r="AB1431" s="1260"/>
      <c r="AC1431" s="1260"/>
      <c r="AD1431" s="1260"/>
      <c r="AE1431" s="1260"/>
      <c r="AF1431" s="126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1260"/>
      <c r="C1535" s="1260"/>
      <c r="D1535" s="1260"/>
      <c r="E1535" s="1260"/>
      <c r="F1535" s="1260"/>
      <c r="G1535" s="1260"/>
      <c r="H1535" s="1260"/>
      <c r="I1535" s="1260"/>
      <c r="J1535" s="1260"/>
      <c r="K1535" s="1260"/>
      <c r="L1535" s="1260"/>
      <c r="M1535" s="1260"/>
      <c r="N1535" s="1260"/>
      <c r="O1535" s="1260"/>
      <c r="P1535" s="1260"/>
      <c r="Q1535" s="1260"/>
      <c r="R1535" s="1260"/>
      <c r="S1535" s="1260"/>
      <c r="T1535" s="1260"/>
      <c r="U1535" s="1260"/>
      <c r="V1535" s="1260"/>
      <c r="W1535" s="1260"/>
      <c r="X1535" s="1260"/>
      <c r="Y1535" s="1260"/>
      <c r="Z1535" s="1260"/>
      <c r="AA1535" s="1260"/>
      <c r="AB1535" s="1260"/>
      <c r="AC1535" s="1260"/>
      <c r="AD1535" s="1260"/>
      <c r="AE1535" s="1260"/>
      <c r="AF1535" s="126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1260"/>
      <c r="C1628" s="1260"/>
      <c r="D1628" s="1260"/>
      <c r="E1628" s="1260"/>
      <c r="F1628" s="1260"/>
      <c r="G1628" s="1260"/>
      <c r="H1628" s="1260"/>
      <c r="I1628" s="1260"/>
      <c r="J1628" s="1260"/>
      <c r="K1628" s="1260"/>
      <c r="L1628" s="1260"/>
      <c r="M1628" s="1260"/>
      <c r="N1628" s="1260"/>
      <c r="O1628" s="1260"/>
      <c r="P1628" s="1260"/>
      <c r="Q1628" s="1260"/>
      <c r="R1628" s="1260"/>
      <c r="S1628" s="1260"/>
      <c r="T1628" s="1260"/>
      <c r="U1628" s="1260"/>
      <c r="V1628" s="1260"/>
      <c r="W1628" s="1260"/>
      <c r="X1628" s="1260"/>
      <c r="Y1628" s="1260"/>
      <c r="Z1628" s="1260"/>
      <c r="AA1628" s="1260"/>
      <c r="AB1628" s="1260"/>
      <c r="AC1628" s="1260"/>
      <c r="AD1628" s="1260"/>
      <c r="AE1628" s="1260"/>
      <c r="AF1628" s="126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1260"/>
      <c r="C1778" s="1260"/>
      <c r="D1778" s="1260"/>
      <c r="E1778" s="1260"/>
      <c r="F1778" s="1260"/>
      <c r="G1778" s="1260"/>
      <c r="H1778" s="1260"/>
      <c r="I1778" s="1260"/>
      <c r="J1778" s="1260"/>
      <c r="K1778" s="1260"/>
      <c r="L1778" s="1260"/>
      <c r="M1778" s="1260"/>
      <c r="N1778" s="1260"/>
      <c r="O1778" s="1260"/>
      <c r="P1778" s="1260"/>
      <c r="Q1778" s="1260"/>
      <c r="R1778" s="1260"/>
      <c r="S1778" s="1260"/>
      <c r="T1778" s="1260"/>
      <c r="U1778" s="1260"/>
      <c r="V1778" s="1260"/>
      <c r="W1778" s="1260"/>
      <c r="X1778" s="1260"/>
      <c r="Y1778" s="1260"/>
      <c r="Z1778" s="1260"/>
      <c r="AA1778" s="1260"/>
      <c r="AB1778" s="1260"/>
      <c r="AC1778" s="1260"/>
      <c r="AD1778" s="1260"/>
      <c r="AE1778" s="1260"/>
      <c r="AF1778" s="126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1260"/>
      <c r="C1928" s="1260"/>
      <c r="D1928" s="1260"/>
      <c r="E1928" s="1260"/>
      <c r="F1928" s="1260"/>
      <c r="G1928" s="1260"/>
      <c r="H1928" s="1260"/>
      <c r="I1928" s="1260"/>
      <c r="J1928" s="1260"/>
      <c r="K1928" s="1260"/>
      <c r="L1928" s="1260"/>
      <c r="M1928" s="1260"/>
      <c r="N1928" s="1260"/>
      <c r="O1928" s="1260"/>
      <c r="P1928" s="1260"/>
      <c r="Q1928" s="1260"/>
      <c r="R1928" s="1260"/>
      <c r="S1928" s="1260"/>
      <c r="T1928" s="1260"/>
      <c r="U1928" s="1260"/>
      <c r="V1928" s="1260"/>
      <c r="W1928" s="1260"/>
      <c r="X1928" s="1260"/>
      <c r="Y1928" s="1260"/>
      <c r="Z1928" s="1260"/>
      <c r="AA1928" s="1260"/>
      <c r="AB1928" s="1260"/>
      <c r="AC1928" s="1260"/>
      <c r="AD1928" s="1260"/>
      <c r="AE1928" s="1260"/>
      <c r="AF1928" s="126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1260"/>
      <c r="C2078" s="1260"/>
      <c r="D2078" s="1260"/>
      <c r="E2078" s="1260"/>
      <c r="F2078" s="1260"/>
      <c r="G2078" s="1260"/>
      <c r="H2078" s="1260"/>
      <c r="I2078" s="1260"/>
      <c r="J2078" s="1260"/>
      <c r="K2078" s="1260"/>
      <c r="L2078" s="1260"/>
      <c r="M2078" s="1260"/>
      <c r="N2078" s="1260"/>
      <c r="O2078" s="1260"/>
      <c r="P2078" s="1260"/>
      <c r="Q2078" s="1260"/>
      <c r="R2078" s="1260"/>
      <c r="S2078" s="1260"/>
      <c r="T2078" s="1260"/>
      <c r="U2078" s="1260"/>
      <c r="V2078" s="1260"/>
      <c r="W2078" s="1260"/>
      <c r="X2078" s="1260"/>
      <c r="Y2078" s="1260"/>
      <c r="Z2078" s="1260"/>
      <c r="AA2078" s="1260"/>
      <c r="AB2078" s="1260"/>
      <c r="AC2078" s="1260"/>
      <c r="AD2078" s="1260"/>
      <c r="AE2078" s="1260"/>
      <c r="AF2078" s="126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1260"/>
      <c r="C2228" s="1260"/>
      <c r="D2228" s="1260"/>
      <c r="E2228" s="1260"/>
      <c r="F2228" s="1260"/>
      <c r="G2228" s="1260"/>
      <c r="H2228" s="1260"/>
      <c r="I2228" s="1260"/>
      <c r="J2228" s="1260"/>
      <c r="K2228" s="1260"/>
      <c r="L2228" s="1260"/>
      <c r="M2228" s="1260"/>
      <c r="N2228" s="1260"/>
      <c r="O2228" s="1260"/>
      <c r="P2228" s="1260"/>
      <c r="Q2228" s="1260"/>
      <c r="R2228" s="1260"/>
      <c r="S2228" s="1260"/>
      <c r="T2228" s="1260"/>
      <c r="U2228" s="1260"/>
      <c r="V2228" s="1260"/>
      <c r="W2228" s="1260"/>
      <c r="X2228" s="1260"/>
      <c r="Y2228" s="1260"/>
      <c r="Z2228" s="1260"/>
      <c r="AA2228" s="1260"/>
      <c r="AB2228" s="1260"/>
      <c r="AC2228" s="1260"/>
      <c r="AD2228" s="1260"/>
      <c r="AE2228" s="1260"/>
      <c r="AF2228" s="126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1260"/>
      <c r="C2378" s="1260"/>
      <c r="D2378" s="1260"/>
      <c r="E2378" s="1260"/>
      <c r="F2378" s="1260"/>
      <c r="G2378" s="1260"/>
      <c r="H2378" s="1260"/>
      <c r="I2378" s="1260"/>
      <c r="J2378" s="1260"/>
      <c r="K2378" s="1260"/>
      <c r="L2378" s="1260"/>
      <c r="M2378" s="1260"/>
      <c r="N2378" s="1260"/>
      <c r="O2378" s="1260"/>
      <c r="P2378" s="1260"/>
      <c r="Q2378" s="1260"/>
      <c r="R2378" s="1260"/>
      <c r="S2378" s="1260"/>
      <c r="T2378" s="1260"/>
      <c r="U2378" s="1260"/>
      <c r="V2378" s="1260"/>
      <c r="W2378" s="1260"/>
      <c r="X2378" s="1260"/>
      <c r="Y2378" s="1260"/>
      <c r="Z2378" s="1260"/>
      <c r="AA2378" s="1260"/>
      <c r="AB2378" s="1260"/>
      <c r="AC2378" s="1260"/>
      <c r="AD2378" s="1260"/>
      <c r="AE2378" s="1260"/>
      <c r="AF2378" s="126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1260"/>
      <c r="C2528" s="1260"/>
      <c r="D2528" s="1260"/>
      <c r="E2528" s="1260"/>
      <c r="F2528" s="1260"/>
      <c r="G2528" s="1260"/>
      <c r="H2528" s="1260"/>
      <c r="I2528" s="1260"/>
      <c r="J2528" s="1260"/>
      <c r="K2528" s="1260"/>
      <c r="L2528" s="1260"/>
      <c r="M2528" s="1260"/>
      <c r="N2528" s="1260"/>
      <c r="O2528" s="1260"/>
      <c r="P2528" s="1260"/>
      <c r="Q2528" s="1260"/>
      <c r="R2528" s="1260"/>
      <c r="S2528" s="1260"/>
      <c r="T2528" s="1260"/>
      <c r="U2528" s="1260"/>
      <c r="V2528" s="1260"/>
      <c r="W2528" s="1260"/>
      <c r="X2528" s="1260"/>
      <c r="Y2528" s="1260"/>
      <c r="Z2528" s="1260"/>
      <c r="AA2528" s="1260"/>
      <c r="AB2528" s="1260"/>
      <c r="AC2528" s="1260"/>
      <c r="AD2528" s="1260"/>
      <c r="AE2528" s="1260"/>
      <c r="AF2528"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1260"/>
      <c r="C2678" s="1260"/>
      <c r="D2678" s="1260"/>
      <c r="E2678" s="1260"/>
      <c r="F2678" s="1260"/>
      <c r="G2678" s="1260"/>
      <c r="H2678" s="1260"/>
      <c r="I2678" s="1260"/>
      <c r="J2678" s="1260"/>
      <c r="K2678" s="1260"/>
      <c r="L2678" s="1260"/>
      <c r="M2678" s="1260"/>
      <c r="N2678" s="1260"/>
      <c r="O2678" s="1260"/>
      <c r="P2678" s="1260"/>
      <c r="Q2678" s="1260"/>
      <c r="R2678" s="1260"/>
      <c r="S2678" s="1260"/>
      <c r="T2678" s="1260"/>
      <c r="U2678" s="1260"/>
      <c r="V2678" s="1260"/>
      <c r="W2678" s="1260"/>
      <c r="X2678" s="1260"/>
      <c r="Y2678" s="1260"/>
      <c r="Z2678" s="1260"/>
      <c r="AA2678" s="1260"/>
      <c r="AB2678" s="1260"/>
      <c r="AC2678" s="1260"/>
      <c r="AD2678" s="1260"/>
      <c r="AE2678" s="1260"/>
      <c r="AF2678" s="126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1260"/>
      <c r="C2828" s="1260"/>
      <c r="D2828" s="1260"/>
      <c r="E2828" s="1260"/>
      <c r="F2828" s="1260"/>
      <c r="G2828" s="1260"/>
      <c r="H2828" s="1260"/>
      <c r="I2828" s="1260"/>
      <c r="J2828" s="1260"/>
      <c r="K2828" s="1260"/>
      <c r="L2828" s="1260"/>
      <c r="M2828" s="1260"/>
      <c r="N2828" s="1260"/>
      <c r="O2828" s="1260"/>
      <c r="P2828" s="1260"/>
      <c r="Q2828" s="1260"/>
      <c r="R2828" s="1260"/>
      <c r="S2828" s="1260"/>
      <c r="T2828" s="1260"/>
      <c r="U2828" s="1260"/>
      <c r="V2828" s="1260"/>
      <c r="W2828" s="1260"/>
      <c r="X2828" s="1260"/>
      <c r="Y2828" s="1260"/>
      <c r="Z2828" s="1260"/>
      <c r="AA2828" s="1260"/>
      <c r="AB2828" s="1260"/>
      <c r="AC2828" s="1260"/>
      <c r="AD2828" s="1260"/>
      <c r="AE2828" s="1260"/>
      <c r="AF2828" s="1260"/>
    </row>
  </sheetData>
  <mergeCells count="24">
    <mergeCell ref="B1179:AF1179"/>
    <mergeCell ref="B91:AG91"/>
    <mergeCell ref="B156:AF156"/>
    <mergeCell ref="B292:AF292"/>
    <mergeCell ref="B378:AF378"/>
    <mergeCell ref="B560:AF560"/>
    <mergeCell ref="B652:AF652"/>
    <mergeCell ref="B728:AF728"/>
    <mergeCell ref="B819:AF819"/>
    <mergeCell ref="B897:AF897"/>
    <mergeCell ref="B983:AF983"/>
    <mergeCell ref="B1082:AF1082"/>
    <mergeCell ref="B2828:AF2828"/>
    <mergeCell ref="B1313:AF1313"/>
    <mergeCell ref="B1431:AF1431"/>
    <mergeCell ref="B1535:AF1535"/>
    <mergeCell ref="B1628:AF1628"/>
    <mergeCell ref="B1778:AF1778"/>
    <mergeCell ref="B1928:AF1928"/>
    <mergeCell ref="B2078:AF2078"/>
    <mergeCell ref="B2228:AF2228"/>
    <mergeCell ref="B2378:AF2378"/>
    <mergeCell ref="B2528:AF2528"/>
    <mergeCell ref="B2678:AF2678"/>
  </mergeCells>
  <pageMargins left="0.75" right="0.75" top="1" bottom="1" header="0.5" footer="0.5"/>
  <pageSetup orientation="portrait"/>
  <headerFooter>
    <oddFooter>&amp;R_x000D_&amp;1#&amp;"Aptos"&amp;10&amp;K000000 Official Use Only</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62ADC-C1AA-4EED-8AF9-5955C6CB0E7E}">
  <dimension ref="A1:AH2837"/>
  <sheetViews>
    <sheetView workbookViewId="0">
      <pane xSplit="2" ySplit="1" topLeftCell="C5" activePane="bottomRight" state="frozen"/>
      <selection pane="bottomRight" activeCell="C3" sqref="C3"/>
      <selection pane="bottomLeft" activeCell="A2" sqref="A2"/>
      <selection pane="topRight" activeCell="C1" sqref="C1"/>
    </sheetView>
  </sheetViews>
  <sheetFormatPr defaultColWidth="9.140625" defaultRowHeight="15" customHeight="1"/>
  <cols>
    <col min="1" max="1" width="20.85546875" style="795" hidden="1" customWidth="1"/>
    <col min="2" max="2" width="45.7109375" style="795" customWidth="1"/>
    <col min="3" max="16384" width="9.140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802"/>
      <c r="AF9" s="802"/>
      <c r="AG9" s="802"/>
    </row>
    <row r="10" spans="1:33" ht="15" customHeight="1">
      <c r="A10" s="800" t="s">
        <v>4880</v>
      </c>
      <c r="B10" s="801" t="s">
        <v>4881</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1505</v>
      </c>
      <c r="AG10" s="802"/>
    </row>
    <row r="11" spans="1:33" ht="15" customHeight="1">
      <c r="B11" s="804" t="s">
        <v>4882</v>
      </c>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4237</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4238</v>
      </c>
      <c r="AG12" s="802"/>
    </row>
    <row r="13" spans="1:33" ht="15" customHeight="1" thickBot="1">
      <c r="B13" s="806" t="s">
        <v>4883</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t="s">
        <v>4239</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B15" s="808" t="s">
        <v>4884</v>
      </c>
      <c r="C15" s="802"/>
      <c r="D15" s="802"/>
      <c r="E15" s="802"/>
      <c r="F15" s="802"/>
      <c r="G15" s="802"/>
      <c r="H15" s="802"/>
      <c r="I15" s="802"/>
      <c r="J15" s="802"/>
      <c r="K15" s="802"/>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ht="15" customHeight="1">
      <c r="A16" s="800" t="s">
        <v>4885</v>
      </c>
      <c r="B16" s="812" t="s">
        <v>4886</v>
      </c>
      <c r="C16" s="815">
        <v>29.133368000000001</v>
      </c>
      <c r="D16" s="815">
        <v>31.306763</v>
      </c>
      <c r="E16" s="815">
        <v>31.488976000000001</v>
      </c>
      <c r="F16" s="815">
        <v>30.414380999999999</v>
      </c>
      <c r="G16" s="815">
        <v>29.316693999999998</v>
      </c>
      <c r="H16" s="815">
        <v>28.432261</v>
      </c>
      <c r="I16" s="815">
        <v>27.927178999999999</v>
      </c>
      <c r="J16" s="815">
        <v>27.736774</v>
      </c>
      <c r="K16" s="815">
        <v>27.826453999999998</v>
      </c>
      <c r="L16" s="815">
        <v>28.114606999999999</v>
      </c>
      <c r="M16" s="815">
        <v>28.577341000000001</v>
      </c>
      <c r="N16" s="815">
        <v>29.166181999999999</v>
      </c>
      <c r="O16" s="815">
        <v>29.755032</v>
      </c>
      <c r="P16" s="815">
        <v>30.227194000000001</v>
      </c>
      <c r="Q16" s="815">
        <v>30.581852000000001</v>
      </c>
      <c r="R16" s="815">
        <v>30.898972000000001</v>
      </c>
      <c r="S16" s="815">
        <v>31.307200999999999</v>
      </c>
      <c r="T16" s="815">
        <v>31.507280000000002</v>
      </c>
      <c r="U16" s="815">
        <v>31.831757</v>
      </c>
      <c r="V16" s="815">
        <v>32.150084999999997</v>
      </c>
      <c r="W16" s="815">
        <v>32.377547999999997</v>
      </c>
      <c r="X16" s="815">
        <v>32.495739</v>
      </c>
      <c r="Y16" s="815">
        <v>32.527752</v>
      </c>
      <c r="Z16" s="815">
        <v>32.601685000000003</v>
      </c>
      <c r="AA16" s="815">
        <v>32.818344000000003</v>
      </c>
      <c r="AB16" s="815">
        <v>32.858730000000001</v>
      </c>
      <c r="AC16" s="815">
        <v>32.944167999999998</v>
      </c>
      <c r="AD16" s="815">
        <v>32.974564000000001</v>
      </c>
      <c r="AE16" s="815">
        <v>32.963577000000001</v>
      </c>
      <c r="AF16" s="814">
        <v>4.4209999999999996E-3</v>
      </c>
      <c r="AG16" s="802"/>
    </row>
    <row r="17" spans="1:33" ht="15" customHeight="1">
      <c r="A17" s="800" t="s">
        <v>4887</v>
      </c>
      <c r="B17" s="812" t="s">
        <v>4888</v>
      </c>
      <c r="C17" s="815">
        <v>35.242496000000003</v>
      </c>
      <c r="D17" s="815">
        <v>32.825690999999999</v>
      </c>
      <c r="E17" s="815">
        <v>31.613775</v>
      </c>
      <c r="F17" s="815">
        <v>29.971098000000001</v>
      </c>
      <c r="G17" s="815">
        <v>29.506724999999999</v>
      </c>
      <c r="H17" s="815">
        <v>29.058900999999999</v>
      </c>
      <c r="I17" s="815">
        <v>28.775815999999999</v>
      </c>
      <c r="J17" s="815">
        <v>28.863544000000001</v>
      </c>
      <c r="K17" s="815">
        <v>28.871641</v>
      </c>
      <c r="L17" s="815">
        <v>29.047982999999999</v>
      </c>
      <c r="M17" s="815">
        <v>29.134986999999999</v>
      </c>
      <c r="N17" s="815">
        <v>29.251018999999999</v>
      </c>
      <c r="O17" s="815">
        <v>29.296842999999999</v>
      </c>
      <c r="P17" s="815">
        <v>29.470129</v>
      </c>
      <c r="Q17" s="815">
        <v>29.486605000000001</v>
      </c>
      <c r="R17" s="815">
        <v>29.608255</v>
      </c>
      <c r="S17" s="815">
        <v>29.697092000000001</v>
      </c>
      <c r="T17" s="815">
        <v>29.738928000000001</v>
      </c>
      <c r="U17" s="815">
        <v>29.786014999999999</v>
      </c>
      <c r="V17" s="815">
        <v>29.942484</v>
      </c>
      <c r="W17" s="815">
        <v>29.935656000000002</v>
      </c>
      <c r="X17" s="815">
        <v>30.04907</v>
      </c>
      <c r="Y17" s="815">
        <v>29.954853</v>
      </c>
      <c r="Z17" s="815">
        <v>29.998642</v>
      </c>
      <c r="AA17" s="815">
        <v>30.208777999999999</v>
      </c>
      <c r="AB17" s="815">
        <v>30.235264000000001</v>
      </c>
      <c r="AC17" s="815">
        <v>30.267240999999999</v>
      </c>
      <c r="AD17" s="815">
        <v>30.332972999999999</v>
      </c>
      <c r="AE17" s="815">
        <v>30.333071</v>
      </c>
      <c r="AF17" s="814">
        <v>-5.3429999999999997E-3</v>
      </c>
      <c r="AG17" s="802"/>
    </row>
    <row r="18" spans="1:33" ht="15" customHeight="1">
      <c r="A18" s="800" t="s">
        <v>4889</v>
      </c>
      <c r="B18" s="812" t="s">
        <v>4890</v>
      </c>
      <c r="C18" s="815">
        <v>14.293920999999999</v>
      </c>
      <c r="D18" s="815">
        <v>14.064584</v>
      </c>
      <c r="E18" s="815">
        <v>12.820667</v>
      </c>
      <c r="F18" s="815">
        <v>12.096767</v>
      </c>
      <c r="G18" s="815">
        <v>11.490399999999999</v>
      </c>
      <c r="H18" s="815">
        <v>11.084415999999999</v>
      </c>
      <c r="I18" s="815">
        <v>10.822556000000001</v>
      </c>
      <c r="J18" s="815">
        <v>10.873314000000001</v>
      </c>
      <c r="K18" s="815">
        <v>10.916109000000001</v>
      </c>
      <c r="L18" s="815">
        <v>11.018428999999999</v>
      </c>
      <c r="M18" s="815">
        <v>11.109650999999999</v>
      </c>
      <c r="N18" s="815">
        <v>11.256351</v>
      </c>
      <c r="O18" s="815">
        <v>11.376830999999999</v>
      </c>
      <c r="P18" s="815">
        <v>11.484237</v>
      </c>
      <c r="Q18" s="815">
        <v>11.535565</v>
      </c>
      <c r="R18" s="815">
        <v>11.619213999999999</v>
      </c>
      <c r="S18" s="815">
        <v>11.759008</v>
      </c>
      <c r="T18" s="815">
        <v>11.765636000000001</v>
      </c>
      <c r="U18" s="815">
        <v>11.858184</v>
      </c>
      <c r="V18" s="815">
        <v>11.954751999999999</v>
      </c>
      <c r="W18" s="815">
        <v>11.979805000000001</v>
      </c>
      <c r="X18" s="815">
        <v>11.966863</v>
      </c>
      <c r="Y18" s="815">
        <v>11.924365999999999</v>
      </c>
      <c r="Z18" s="815">
        <v>11.983916000000001</v>
      </c>
      <c r="AA18" s="815">
        <v>12.294510000000001</v>
      </c>
      <c r="AB18" s="815">
        <v>12.278926999999999</v>
      </c>
      <c r="AC18" s="815">
        <v>12.246207999999999</v>
      </c>
      <c r="AD18" s="815">
        <v>12.250840999999999</v>
      </c>
      <c r="AE18" s="815">
        <v>12.285347</v>
      </c>
      <c r="AF18" s="814">
        <v>-5.3940000000000004E-3</v>
      </c>
      <c r="AG18" s="802"/>
    </row>
    <row r="19" spans="1:33" ht="15" customHeight="1">
      <c r="A19" s="800" t="s">
        <v>4891</v>
      </c>
      <c r="B19" s="812" t="s">
        <v>3186</v>
      </c>
      <c r="C19" s="815">
        <v>42.669246999999999</v>
      </c>
      <c r="D19" s="815">
        <v>41.433242999999997</v>
      </c>
      <c r="E19" s="815">
        <v>40.553882999999999</v>
      </c>
      <c r="F19" s="815">
        <v>39.341568000000002</v>
      </c>
      <c r="G19" s="815">
        <v>38.636054999999999</v>
      </c>
      <c r="H19" s="815">
        <v>38.098618000000002</v>
      </c>
      <c r="I19" s="815">
        <v>37.736530000000002</v>
      </c>
      <c r="J19" s="815">
        <v>37.638126</v>
      </c>
      <c r="K19" s="815">
        <v>37.737510999999998</v>
      </c>
      <c r="L19" s="815">
        <v>37.934016999999997</v>
      </c>
      <c r="M19" s="815">
        <v>38.113976000000001</v>
      </c>
      <c r="N19" s="815">
        <v>38.685684000000002</v>
      </c>
      <c r="O19" s="815">
        <v>39.125293999999997</v>
      </c>
      <c r="P19" s="815">
        <v>39.167233000000003</v>
      </c>
      <c r="Q19" s="815">
        <v>39.408442999999998</v>
      </c>
      <c r="R19" s="815">
        <v>39.708202</v>
      </c>
      <c r="S19" s="815">
        <v>40.126545</v>
      </c>
      <c r="T19" s="815">
        <v>40.421805999999997</v>
      </c>
      <c r="U19" s="815">
        <v>40.716976000000003</v>
      </c>
      <c r="V19" s="815">
        <v>40.952396</v>
      </c>
      <c r="W19" s="815">
        <v>41.084854</v>
      </c>
      <c r="X19" s="815">
        <v>41.174621999999999</v>
      </c>
      <c r="Y19" s="815">
        <v>41.248722000000001</v>
      </c>
      <c r="Z19" s="815">
        <v>41.339100000000002</v>
      </c>
      <c r="AA19" s="815">
        <v>41.270775</v>
      </c>
      <c r="AB19" s="815">
        <v>41.153132999999997</v>
      </c>
      <c r="AC19" s="815">
        <v>41.092044999999999</v>
      </c>
      <c r="AD19" s="815">
        <v>40.905059999999999</v>
      </c>
      <c r="AE19" s="815">
        <v>40.599277000000001</v>
      </c>
      <c r="AF19" s="814">
        <v>-1.774E-3</v>
      </c>
      <c r="AG19" s="802"/>
    </row>
    <row r="20" spans="1:33" ht="15" customHeight="1">
      <c r="B20" s="802"/>
      <c r="C20" s="802"/>
      <c r="D20" s="802"/>
      <c r="E20" s="802"/>
      <c r="F20" s="802"/>
      <c r="G20" s="802"/>
      <c r="H20" s="802"/>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2"/>
      <c r="AF20" s="802"/>
      <c r="AG20" s="802"/>
    </row>
    <row r="21" spans="1:33" ht="15" customHeight="1">
      <c r="B21" s="808" t="s">
        <v>4892</v>
      </c>
      <c r="C21" s="802"/>
      <c r="D21" s="802"/>
      <c r="E21" s="802"/>
      <c r="F21" s="802"/>
      <c r="G21" s="802"/>
      <c r="H21" s="802"/>
      <c r="I21" s="802"/>
      <c r="J21" s="802"/>
      <c r="K21" s="802"/>
      <c r="L21" s="802"/>
      <c r="M21" s="802"/>
      <c r="N21" s="802"/>
      <c r="O21" s="802"/>
      <c r="P21" s="802"/>
      <c r="Q21" s="802"/>
      <c r="R21" s="802"/>
      <c r="S21" s="802"/>
      <c r="T21" s="802"/>
      <c r="U21" s="802"/>
      <c r="V21" s="802"/>
      <c r="W21" s="802"/>
      <c r="X21" s="802"/>
      <c r="Y21" s="802"/>
      <c r="Z21" s="802"/>
      <c r="AA21" s="802"/>
      <c r="AB21" s="802"/>
      <c r="AC21" s="802"/>
      <c r="AD21" s="802"/>
      <c r="AE21" s="802"/>
      <c r="AF21" s="802"/>
      <c r="AG21" s="802"/>
    </row>
    <row r="22" spans="1:33" ht="15" customHeight="1">
      <c r="A22" s="800" t="s">
        <v>4893</v>
      </c>
      <c r="B22" s="812" t="s">
        <v>4886</v>
      </c>
      <c r="C22" s="815">
        <v>27.825644</v>
      </c>
      <c r="D22" s="815">
        <v>26.750048</v>
      </c>
      <c r="E22" s="815">
        <v>24.895067000000001</v>
      </c>
      <c r="F22" s="815">
        <v>22.915489000000001</v>
      </c>
      <c r="G22" s="815">
        <v>21.863067999999998</v>
      </c>
      <c r="H22" s="815">
        <v>21.29063</v>
      </c>
      <c r="I22" s="815">
        <v>21.164490000000001</v>
      </c>
      <c r="J22" s="815">
        <v>21.271128000000001</v>
      </c>
      <c r="K22" s="815">
        <v>21.567475999999999</v>
      </c>
      <c r="L22" s="815">
        <v>21.957166999999998</v>
      </c>
      <c r="M22" s="815">
        <v>22.450292999999999</v>
      </c>
      <c r="N22" s="815">
        <v>22.999268000000001</v>
      </c>
      <c r="O22" s="815">
        <v>23.455528000000001</v>
      </c>
      <c r="P22" s="815">
        <v>23.727990999999999</v>
      </c>
      <c r="Q22" s="815">
        <v>23.893875000000001</v>
      </c>
      <c r="R22" s="815">
        <v>24.081244999999999</v>
      </c>
      <c r="S22" s="815">
        <v>24.430447000000001</v>
      </c>
      <c r="T22" s="815">
        <v>24.450624000000001</v>
      </c>
      <c r="U22" s="815">
        <v>24.742602999999999</v>
      </c>
      <c r="V22" s="815">
        <v>24.982395</v>
      </c>
      <c r="W22" s="815">
        <v>25.090612</v>
      </c>
      <c r="X22" s="815">
        <v>25.093864</v>
      </c>
      <c r="Y22" s="815">
        <v>25.044073000000001</v>
      </c>
      <c r="Z22" s="815">
        <v>25.106045000000002</v>
      </c>
      <c r="AA22" s="815">
        <v>25.327110000000001</v>
      </c>
      <c r="AB22" s="815">
        <v>25.361146999999999</v>
      </c>
      <c r="AC22" s="815">
        <v>25.452358</v>
      </c>
      <c r="AD22" s="815">
        <v>25.443525000000001</v>
      </c>
      <c r="AE22" s="815">
        <v>25.401167000000001</v>
      </c>
      <c r="AF22" s="814">
        <v>-3.251E-3</v>
      </c>
      <c r="AG22" s="802"/>
    </row>
    <row r="23" spans="1:33" ht="15" customHeight="1">
      <c r="A23" s="800" t="s">
        <v>4894</v>
      </c>
      <c r="B23" s="812" t="s">
        <v>4888</v>
      </c>
      <c r="C23" s="815">
        <v>35.263694999999998</v>
      </c>
      <c r="D23" s="815">
        <v>32.981144</v>
      </c>
      <c r="E23" s="815">
        <v>30.614763</v>
      </c>
      <c r="F23" s="815">
        <v>27.813896</v>
      </c>
      <c r="G23" s="815">
        <v>26.172981</v>
      </c>
      <c r="H23" s="815">
        <v>24.572749999999999</v>
      </c>
      <c r="I23" s="815">
        <v>23.124897000000001</v>
      </c>
      <c r="J23" s="815">
        <v>23.207827000000002</v>
      </c>
      <c r="K23" s="815">
        <v>23.210224</v>
      </c>
      <c r="L23" s="815">
        <v>23.375800999999999</v>
      </c>
      <c r="M23" s="815">
        <v>23.469553000000001</v>
      </c>
      <c r="N23" s="815">
        <v>23.574058999999998</v>
      </c>
      <c r="O23" s="815">
        <v>23.628924999999999</v>
      </c>
      <c r="P23" s="815">
        <v>23.780881999999998</v>
      </c>
      <c r="Q23" s="815">
        <v>23.807659000000001</v>
      </c>
      <c r="R23" s="815">
        <v>23.920522999999999</v>
      </c>
      <c r="S23" s="815">
        <v>24.003952000000002</v>
      </c>
      <c r="T23" s="815">
        <v>24.045341000000001</v>
      </c>
      <c r="U23" s="815">
        <v>24.092535000000002</v>
      </c>
      <c r="V23" s="815">
        <v>24.247444000000002</v>
      </c>
      <c r="W23" s="815">
        <v>24.240576000000001</v>
      </c>
      <c r="X23" s="815">
        <v>24.354948</v>
      </c>
      <c r="Y23" s="815">
        <v>24.264793000000001</v>
      </c>
      <c r="Z23" s="815">
        <v>24.334454000000001</v>
      </c>
      <c r="AA23" s="815">
        <v>24.855765999999999</v>
      </c>
      <c r="AB23" s="815">
        <v>24.870148</v>
      </c>
      <c r="AC23" s="815">
        <v>24.901744999999998</v>
      </c>
      <c r="AD23" s="815">
        <v>24.972280999999999</v>
      </c>
      <c r="AE23" s="815">
        <v>24.973918999999999</v>
      </c>
      <c r="AF23" s="814">
        <v>-1.2246999999999999E-2</v>
      </c>
      <c r="AG23" s="802"/>
    </row>
    <row r="24" spans="1:33" ht="15" customHeight="1">
      <c r="A24" s="800" t="s">
        <v>4895</v>
      </c>
      <c r="B24" s="812" t="s">
        <v>4896</v>
      </c>
      <c r="C24" s="815">
        <v>12.628995</v>
      </c>
      <c r="D24" s="815">
        <v>7.8650659999999997</v>
      </c>
      <c r="E24" s="815">
        <v>9.434374</v>
      </c>
      <c r="F24" s="815">
        <v>9.7382729999999995</v>
      </c>
      <c r="G24" s="815">
        <v>11.133956</v>
      </c>
      <c r="H24" s="815">
        <v>12.534561999999999</v>
      </c>
      <c r="I24" s="815">
        <v>14.025283999999999</v>
      </c>
      <c r="J24" s="815">
        <v>14.102822</v>
      </c>
      <c r="K24" s="815">
        <v>14.186954</v>
      </c>
      <c r="L24" s="815">
        <v>14.294547</v>
      </c>
      <c r="M24" s="815">
        <v>14.392586</v>
      </c>
      <c r="N24" s="815">
        <v>14.48232</v>
      </c>
      <c r="O24" s="815">
        <v>14.582383</v>
      </c>
      <c r="P24" s="815">
        <v>14.694341</v>
      </c>
      <c r="Q24" s="815">
        <v>14.783643</v>
      </c>
      <c r="R24" s="815">
        <v>14.880509999999999</v>
      </c>
      <c r="S24" s="815">
        <v>14.985899</v>
      </c>
      <c r="T24" s="815">
        <v>15.052875</v>
      </c>
      <c r="U24" s="815">
        <v>15.137447999999999</v>
      </c>
      <c r="V24" s="815">
        <v>15.264226000000001</v>
      </c>
      <c r="W24" s="815">
        <v>15.277987</v>
      </c>
      <c r="X24" s="815">
        <v>15.347211</v>
      </c>
      <c r="Y24" s="815">
        <v>15.376574</v>
      </c>
      <c r="Z24" s="815">
        <v>15.433166</v>
      </c>
      <c r="AA24" s="815">
        <v>15.594908</v>
      </c>
      <c r="AB24" s="815">
        <v>15.594113999999999</v>
      </c>
      <c r="AC24" s="815">
        <v>15.714553</v>
      </c>
      <c r="AD24" s="815">
        <v>15.804392</v>
      </c>
      <c r="AE24" s="815">
        <v>15.873075</v>
      </c>
      <c r="AF24" s="814">
        <v>8.1989999999999997E-3</v>
      </c>
      <c r="AG24" s="802"/>
    </row>
    <row r="25" spans="1:33" ht="15" customHeight="1">
      <c r="A25" s="800" t="s">
        <v>4897</v>
      </c>
      <c r="B25" s="812" t="s">
        <v>4890</v>
      </c>
      <c r="C25" s="815">
        <v>10.986808</v>
      </c>
      <c r="D25" s="815">
        <v>10.325419</v>
      </c>
      <c r="E25" s="815">
        <v>9.3254219999999997</v>
      </c>
      <c r="F25" s="815">
        <v>8.8462060000000005</v>
      </c>
      <c r="G25" s="815">
        <v>8.4563649999999999</v>
      </c>
      <c r="H25" s="815">
        <v>8.2451399999999992</v>
      </c>
      <c r="I25" s="815">
        <v>8.1537489999999995</v>
      </c>
      <c r="J25" s="815">
        <v>8.1912269999999996</v>
      </c>
      <c r="K25" s="815">
        <v>8.2165320000000008</v>
      </c>
      <c r="L25" s="815">
        <v>8.2962330000000009</v>
      </c>
      <c r="M25" s="815">
        <v>8.3676929999999992</v>
      </c>
      <c r="N25" s="815">
        <v>8.4998389999999997</v>
      </c>
      <c r="O25" s="815">
        <v>8.6007459999999991</v>
      </c>
      <c r="P25" s="815">
        <v>8.6883189999999999</v>
      </c>
      <c r="Q25" s="815">
        <v>8.7239880000000003</v>
      </c>
      <c r="R25" s="815">
        <v>8.7927320000000009</v>
      </c>
      <c r="S25" s="815">
        <v>8.9164480000000008</v>
      </c>
      <c r="T25" s="815">
        <v>8.9131370000000008</v>
      </c>
      <c r="U25" s="815">
        <v>8.9955510000000007</v>
      </c>
      <c r="V25" s="815">
        <v>9.0808020000000003</v>
      </c>
      <c r="W25" s="815">
        <v>9.0962859999999992</v>
      </c>
      <c r="X25" s="815">
        <v>9.0763879999999997</v>
      </c>
      <c r="Y25" s="815">
        <v>9.0307539999999999</v>
      </c>
      <c r="Z25" s="815">
        <v>9.0795709999999996</v>
      </c>
      <c r="AA25" s="815">
        <v>9.2763690000000008</v>
      </c>
      <c r="AB25" s="815">
        <v>9.235811</v>
      </c>
      <c r="AC25" s="815">
        <v>9.1928889999999992</v>
      </c>
      <c r="AD25" s="815">
        <v>9.1929289999999995</v>
      </c>
      <c r="AE25" s="815">
        <v>9.224361</v>
      </c>
      <c r="AF25" s="814">
        <v>-6.2249999999999996E-3</v>
      </c>
      <c r="AG25" s="802"/>
    </row>
    <row r="26" spans="1:33" ht="15" customHeight="1">
      <c r="A26" s="800" t="s">
        <v>4898</v>
      </c>
      <c r="B26" s="812" t="s">
        <v>3186</v>
      </c>
      <c r="C26" s="815">
        <v>36.670883000000003</v>
      </c>
      <c r="D26" s="815">
        <v>35.900337</v>
      </c>
      <c r="E26" s="815">
        <v>34.342381000000003</v>
      </c>
      <c r="F26" s="815">
        <v>32.872684</v>
      </c>
      <c r="G26" s="815">
        <v>32.054313999999998</v>
      </c>
      <c r="H26" s="815">
        <v>31.460438</v>
      </c>
      <c r="I26" s="815">
        <v>30.960937999999999</v>
      </c>
      <c r="J26" s="815">
        <v>30.716866</v>
      </c>
      <c r="K26" s="815">
        <v>30.680281000000001</v>
      </c>
      <c r="L26" s="815">
        <v>30.663637000000001</v>
      </c>
      <c r="M26" s="815">
        <v>30.632755</v>
      </c>
      <c r="N26" s="815">
        <v>30.980528</v>
      </c>
      <c r="O26" s="815">
        <v>31.210360999999999</v>
      </c>
      <c r="P26" s="815">
        <v>31.136457</v>
      </c>
      <c r="Q26" s="815">
        <v>31.231977000000001</v>
      </c>
      <c r="R26" s="815">
        <v>31.342302</v>
      </c>
      <c r="S26" s="815">
        <v>31.591194000000002</v>
      </c>
      <c r="T26" s="815">
        <v>31.754964999999999</v>
      </c>
      <c r="U26" s="815">
        <v>31.889710999999998</v>
      </c>
      <c r="V26" s="815">
        <v>31.993582</v>
      </c>
      <c r="W26" s="815">
        <v>32.010455999999998</v>
      </c>
      <c r="X26" s="815">
        <v>32.017532000000003</v>
      </c>
      <c r="Y26" s="815">
        <v>31.980668999999999</v>
      </c>
      <c r="Z26" s="815">
        <v>31.929119</v>
      </c>
      <c r="AA26" s="815">
        <v>31.752293000000002</v>
      </c>
      <c r="AB26" s="815">
        <v>31.488890000000001</v>
      </c>
      <c r="AC26" s="815">
        <v>31.376942</v>
      </c>
      <c r="AD26" s="815">
        <v>31.126701000000001</v>
      </c>
      <c r="AE26" s="815">
        <v>30.802555000000002</v>
      </c>
      <c r="AF26" s="814">
        <v>-6.2090000000000001E-3</v>
      </c>
      <c r="AG26" s="802"/>
    </row>
    <row r="27" spans="1:33" ht="15" customHeight="1">
      <c r="B27" s="802"/>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c r="AE27" s="802"/>
      <c r="AF27" s="802"/>
      <c r="AG27" s="802"/>
    </row>
    <row r="28" spans="1:33" ht="15" customHeight="1">
      <c r="B28" s="808" t="s">
        <v>4899</v>
      </c>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row>
    <row r="29" spans="1:33" ht="15" customHeight="1">
      <c r="A29" s="800" t="s">
        <v>4900</v>
      </c>
      <c r="B29" s="812" t="s">
        <v>4886</v>
      </c>
      <c r="C29" s="815">
        <v>23.435020000000002</v>
      </c>
      <c r="D29" s="815">
        <v>21.469131000000001</v>
      </c>
      <c r="E29" s="815">
        <v>19.205514999999998</v>
      </c>
      <c r="F29" s="815">
        <v>17.003975000000001</v>
      </c>
      <c r="G29" s="815">
        <v>15.932600000000001</v>
      </c>
      <c r="H29" s="815">
        <v>15.368119999999999</v>
      </c>
      <c r="I29" s="815">
        <v>15.270111</v>
      </c>
      <c r="J29" s="815">
        <v>15.401593999999999</v>
      </c>
      <c r="K29" s="815">
        <v>15.727974</v>
      </c>
      <c r="L29" s="815">
        <v>16.148448999999999</v>
      </c>
      <c r="M29" s="815">
        <v>16.682365000000001</v>
      </c>
      <c r="N29" s="815">
        <v>17.278714999999998</v>
      </c>
      <c r="O29" s="815">
        <v>17.769476000000001</v>
      </c>
      <c r="P29" s="815">
        <v>18.054673999999999</v>
      </c>
      <c r="Q29" s="815">
        <v>18.227862999999999</v>
      </c>
      <c r="R29" s="815">
        <v>18.434585999999999</v>
      </c>
      <c r="S29" s="815">
        <v>18.832411</v>
      </c>
      <c r="T29" s="815">
        <v>18.834531999999999</v>
      </c>
      <c r="U29" s="815">
        <v>19.175160999999999</v>
      </c>
      <c r="V29" s="815">
        <v>19.442754999999998</v>
      </c>
      <c r="W29" s="815">
        <v>19.555237000000002</v>
      </c>
      <c r="X29" s="815">
        <v>19.550401999999998</v>
      </c>
      <c r="Y29" s="815">
        <v>19.489827999999999</v>
      </c>
      <c r="Z29" s="815">
        <v>19.551672</v>
      </c>
      <c r="AA29" s="815">
        <v>19.545283999999999</v>
      </c>
      <c r="AB29" s="815">
        <v>19.586832000000001</v>
      </c>
      <c r="AC29" s="815">
        <v>19.694735999999999</v>
      </c>
      <c r="AD29" s="815">
        <v>19.679703</v>
      </c>
      <c r="AE29" s="815">
        <v>19.630019999999998</v>
      </c>
      <c r="AF29" s="814">
        <v>-6.3080000000000002E-3</v>
      </c>
      <c r="AG29" s="802"/>
    </row>
    <row r="30" spans="1:33" ht="15" customHeight="1">
      <c r="A30" s="800" t="s">
        <v>4901</v>
      </c>
      <c r="B30" s="812" t="s">
        <v>4888</v>
      </c>
      <c r="C30" s="815">
        <v>35.187302000000003</v>
      </c>
      <c r="D30" s="815">
        <v>32.804630000000003</v>
      </c>
      <c r="E30" s="815">
        <v>30.476191</v>
      </c>
      <c r="F30" s="815">
        <v>27.636358000000001</v>
      </c>
      <c r="G30" s="815">
        <v>25.955219</v>
      </c>
      <c r="H30" s="815">
        <v>24.321341</v>
      </c>
      <c r="I30" s="815">
        <v>22.837069</v>
      </c>
      <c r="J30" s="815">
        <v>22.933368999999999</v>
      </c>
      <c r="K30" s="815">
        <v>22.940442999999998</v>
      </c>
      <c r="L30" s="815">
        <v>23.109438000000001</v>
      </c>
      <c r="M30" s="815">
        <v>23.212620000000001</v>
      </c>
      <c r="N30" s="815">
        <v>23.333881000000002</v>
      </c>
      <c r="O30" s="815">
        <v>23.39049</v>
      </c>
      <c r="P30" s="815">
        <v>23.561223999999999</v>
      </c>
      <c r="Q30" s="815">
        <v>23.589086999999999</v>
      </c>
      <c r="R30" s="815">
        <v>23.713947000000001</v>
      </c>
      <c r="S30" s="815">
        <v>23.804403000000001</v>
      </c>
      <c r="T30" s="815">
        <v>23.853134000000001</v>
      </c>
      <c r="U30" s="815">
        <v>23.908232000000002</v>
      </c>
      <c r="V30" s="815">
        <v>24.072897000000001</v>
      </c>
      <c r="W30" s="815">
        <v>24.073511</v>
      </c>
      <c r="X30" s="815">
        <v>24.198322000000001</v>
      </c>
      <c r="Y30" s="815">
        <v>24.118036</v>
      </c>
      <c r="Z30" s="815">
        <v>24.174662000000001</v>
      </c>
      <c r="AA30" s="815">
        <v>24.400406</v>
      </c>
      <c r="AB30" s="815">
        <v>24.425331</v>
      </c>
      <c r="AC30" s="815">
        <v>24.465714999999999</v>
      </c>
      <c r="AD30" s="815">
        <v>24.54307</v>
      </c>
      <c r="AE30" s="815">
        <v>24.550739</v>
      </c>
      <c r="AF30" s="814">
        <v>-1.2773E-2</v>
      </c>
      <c r="AG30" s="802"/>
    </row>
    <row r="31" spans="1:33" ht="12" customHeight="1">
      <c r="A31" s="800" t="s">
        <v>4902</v>
      </c>
      <c r="B31" s="812" t="s">
        <v>4896</v>
      </c>
      <c r="C31" s="815">
        <v>13.34515</v>
      </c>
      <c r="D31" s="815">
        <v>8.4961450000000003</v>
      </c>
      <c r="E31" s="815">
        <v>10.168447</v>
      </c>
      <c r="F31" s="815">
        <v>10.736027</v>
      </c>
      <c r="G31" s="815">
        <v>12.278802000000001</v>
      </c>
      <c r="H31" s="815">
        <v>13.923551</v>
      </c>
      <c r="I31" s="815">
        <v>15.540428</v>
      </c>
      <c r="J31" s="815">
        <v>15.624060999999999</v>
      </c>
      <c r="K31" s="815">
        <v>15.728377999999999</v>
      </c>
      <c r="L31" s="815">
        <v>15.850405</v>
      </c>
      <c r="M31" s="815">
        <v>15.970654</v>
      </c>
      <c r="N31" s="815">
        <v>16.084973999999999</v>
      </c>
      <c r="O31" s="815">
        <v>16.205594999999999</v>
      </c>
      <c r="P31" s="815">
        <v>16.335402999999999</v>
      </c>
      <c r="Q31" s="815">
        <v>16.434000000000001</v>
      </c>
      <c r="R31" s="815">
        <v>16.537801999999999</v>
      </c>
      <c r="S31" s="815">
        <v>16.65823</v>
      </c>
      <c r="T31" s="815">
        <v>16.734859</v>
      </c>
      <c r="U31" s="815">
        <v>16.834289999999999</v>
      </c>
      <c r="V31" s="815">
        <v>16.971537000000001</v>
      </c>
      <c r="W31" s="815">
        <v>16.992591999999998</v>
      </c>
      <c r="X31" s="815">
        <v>17.066227000000001</v>
      </c>
      <c r="Y31" s="815">
        <v>17.056498999999999</v>
      </c>
      <c r="Z31" s="815">
        <v>17.117035000000001</v>
      </c>
      <c r="AA31" s="815">
        <v>17.292304999999999</v>
      </c>
      <c r="AB31" s="815">
        <v>17.297117</v>
      </c>
      <c r="AC31" s="815">
        <v>17.411476</v>
      </c>
      <c r="AD31" s="815">
        <v>17.497350999999998</v>
      </c>
      <c r="AE31" s="815">
        <v>17.570716999999998</v>
      </c>
      <c r="AF31" s="814">
        <v>9.8729999999999998E-3</v>
      </c>
      <c r="AG31" s="802"/>
    </row>
    <row r="32" spans="1:33" ht="12" customHeight="1">
      <c r="A32" s="800" t="s">
        <v>4903</v>
      </c>
      <c r="B32" s="812" t="s">
        <v>4904</v>
      </c>
      <c r="C32" s="815">
        <v>7.3309170000000003</v>
      </c>
      <c r="D32" s="815">
        <v>6.2700329999999997</v>
      </c>
      <c r="E32" s="815">
        <v>5.1604200000000002</v>
      </c>
      <c r="F32" s="815">
        <v>4.5920259999999997</v>
      </c>
      <c r="G32" s="815">
        <v>4.1592359999999999</v>
      </c>
      <c r="H32" s="815">
        <v>3.9202270000000001</v>
      </c>
      <c r="I32" s="815">
        <v>3.8369740000000001</v>
      </c>
      <c r="J32" s="815">
        <v>3.8520029999999998</v>
      </c>
      <c r="K32" s="815">
        <v>3.9104890000000001</v>
      </c>
      <c r="L32" s="815">
        <v>4.015809</v>
      </c>
      <c r="M32" s="815">
        <v>4.1266280000000002</v>
      </c>
      <c r="N32" s="815">
        <v>4.2846310000000001</v>
      </c>
      <c r="O32" s="815">
        <v>4.4108970000000003</v>
      </c>
      <c r="P32" s="815">
        <v>4.5220779999999996</v>
      </c>
      <c r="Q32" s="815">
        <v>4.5410050000000002</v>
      </c>
      <c r="R32" s="815">
        <v>4.5855629999999996</v>
      </c>
      <c r="S32" s="815">
        <v>4.709835</v>
      </c>
      <c r="T32" s="815">
        <v>4.6547780000000003</v>
      </c>
      <c r="U32" s="815">
        <v>4.7746180000000003</v>
      </c>
      <c r="V32" s="815">
        <v>4.8514379999999999</v>
      </c>
      <c r="W32" s="815">
        <v>4.8454240000000004</v>
      </c>
      <c r="X32" s="815">
        <v>4.7942140000000002</v>
      </c>
      <c r="Y32" s="815">
        <v>4.7445890000000004</v>
      </c>
      <c r="Z32" s="815">
        <v>4.7421860000000002</v>
      </c>
      <c r="AA32" s="815">
        <v>4.7064450000000004</v>
      </c>
      <c r="AB32" s="815">
        <v>4.6718780000000004</v>
      </c>
      <c r="AC32" s="815">
        <v>4.6380869999999996</v>
      </c>
      <c r="AD32" s="815">
        <v>4.5964590000000003</v>
      </c>
      <c r="AE32" s="815">
        <v>4.5926539999999996</v>
      </c>
      <c r="AF32" s="814">
        <v>-1.6563000000000001E-2</v>
      </c>
      <c r="AG32" s="802"/>
    </row>
    <row r="33" spans="1:33" ht="12" customHeight="1">
      <c r="A33" s="800" t="s">
        <v>4905</v>
      </c>
      <c r="B33" s="812" t="s">
        <v>4906</v>
      </c>
      <c r="C33" s="815">
        <v>5.4304249999999996</v>
      </c>
      <c r="D33" s="815">
        <v>5.4466970000000003</v>
      </c>
      <c r="E33" s="815">
        <v>5.6790830000000003</v>
      </c>
      <c r="F33" s="815">
        <v>5.6766920000000001</v>
      </c>
      <c r="G33" s="815">
        <v>5.7069979999999996</v>
      </c>
      <c r="H33" s="815">
        <v>5.757409</v>
      </c>
      <c r="I33" s="815">
        <v>5.7974399999999999</v>
      </c>
      <c r="J33" s="815">
        <v>5.8433669999999998</v>
      </c>
      <c r="K33" s="815">
        <v>5.947584</v>
      </c>
      <c r="L33" s="815">
        <v>6.0097779999999998</v>
      </c>
      <c r="M33" s="815">
        <v>6.110779</v>
      </c>
      <c r="N33" s="815">
        <v>6.1829609999999997</v>
      </c>
      <c r="O33" s="815">
        <v>6.2506630000000003</v>
      </c>
      <c r="P33" s="815">
        <v>6.3259449999999999</v>
      </c>
      <c r="Q33" s="815">
        <v>6.403143</v>
      </c>
      <c r="R33" s="815">
        <v>6.4953659999999998</v>
      </c>
      <c r="S33" s="815">
        <v>6.5684300000000002</v>
      </c>
      <c r="T33" s="815">
        <v>6.6390440000000002</v>
      </c>
      <c r="U33" s="815">
        <v>6.7099260000000003</v>
      </c>
      <c r="V33" s="815">
        <v>6.7595479999999997</v>
      </c>
      <c r="W33" s="815">
        <v>6.8068</v>
      </c>
      <c r="X33" s="815">
        <v>6.8561490000000003</v>
      </c>
      <c r="Y33" s="815">
        <v>6.9083310000000004</v>
      </c>
      <c r="Z33" s="815">
        <v>6.9656209999999996</v>
      </c>
      <c r="AA33" s="815">
        <v>7.01844</v>
      </c>
      <c r="AB33" s="815">
        <v>7.0695379999999997</v>
      </c>
      <c r="AC33" s="815">
        <v>7.1226570000000002</v>
      </c>
      <c r="AD33" s="815">
        <v>7.1712059999999997</v>
      </c>
      <c r="AE33" s="815">
        <v>7.2262329999999997</v>
      </c>
      <c r="AF33" s="814">
        <v>1.0255999999999999E-2</v>
      </c>
      <c r="AG33" s="802"/>
    </row>
    <row r="34" spans="1:33" ht="12" customHeight="1">
      <c r="A34" s="800" t="s">
        <v>4907</v>
      </c>
      <c r="B34" s="812" t="s">
        <v>4908</v>
      </c>
      <c r="C34" s="815">
        <v>2.7995990000000002</v>
      </c>
      <c r="D34" s="815">
        <v>2.739652</v>
      </c>
      <c r="E34" s="815">
        <v>2.81602</v>
      </c>
      <c r="F34" s="815">
        <v>2.8787729999999998</v>
      </c>
      <c r="G34" s="815">
        <v>2.8711600000000002</v>
      </c>
      <c r="H34" s="815">
        <v>2.854581</v>
      </c>
      <c r="I34" s="815">
        <v>2.8362250000000002</v>
      </c>
      <c r="J34" s="815">
        <v>2.8263880000000001</v>
      </c>
      <c r="K34" s="815">
        <v>2.8201990000000001</v>
      </c>
      <c r="L34" s="815">
        <v>2.8153779999999999</v>
      </c>
      <c r="M34" s="815">
        <v>2.808907</v>
      </c>
      <c r="N34" s="815">
        <v>2.8084190000000002</v>
      </c>
      <c r="O34" s="815">
        <v>2.8094380000000001</v>
      </c>
      <c r="P34" s="815">
        <v>2.811175</v>
      </c>
      <c r="Q34" s="815">
        <v>2.8150270000000002</v>
      </c>
      <c r="R34" s="815">
        <v>2.8257270000000001</v>
      </c>
      <c r="S34" s="815">
        <v>2.8389229999999999</v>
      </c>
      <c r="T34" s="815">
        <v>2.847067</v>
      </c>
      <c r="U34" s="815">
        <v>2.8494899999999999</v>
      </c>
      <c r="V34" s="815">
        <v>2.85175</v>
      </c>
      <c r="W34" s="815">
        <v>2.8516870000000001</v>
      </c>
      <c r="X34" s="815">
        <v>2.8542700000000001</v>
      </c>
      <c r="Y34" s="815">
        <v>2.8538139999999999</v>
      </c>
      <c r="Z34" s="815">
        <v>2.8573719999999998</v>
      </c>
      <c r="AA34" s="815">
        <v>2.860795</v>
      </c>
      <c r="AB34" s="815">
        <v>2.8650159999999998</v>
      </c>
      <c r="AC34" s="815">
        <v>2.8701219999999998</v>
      </c>
      <c r="AD34" s="815">
        <v>2.8668680000000002</v>
      </c>
      <c r="AE34" s="815">
        <v>2.867251</v>
      </c>
      <c r="AF34" s="814">
        <v>8.5300000000000003E-4</v>
      </c>
      <c r="AG34" s="802"/>
    </row>
    <row r="35" spans="1:33" ht="12" customHeight="1">
      <c r="A35" s="800" t="s">
        <v>4909</v>
      </c>
      <c r="B35" s="812" t="s">
        <v>4910</v>
      </c>
      <c r="C35" s="815" t="s">
        <v>2805</v>
      </c>
      <c r="D35" s="815" t="s">
        <v>2805</v>
      </c>
      <c r="E35" s="815" t="s">
        <v>2805</v>
      </c>
      <c r="F35" s="815" t="s">
        <v>2805</v>
      </c>
      <c r="G35" s="815" t="s">
        <v>2805</v>
      </c>
      <c r="H35" s="815" t="s">
        <v>2805</v>
      </c>
      <c r="I35" s="815" t="s">
        <v>2805</v>
      </c>
      <c r="J35" s="815" t="s">
        <v>2805</v>
      </c>
      <c r="K35" s="815" t="s">
        <v>2805</v>
      </c>
      <c r="L35" s="815" t="s">
        <v>2805</v>
      </c>
      <c r="M35" s="815" t="s">
        <v>2805</v>
      </c>
      <c r="N35" s="815" t="s">
        <v>2805</v>
      </c>
      <c r="O35" s="815" t="s">
        <v>2805</v>
      </c>
      <c r="P35" s="815" t="s">
        <v>2805</v>
      </c>
      <c r="Q35" s="815" t="s">
        <v>2805</v>
      </c>
      <c r="R35" s="815" t="s">
        <v>2805</v>
      </c>
      <c r="S35" s="815" t="s">
        <v>2805</v>
      </c>
      <c r="T35" s="815" t="s">
        <v>2805</v>
      </c>
      <c r="U35" s="815" t="s">
        <v>2805</v>
      </c>
      <c r="V35" s="815" t="s">
        <v>2805</v>
      </c>
      <c r="W35" s="815" t="s">
        <v>2805</v>
      </c>
      <c r="X35" s="815" t="s">
        <v>2805</v>
      </c>
      <c r="Y35" s="815" t="s">
        <v>2805</v>
      </c>
      <c r="Z35" s="815" t="s">
        <v>2805</v>
      </c>
      <c r="AA35" s="815" t="s">
        <v>2805</v>
      </c>
      <c r="AB35" s="815" t="s">
        <v>2805</v>
      </c>
      <c r="AC35" s="815" t="s">
        <v>2805</v>
      </c>
      <c r="AD35" s="815" t="s">
        <v>2805</v>
      </c>
      <c r="AE35" s="815" t="s">
        <v>2805</v>
      </c>
      <c r="AF35" s="814" t="s">
        <v>2805</v>
      </c>
      <c r="AG35" s="802" t="s">
        <v>2805</v>
      </c>
    </row>
    <row r="36" spans="1:33" ht="12" customHeight="1">
      <c r="A36" s="800" t="s">
        <v>4911</v>
      </c>
      <c r="B36" s="812" t="s">
        <v>3186</v>
      </c>
      <c r="C36" s="815">
        <v>24.421028</v>
      </c>
      <c r="D36" s="815">
        <v>23.969260999999999</v>
      </c>
      <c r="E36" s="815">
        <v>22.165068000000002</v>
      </c>
      <c r="F36" s="815">
        <v>20.957455</v>
      </c>
      <c r="G36" s="815">
        <v>20.154661000000001</v>
      </c>
      <c r="H36" s="815">
        <v>19.591453999999999</v>
      </c>
      <c r="I36" s="815">
        <v>19.228178</v>
      </c>
      <c r="J36" s="815">
        <v>19.033812999999999</v>
      </c>
      <c r="K36" s="815">
        <v>18.984463000000002</v>
      </c>
      <c r="L36" s="815">
        <v>18.977394</v>
      </c>
      <c r="M36" s="815">
        <v>18.989550000000001</v>
      </c>
      <c r="N36" s="815">
        <v>19.311668000000001</v>
      </c>
      <c r="O36" s="815">
        <v>19.408781000000001</v>
      </c>
      <c r="P36" s="815">
        <v>19.357766999999999</v>
      </c>
      <c r="Q36" s="815">
        <v>19.480951000000001</v>
      </c>
      <c r="R36" s="815">
        <v>19.64303</v>
      </c>
      <c r="S36" s="815">
        <v>19.909723</v>
      </c>
      <c r="T36" s="815">
        <v>20.139053000000001</v>
      </c>
      <c r="U36" s="815">
        <v>20.302842999999999</v>
      </c>
      <c r="V36" s="815">
        <v>20.438231999999999</v>
      </c>
      <c r="W36" s="815">
        <v>20.447336</v>
      </c>
      <c r="X36" s="815">
        <v>20.409019000000001</v>
      </c>
      <c r="Y36" s="815">
        <v>20.401765999999999</v>
      </c>
      <c r="Z36" s="815">
        <v>20.352792999999998</v>
      </c>
      <c r="AA36" s="815">
        <v>20.226258999999999</v>
      </c>
      <c r="AB36" s="815">
        <v>20.095247000000001</v>
      </c>
      <c r="AC36" s="815">
        <v>20.023175999999999</v>
      </c>
      <c r="AD36" s="815">
        <v>19.89432</v>
      </c>
      <c r="AE36" s="815">
        <v>19.708027000000001</v>
      </c>
      <c r="AF36" s="814">
        <v>-7.6290000000000004E-3</v>
      </c>
      <c r="AG36" s="802"/>
    </row>
    <row r="37" spans="1:33" ht="12" customHeight="1">
      <c r="B37" s="802"/>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row>
    <row r="38" spans="1:33" ht="12" customHeight="1">
      <c r="B38" s="808" t="s">
        <v>4912</v>
      </c>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row>
    <row r="39" spans="1:33" ht="12" customHeight="1">
      <c r="A39" s="800" t="s">
        <v>4913</v>
      </c>
      <c r="B39" s="812" t="s">
        <v>4886</v>
      </c>
      <c r="C39" s="815">
        <v>25.673756000000001</v>
      </c>
      <c r="D39" s="815">
        <v>24.128675000000001</v>
      </c>
      <c r="E39" s="815">
        <v>22.471951000000001</v>
      </c>
      <c r="F39" s="815">
        <v>20.815957999999998</v>
      </c>
      <c r="G39" s="815">
        <v>19.998926000000001</v>
      </c>
      <c r="H39" s="815">
        <v>19.561989000000001</v>
      </c>
      <c r="I39" s="815">
        <v>19.492156999999999</v>
      </c>
      <c r="J39" s="815">
        <v>19.602236000000001</v>
      </c>
      <c r="K39" s="815">
        <v>19.865448000000001</v>
      </c>
      <c r="L39" s="815">
        <v>20.198456</v>
      </c>
      <c r="M39" s="815">
        <v>20.616091000000001</v>
      </c>
      <c r="N39" s="815">
        <v>21.075576999999999</v>
      </c>
      <c r="O39" s="815">
        <v>21.446708999999998</v>
      </c>
      <c r="P39" s="815">
        <v>21.658113</v>
      </c>
      <c r="Q39" s="815">
        <v>21.785758999999999</v>
      </c>
      <c r="R39" s="815">
        <v>21.940096</v>
      </c>
      <c r="S39" s="815">
        <v>22.238503000000001</v>
      </c>
      <c r="T39" s="815">
        <v>22.234596</v>
      </c>
      <c r="U39" s="815">
        <v>22.490117999999999</v>
      </c>
      <c r="V39" s="815">
        <v>22.685780000000001</v>
      </c>
      <c r="W39" s="815">
        <v>22.765637999999999</v>
      </c>
      <c r="X39" s="815">
        <v>22.760217999999998</v>
      </c>
      <c r="Y39" s="815">
        <v>22.715187</v>
      </c>
      <c r="Z39" s="815">
        <v>22.775300999999999</v>
      </c>
      <c r="AA39" s="815">
        <v>23.024887</v>
      </c>
      <c r="AB39" s="815">
        <v>23.057397999999999</v>
      </c>
      <c r="AC39" s="815">
        <v>23.138636000000002</v>
      </c>
      <c r="AD39" s="815">
        <v>23.127609</v>
      </c>
      <c r="AE39" s="815">
        <v>23.092307999999999</v>
      </c>
      <c r="AF39" s="814">
        <v>-3.7780000000000001E-3</v>
      </c>
      <c r="AG39" s="802"/>
    </row>
    <row r="40" spans="1:33" ht="12" customHeight="1">
      <c r="A40" s="800" t="s">
        <v>4914</v>
      </c>
      <c r="B40" s="812" t="s">
        <v>4915</v>
      </c>
      <c r="C40" s="815">
        <v>38.155422000000002</v>
      </c>
      <c r="D40" s="815">
        <v>33.744048999999997</v>
      </c>
      <c r="E40" s="815">
        <v>32.413798999999997</v>
      </c>
      <c r="F40" s="815">
        <v>30.254673</v>
      </c>
      <c r="G40" s="815">
        <v>29.96781</v>
      </c>
      <c r="H40" s="815">
        <v>29.806168</v>
      </c>
      <c r="I40" s="815">
        <v>29.845123000000001</v>
      </c>
      <c r="J40" s="815">
        <v>29.921641999999999</v>
      </c>
      <c r="K40" s="815">
        <v>30.057252999999999</v>
      </c>
      <c r="L40" s="815">
        <v>30.034431000000001</v>
      </c>
      <c r="M40" s="815">
        <v>30.226928999999998</v>
      </c>
      <c r="N40" s="815">
        <v>30.330379000000001</v>
      </c>
      <c r="O40" s="815">
        <v>30.467768</v>
      </c>
      <c r="P40" s="815">
        <v>30.563355999999999</v>
      </c>
      <c r="Q40" s="815">
        <v>30.925975999999999</v>
      </c>
      <c r="R40" s="815">
        <v>30.996416</v>
      </c>
      <c r="S40" s="815">
        <v>31.117224</v>
      </c>
      <c r="T40" s="815">
        <v>31.273572999999999</v>
      </c>
      <c r="U40" s="815">
        <v>31.334126000000001</v>
      </c>
      <c r="V40" s="815">
        <v>31.351469000000002</v>
      </c>
      <c r="W40" s="815">
        <v>31.450728999999999</v>
      </c>
      <c r="X40" s="815">
        <v>31.335975999999999</v>
      </c>
      <c r="Y40" s="815">
        <v>31.554224000000001</v>
      </c>
      <c r="Z40" s="815">
        <v>31.580019</v>
      </c>
      <c r="AA40" s="815">
        <v>32.420741999999997</v>
      </c>
      <c r="AB40" s="815">
        <v>32.430134000000002</v>
      </c>
      <c r="AC40" s="815">
        <v>32.712605000000003</v>
      </c>
      <c r="AD40" s="815">
        <v>32.812477000000001</v>
      </c>
      <c r="AE40" s="815">
        <v>33.119743</v>
      </c>
      <c r="AF40" s="814">
        <v>-5.0419999999999996E-3</v>
      </c>
      <c r="AG40" s="802"/>
    </row>
    <row r="41" spans="1:33" ht="12" customHeight="1">
      <c r="A41" s="800" t="s">
        <v>4916</v>
      </c>
      <c r="B41" s="812" t="s">
        <v>4917</v>
      </c>
      <c r="C41" s="815">
        <v>34.785815999999997</v>
      </c>
      <c r="D41" s="815">
        <v>30.500900000000001</v>
      </c>
      <c r="E41" s="815">
        <v>27.654461000000001</v>
      </c>
      <c r="F41" s="815">
        <v>25.814499000000001</v>
      </c>
      <c r="G41" s="815">
        <v>25.540665000000001</v>
      </c>
      <c r="H41" s="815">
        <v>25.387986999999999</v>
      </c>
      <c r="I41" s="815">
        <v>25.400079999999999</v>
      </c>
      <c r="J41" s="815">
        <v>25.444728999999999</v>
      </c>
      <c r="K41" s="815">
        <v>25.533380999999999</v>
      </c>
      <c r="L41" s="815">
        <v>25.497232</v>
      </c>
      <c r="M41" s="815">
        <v>25.631806999999998</v>
      </c>
      <c r="N41" s="815">
        <v>25.694863999999999</v>
      </c>
      <c r="O41" s="815">
        <v>25.783964000000001</v>
      </c>
      <c r="P41" s="815">
        <v>25.841785000000002</v>
      </c>
      <c r="Q41" s="815">
        <v>26.121752000000001</v>
      </c>
      <c r="R41" s="815">
        <v>26.161154</v>
      </c>
      <c r="S41" s="815">
        <v>26.242393</v>
      </c>
      <c r="T41" s="815">
        <v>26.358506999999999</v>
      </c>
      <c r="U41" s="815">
        <v>26.395033000000002</v>
      </c>
      <c r="V41" s="815">
        <v>26.397086999999999</v>
      </c>
      <c r="W41" s="815">
        <v>26.466999000000001</v>
      </c>
      <c r="X41" s="815">
        <v>26.361927000000001</v>
      </c>
      <c r="Y41" s="815">
        <v>26.536808000000001</v>
      </c>
      <c r="Z41" s="815">
        <v>26.548639000000001</v>
      </c>
      <c r="AA41" s="815">
        <v>27.288558999999999</v>
      </c>
      <c r="AB41" s="815">
        <v>27.287635999999999</v>
      </c>
      <c r="AC41" s="815">
        <v>27.511337000000001</v>
      </c>
      <c r="AD41" s="815">
        <v>27.584212999999998</v>
      </c>
      <c r="AE41" s="815">
        <v>27.827411999999999</v>
      </c>
      <c r="AF41" s="814">
        <v>-7.9389999999999999E-3</v>
      </c>
      <c r="AG41" s="802"/>
    </row>
    <row r="42" spans="1:33" ht="12" customHeight="1">
      <c r="A42" s="800" t="s">
        <v>4918</v>
      </c>
      <c r="B42" s="812" t="s">
        <v>4919</v>
      </c>
      <c r="C42" s="815">
        <v>26.739815</v>
      </c>
      <c r="D42" s="815">
        <v>22.567796999999999</v>
      </c>
      <c r="E42" s="815">
        <v>21.658487000000001</v>
      </c>
      <c r="F42" s="815">
        <v>20.17568</v>
      </c>
      <c r="G42" s="815">
        <v>19.946626999999999</v>
      </c>
      <c r="H42" s="815">
        <v>19.713881000000001</v>
      </c>
      <c r="I42" s="815">
        <v>19.619630999999998</v>
      </c>
      <c r="J42" s="815">
        <v>19.732991999999999</v>
      </c>
      <c r="K42" s="815">
        <v>19.754887</v>
      </c>
      <c r="L42" s="815">
        <v>19.972422000000002</v>
      </c>
      <c r="M42" s="815">
        <v>20.131733000000001</v>
      </c>
      <c r="N42" s="815">
        <v>20.218672000000002</v>
      </c>
      <c r="O42" s="815">
        <v>20.368309</v>
      </c>
      <c r="P42" s="815">
        <v>20.522895999999999</v>
      </c>
      <c r="Q42" s="815">
        <v>20.622114</v>
      </c>
      <c r="R42" s="815">
        <v>20.746122</v>
      </c>
      <c r="S42" s="815">
        <v>20.869146000000001</v>
      </c>
      <c r="T42" s="815">
        <v>20.96678</v>
      </c>
      <c r="U42" s="815">
        <v>21.087648000000002</v>
      </c>
      <c r="V42" s="815">
        <v>21.294411</v>
      </c>
      <c r="W42" s="815">
        <v>21.343142</v>
      </c>
      <c r="X42" s="815">
        <v>21.507014999999999</v>
      </c>
      <c r="Y42" s="815">
        <v>21.467026000000001</v>
      </c>
      <c r="Z42" s="815">
        <v>21.622814000000002</v>
      </c>
      <c r="AA42" s="815">
        <v>21.944468000000001</v>
      </c>
      <c r="AB42" s="815">
        <v>21.990461</v>
      </c>
      <c r="AC42" s="815">
        <v>22.051092000000001</v>
      </c>
      <c r="AD42" s="815">
        <v>22.151415</v>
      </c>
      <c r="AE42" s="815">
        <v>22.180281000000001</v>
      </c>
      <c r="AF42" s="814">
        <v>-6.6550000000000003E-3</v>
      </c>
      <c r="AG42" s="802"/>
    </row>
    <row r="43" spans="1:33" ht="12" customHeight="1">
      <c r="A43" s="800" t="s">
        <v>4920</v>
      </c>
      <c r="B43" s="812" t="s">
        <v>4921</v>
      </c>
      <c r="C43" s="815">
        <v>37.123702999999999</v>
      </c>
      <c r="D43" s="815">
        <v>32.857501999999997</v>
      </c>
      <c r="E43" s="815">
        <v>31.169696999999999</v>
      </c>
      <c r="F43" s="815">
        <v>29.060146</v>
      </c>
      <c r="G43" s="815">
        <v>28.13373</v>
      </c>
      <c r="H43" s="815">
        <v>27.197217999999999</v>
      </c>
      <c r="I43" s="815">
        <v>26.424462999999999</v>
      </c>
      <c r="J43" s="815">
        <v>26.520130000000002</v>
      </c>
      <c r="K43" s="815">
        <v>26.545546000000002</v>
      </c>
      <c r="L43" s="815">
        <v>26.701553000000001</v>
      </c>
      <c r="M43" s="815">
        <v>26.827372</v>
      </c>
      <c r="N43" s="815">
        <v>26.946200999999999</v>
      </c>
      <c r="O43" s="815">
        <v>26.993939999999998</v>
      </c>
      <c r="P43" s="815">
        <v>27.200310000000002</v>
      </c>
      <c r="Q43" s="815">
        <v>27.206823</v>
      </c>
      <c r="R43" s="815">
        <v>27.345296999999999</v>
      </c>
      <c r="S43" s="815">
        <v>27.446815000000001</v>
      </c>
      <c r="T43" s="815">
        <v>27.489861000000001</v>
      </c>
      <c r="U43" s="815">
        <v>27.537863000000002</v>
      </c>
      <c r="V43" s="815">
        <v>27.708594999999999</v>
      </c>
      <c r="W43" s="815">
        <v>27.718976999999999</v>
      </c>
      <c r="X43" s="815">
        <v>27.838846</v>
      </c>
      <c r="Y43" s="815">
        <v>27.744848000000001</v>
      </c>
      <c r="Z43" s="815">
        <v>27.800470000000001</v>
      </c>
      <c r="AA43" s="815">
        <v>28.387547000000001</v>
      </c>
      <c r="AB43" s="815">
        <v>28.413376</v>
      </c>
      <c r="AC43" s="815">
        <v>28.461220000000001</v>
      </c>
      <c r="AD43" s="815">
        <v>28.524797</v>
      </c>
      <c r="AE43" s="815">
        <v>28.533144</v>
      </c>
      <c r="AF43" s="814">
        <v>-9.3559999999999997E-3</v>
      </c>
      <c r="AG43" s="802"/>
    </row>
    <row r="44" spans="1:33" ht="12" customHeight="1">
      <c r="A44" s="800" t="s">
        <v>4922</v>
      </c>
      <c r="B44" s="812" t="s">
        <v>4896</v>
      </c>
      <c r="C44" s="815">
        <v>15.39181</v>
      </c>
      <c r="D44" s="815">
        <v>15.551938</v>
      </c>
      <c r="E44" s="815">
        <v>17.300775999999999</v>
      </c>
      <c r="F44" s="815">
        <v>16.409485</v>
      </c>
      <c r="G44" s="815">
        <v>16.427686999999999</v>
      </c>
      <c r="H44" s="815">
        <v>16.502735000000001</v>
      </c>
      <c r="I44" s="815">
        <v>16.535357000000001</v>
      </c>
      <c r="J44" s="815">
        <v>16.614215999999999</v>
      </c>
      <c r="K44" s="815">
        <v>16.714341999999998</v>
      </c>
      <c r="L44" s="815">
        <v>16.791964</v>
      </c>
      <c r="M44" s="815">
        <v>16.89019</v>
      </c>
      <c r="N44" s="815">
        <v>16.984158000000001</v>
      </c>
      <c r="O44" s="815">
        <v>17.077217000000001</v>
      </c>
      <c r="P44" s="815">
        <v>17.192131</v>
      </c>
      <c r="Q44" s="815">
        <v>17.249979</v>
      </c>
      <c r="R44" s="815">
        <v>17.340447999999999</v>
      </c>
      <c r="S44" s="815">
        <v>17.439603999999999</v>
      </c>
      <c r="T44" s="815">
        <v>17.511599</v>
      </c>
      <c r="U44" s="815">
        <v>17.576930999999998</v>
      </c>
      <c r="V44" s="815">
        <v>17.686035</v>
      </c>
      <c r="W44" s="815">
        <v>17.712140999999999</v>
      </c>
      <c r="X44" s="815">
        <v>17.789486</v>
      </c>
      <c r="Y44" s="815">
        <v>17.786715999999998</v>
      </c>
      <c r="Z44" s="815">
        <v>17.831644000000001</v>
      </c>
      <c r="AA44" s="815">
        <v>18.012905</v>
      </c>
      <c r="AB44" s="815">
        <v>18.00956</v>
      </c>
      <c r="AC44" s="815">
        <v>18.112957000000002</v>
      </c>
      <c r="AD44" s="815">
        <v>18.199448</v>
      </c>
      <c r="AE44" s="815">
        <v>18.28933</v>
      </c>
      <c r="AF44" s="814">
        <v>6.1789999999999996E-3</v>
      </c>
      <c r="AG44" s="802"/>
    </row>
    <row r="45" spans="1:33" ht="12" customHeight="1">
      <c r="A45" s="800" t="s">
        <v>4923</v>
      </c>
      <c r="B45" s="812" t="s">
        <v>4924</v>
      </c>
      <c r="C45" s="815">
        <v>17.54928</v>
      </c>
      <c r="D45" s="815">
        <v>16.298449000000002</v>
      </c>
      <c r="E45" s="815">
        <v>14.88739</v>
      </c>
      <c r="F45" s="815">
        <v>14.304173</v>
      </c>
      <c r="G45" s="815">
        <v>13.609575</v>
      </c>
      <c r="H45" s="815">
        <v>13.258362</v>
      </c>
      <c r="I45" s="815">
        <v>13.009375</v>
      </c>
      <c r="J45" s="815">
        <v>12.877625</v>
      </c>
      <c r="K45" s="815">
        <v>12.804221</v>
      </c>
      <c r="L45" s="815">
        <v>12.793189999999999</v>
      </c>
      <c r="M45" s="815">
        <v>12.772278999999999</v>
      </c>
      <c r="N45" s="815">
        <v>12.814316</v>
      </c>
      <c r="O45" s="815">
        <v>12.811182000000001</v>
      </c>
      <c r="P45" s="815">
        <v>12.783016999999999</v>
      </c>
      <c r="Q45" s="815">
        <v>12.651464000000001</v>
      </c>
      <c r="R45" s="815">
        <v>12.542598999999999</v>
      </c>
      <c r="S45" s="815">
        <v>12.536258</v>
      </c>
      <c r="T45" s="815">
        <v>12.333598</v>
      </c>
      <c r="U45" s="815">
        <v>12.31179</v>
      </c>
      <c r="V45" s="815">
        <v>12.251882</v>
      </c>
      <c r="W45" s="815">
        <v>12.115541</v>
      </c>
      <c r="X45" s="815">
        <v>11.941437000000001</v>
      </c>
      <c r="Y45" s="815">
        <v>11.766513</v>
      </c>
      <c r="Z45" s="815">
        <v>11.69476</v>
      </c>
      <c r="AA45" s="815">
        <v>12.298188</v>
      </c>
      <c r="AB45" s="815">
        <v>12.136044</v>
      </c>
      <c r="AC45" s="815">
        <v>11.981798</v>
      </c>
      <c r="AD45" s="815">
        <v>11.858985000000001</v>
      </c>
      <c r="AE45" s="815">
        <v>11.776168999999999</v>
      </c>
      <c r="AF45" s="814">
        <v>-1.4147E-2</v>
      </c>
      <c r="AG45" s="802"/>
    </row>
    <row r="46" spans="1:33" ht="12" customHeight="1">
      <c r="A46" s="800" t="s">
        <v>4925</v>
      </c>
      <c r="B46" s="812" t="s">
        <v>3186</v>
      </c>
      <c r="C46" s="815">
        <v>42.503979000000001</v>
      </c>
      <c r="D46" s="815">
        <v>44.014454000000001</v>
      </c>
      <c r="E46" s="815">
        <v>42.699257000000003</v>
      </c>
      <c r="F46" s="815">
        <v>40.270164000000001</v>
      </c>
      <c r="G46" s="815">
        <v>39.897511000000002</v>
      </c>
      <c r="H46" s="815">
        <v>39.828831000000001</v>
      </c>
      <c r="I46" s="815">
        <v>39.741402000000001</v>
      </c>
      <c r="J46" s="815">
        <v>39.724139999999998</v>
      </c>
      <c r="K46" s="815">
        <v>39.732391</v>
      </c>
      <c r="L46" s="815">
        <v>39.929423999999997</v>
      </c>
      <c r="M46" s="815">
        <v>40.166943000000003</v>
      </c>
      <c r="N46" s="815">
        <v>40.565944999999999</v>
      </c>
      <c r="O46" s="815">
        <v>40.854523</v>
      </c>
      <c r="P46" s="815">
        <v>41.056289999999997</v>
      </c>
      <c r="Q46" s="815">
        <v>41.068629999999999</v>
      </c>
      <c r="R46" s="815">
        <v>41.392082000000002</v>
      </c>
      <c r="S46" s="815">
        <v>41.665050999999998</v>
      </c>
      <c r="T46" s="815">
        <v>42.074824999999997</v>
      </c>
      <c r="U46" s="815">
        <v>42.285224999999997</v>
      </c>
      <c r="V46" s="815">
        <v>42.527729000000001</v>
      </c>
      <c r="W46" s="815">
        <v>42.529423000000001</v>
      </c>
      <c r="X46" s="815">
        <v>42.497456</v>
      </c>
      <c r="Y46" s="815">
        <v>42.464610999999998</v>
      </c>
      <c r="Z46" s="815">
        <v>42.516261999999998</v>
      </c>
      <c r="AA46" s="815">
        <v>42.623565999999997</v>
      </c>
      <c r="AB46" s="815">
        <v>42.482261999999999</v>
      </c>
      <c r="AC46" s="815">
        <v>42.484820999999997</v>
      </c>
      <c r="AD46" s="815">
        <v>42.022789000000003</v>
      </c>
      <c r="AE46" s="815">
        <v>41.658324999999998</v>
      </c>
      <c r="AF46" s="814">
        <v>-7.1699999999999997E-4</v>
      </c>
      <c r="AG46" s="802"/>
    </row>
    <row r="47" spans="1:33" ht="12" customHeight="1">
      <c r="B47" s="802"/>
      <c r="C47" s="802"/>
      <c r="D47" s="802"/>
      <c r="E47" s="802"/>
      <c r="F47" s="802"/>
      <c r="G47" s="802"/>
      <c r="H47" s="802"/>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c r="AF47" s="802"/>
      <c r="AG47" s="802"/>
    </row>
    <row r="48" spans="1:33" ht="12" customHeight="1">
      <c r="B48" s="808" t="s">
        <v>4926</v>
      </c>
      <c r="C48" s="802"/>
      <c r="D48" s="802"/>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row>
    <row r="49" spans="1:33" ht="12" customHeight="1">
      <c r="A49" s="800" t="s">
        <v>4927</v>
      </c>
      <c r="B49" s="812" t="s">
        <v>4888</v>
      </c>
      <c r="C49" s="815">
        <v>35.259407000000003</v>
      </c>
      <c r="D49" s="815">
        <v>32.908622999999999</v>
      </c>
      <c r="E49" s="815">
        <v>30.715005999999999</v>
      </c>
      <c r="F49" s="815">
        <v>27.876041000000001</v>
      </c>
      <c r="G49" s="815">
        <v>26.264648000000001</v>
      </c>
      <c r="H49" s="815">
        <v>24.649519000000002</v>
      </c>
      <c r="I49" s="815">
        <v>23.123522000000001</v>
      </c>
      <c r="J49" s="815">
        <v>23.303953</v>
      </c>
      <c r="K49" s="815">
        <v>23.443438</v>
      </c>
      <c r="L49" s="815">
        <v>23.430513000000001</v>
      </c>
      <c r="M49" s="815">
        <v>23.544266</v>
      </c>
      <c r="N49" s="815">
        <v>23.535339</v>
      </c>
      <c r="O49" s="815">
        <v>23.673569000000001</v>
      </c>
      <c r="P49" s="815">
        <v>23.769455000000001</v>
      </c>
      <c r="Q49" s="815">
        <v>23.840540000000001</v>
      </c>
      <c r="R49" s="815">
        <v>23.890585000000002</v>
      </c>
      <c r="S49" s="815">
        <v>23.930655000000002</v>
      </c>
      <c r="T49" s="815">
        <v>24.005789</v>
      </c>
      <c r="U49" s="815">
        <v>24.099160999999999</v>
      </c>
      <c r="V49" s="815">
        <v>24.257807</v>
      </c>
      <c r="W49" s="815">
        <v>24.249801999999999</v>
      </c>
      <c r="X49" s="815">
        <v>24.362133</v>
      </c>
      <c r="Y49" s="815">
        <v>24.304323</v>
      </c>
      <c r="Z49" s="815">
        <v>24.419262</v>
      </c>
      <c r="AA49" s="815">
        <v>24.659782</v>
      </c>
      <c r="AB49" s="815">
        <v>24.697873999999999</v>
      </c>
      <c r="AC49" s="815">
        <v>24.746410000000001</v>
      </c>
      <c r="AD49" s="815">
        <v>24.866105999999998</v>
      </c>
      <c r="AE49" s="815">
        <v>24.873063999999999</v>
      </c>
      <c r="AF49" s="814">
        <v>-1.2385E-2</v>
      </c>
      <c r="AG49" s="802"/>
    </row>
    <row r="50" spans="1:33" ht="15" customHeight="1">
      <c r="A50" s="800" t="s">
        <v>4928</v>
      </c>
      <c r="B50" s="812" t="s">
        <v>4896</v>
      </c>
      <c r="C50" s="815">
        <v>21.746656000000002</v>
      </c>
      <c r="D50" s="815">
        <v>18.583587999999999</v>
      </c>
      <c r="E50" s="815">
        <v>18.437738</v>
      </c>
      <c r="F50" s="815">
        <v>17.426687000000001</v>
      </c>
      <c r="G50" s="815">
        <v>17.396132999999999</v>
      </c>
      <c r="H50" s="815">
        <v>17.450890000000001</v>
      </c>
      <c r="I50" s="815">
        <v>17.445499000000002</v>
      </c>
      <c r="J50" s="815">
        <v>17.50403</v>
      </c>
      <c r="K50" s="815">
        <v>17.585357999999999</v>
      </c>
      <c r="L50" s="815">
        <v>17.627741</v>
      </c>
      <c r="M50" s="815">
        <v>17.713676</v>
      </c>
      <c r="N50" s="815">
        <v>17.789324000000001</v>
      </c>
      <c r="O50" s="815">
        <v>17.860551999999998</v>
      </c>
      <c r="P50" s="815">
        <v>17.979301</v>
      </c>
      <c r="Q50" s="815">
        <v>18.031911999999998</v>
      </c>
      <c r="R50" s="815">
        <v>18.093886999999999</v>
      </c>
      <c r="S50" s="815">
        <v>18.164891999999998</v>
      </c>
      <c r="T50" s="815">
        <v>18.222367999999999</v>
      </c>
      <c r="U50" s="815">
        <v>18.234998999999998</v>
      </c>
      <c r="V50" s="815">
        <v>18.210297000000001</v>
      </c>
      <c r="W50" s="815">
        <v>18.106007000000002</v>
      </c>
      <c r="X50" s="815">
        <v>17.987822000000001</v>
      </c>
      <c r="Y50" s="815">
        <v>17.796372999999999</v>
      </c>
      <c r="Z50" s="815">
        <v>17.579772999999999</v>
      </c>
      <c r="AA50" s="815">
        <v>17.799135</v>
      </c>
      <c r="AB50" s="815">
        <v>17.826294000000001</v>
      </c>
      <c r="AC50" s="815">
        <v>17.931380999999998</v>
      </c>
      <c r="AD50" s="815">
        <v>18.026841999999998</v>
      </c>
      <c r="AE50" s="815">
        <v>18.092517999999998</v>
      </c>
      <c r="AF50" s="814">
        <v>-6.5490000000000001E-3</v>
      </c>
      <c r="AG50" s="802"/>
    </row>
    <row r="51" spans="1:33" ht="15" customHeight="1">
      <c r="A51" s="800" t="s">
        <v>4929</v>
      </c>
      <c r="B51" s="812" t="s">
        <v>4890</v>
      </c>
      <c r="C51" s="815">
        <v>7.0200610000000001</v>
      </c>
      <c r="D51" s="815">
        <v>5.6218500000000002</v>
      </c>
      <c r="E51" s="815">
        <v>4.4825049999999997</v>
      </c>
      <c r="F51" s="815">
        <v>3.8676200000000001</v>
      </c>
      <c r="G51" s="815">
        <v>3.3850189999999998</v>
      </c>
      <c r="H51" s="815">
        <v>3.0860349999999999</v>
      </c>
      <c r="I51" s="815">
        <v>2.9677769999999999</v>
      </c>
      <c r="J51" s="815">
        <v>2.9629919999999998</v>
      </c>
      <c r="K51" s="815">
        <v>2.9999069999999999</v>
      </c>
      <c r="L51" s="815">
        <v>3.0713910000000002</v>
      </c>
      <c r="M51" s="815">
        <v>3.152358</v>
      </c>
      <c r="N51" s="815">
        <v>3.2819440000000002</v>
      </c>
      <c r="O51" s="815">
        <v>3.3912620000000002</v>
      </c>
      <c r="P51" s="815">
        <v>3.5111520000000001</v>
      </c>
      <c r="Q51" s="815">
        <v>3.5463550000000001</v>
      </c>
      <c r="R51" s="815">
        <v>3.593677</v>
      </c>
      <c r="S51" s="815">
        <v>3.7334200000000002</v>
      </c>
      <c r="T51" s="815">
        <v>3.7044619999999999</v>
      </c>
      <c r="U51" s="815">
        <v>3.8440750000000001</v>
      </c>
      <c r="V51" s="815">
        <v>3.9176389999999999</v>
      </c>
      <c r="W51" s="815">
        <v>3.8986429999999999</v>
      </c>
      <c r="X51" s="815">
        <v>3.8471060000000001</v>
      </c>
      <c r="Y51" s="815">
        <v>3.7783739999999999</v>
      </c>
      <c r="Z51" s="815">
        <v>3.7701190000000002</v>
      </c>
      <c r="AA51" s="815">
        <v>3.746305</v>
      </c>
      <c r="AB51" s="815">
        <v>3.714029</v>
      </c>
      <c r="AC51" s="815">
        <v>3.6974870000000002</v>
      </c>
      <c r="AD51" s="815">
        <v>3.642601</v>
      </c>
      <c r="AE51" s="815">
        <v>3.6407699999999998</v>
      </c>
      <c r="AF51" s="814">
        <v>-2.3175999999999999E-2</v>
      </c>
      <c r="AG51" s="802"/>
    </row>
    <row r="52" spans="1:33" ht="15" customHeight="1">
      <c r="A52" s="800" t="s">
        <v>4930</v>
      </c>
      <c r="B52" s="812" t="s">
        <v>4931</v>
      </c>
      <c r="C52" s="815">
        <v>2.1347619999999998</v>
      </c>
      <c r="D52" s="815">
        <v>2.0571269999999999</v>
      </c>
      <c r="E52" s="815">
        <v>2.0538599999999998</v>
      </c>
      <c r="F52" s="815">
        <v>2.037131</v>
      </c>
      <c r="G52" s="815">
        <v>2.0081639999999998</v>
      </c>
      <c r="H52" s="815">
        <v>1.988704</v>
      </c>
      <c r="I52" s="815">
        <v>1.964183</v>
      </c>
      <c r="J52" s="815">
        <v>1.9527490000000001</v>
      </c>
      <c r="K52" s="815">
        <v>1.954107</v>
      </c>
      <c r="L52" s="815">
        <v>1.9472039999999999</v>
      </c>
      <c r="M52" s="815">
        <v>1.91757</v>
      </c>
      <c r="N52" s="815">
        <v>1.9060710000000001</v>
      </c>
      <c r="O52" s="815">
        <v>1.904636</v>
      </c>
      <c r="P52" s="815">
        <v>1.8978330000000001</v>
      </c>
      <c r="Q52" s="815">
        <v>1.8915120000000001</v>
      </c>
      <c r="R52" s="815">
        <v>1.889286</v>
      </c>
      <c r="S52" s="815">
        <v>1.914712</v>
      </c>
      <c r="T52" s="815">
        <v>1.91035</v>
      </c>
      <c r="U52" s="815">
        <v>1.9124460000000001</v>
      </c>
      <c r="V52" s="815">
        <v>1.9111039999999999</v>
      </c>
      <c r="W52" s="815">
        <v>1.9094120000000001</v>
      </c>
      <c r="X52" s="815">
        <v>1.9090240000000001</v>
      </c>
      <c r="Y52" s="815">
        <v>1.9037930000000001</v>
      </c>
      <c r="Z52" s="815">
        <v>1.8997839999999999</v>
      </c>
      <c r="AA52" s="815">
        <v>1.9004989999999999</v>
      </c>
      <c r="AB52" s="815">
        <v>1.895365</v>
      </c>
      <c r="AC52" s="815">
        <v>1.8867290000000001</v>
      </c>
      <c r="AD52" s="815">
        <v>1.8902159999999999</v>
      </c>
      <c r="AE52" s="815">
        <v>1.8872800000000001</v>
      </c>
      <c r="AF52" s="814">
        <v>-4.3909999999999999E-3</v>
      </c>
      <c r="AG52" s="802"/>
    </row>
    <row r="53" spans="1:33" ht="15" customHeight="1">
      <c r="A53" s="800" t="s">
        <v>4932</v>
      </c>
      <c r="B53" s="812" t="s">
        <v>4933</v>
      </c>
      <c r="C53" s="815">
        <v>0.71087199999999995</v>
      </c>
      <c r="D53" s="815">
        <v>0.71079999999999999</v>
      </c>
      <c r="E53" s="815">
        <v>0.71073900000000001</v>
      </c>
      <c r="F53" s="815">
        <v>0.710677</v>
      </c>
      <c r="G53" s="815">
        <v>0.71060599999999996</v>
      </c>
      <c r="H53" s="815">
        <v>0.71054399999999995</v>
      </c>
      <c r="I53" s="815">
        <v>0.71048299999999998</v>
      </c>
      <c r="J53" s="815">
        <v>0.71041100000000001</v>
      </c>
      <c r="K53" s="815">
        <v>0.71034900000000001</v>
      </c>
      <c r="L53" s="815">
        <v>0.71027700000000005</v>
      </c>
      <c r="M53" s="815">
        <v>0.71021599999999996</v>
      </c>
      <c r="N53" s="815">
        <v>0.71015399999999995</v>
      </c>
      <c r="O53" s="815">
        <v>0.71008300000000002</v>
      </c>
      <c r="P53" s="815">
        <v>0.71002100000000001</v>
      </c>
      <c r="Q53" s="815">
        <v>0.70994900000000005</v>
      </c>
      <c r="R53" s="815">
        <v>0.70988799999999996</v>
      </c>
      <c r="S53" s="815">
        <v>0.70982599999999996</v>
      </c>
      <c r="T53" s="815">
        <v>0.70975500000000002</v>
      </c>
      <c r="U53" s="815">
        <v>0.70969300000000002</v>
      </c>
      <c r="V53" s="815">
        <v>0.70963100000000001</v>
      </c>
      <c r="W53" s="815">
        <v>0.70955999999999997</v>
      </c>
      <c r="X53" s="815">
        <v>0.70949799999999996</v>
      </c>
      <c r="Y53" s="815">
        <v>0.709426</v>
      </c>
      <c r="Z53" s="815">
        <v>0.70936500000000002</v>
      </c>
      <c r="AA53" s="815">
        <v>0.70930300000000002</v>
      </c>
      <c r="AB53" s="815">
        <v>0.70923199999999997</v>
      </c>
      <c r="AC53" s="815">
        <v>0.70916999999999997</v>
      </c>
      <c r="AD53" s="815">
        <v>0.70910799999999996</v>
      </c>
      <c r="AE53" s="815">
        <v>0.70903700000000003</v>
      </c>
      <c r="AF53" s="814">
        <v>-9.2E-5</v>
      </c>
      <c r="AG53" s="802"/>
    </row>
    <row r="54" spans="1:33" ht="15" customHeight="1">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2"/>
    </row>
    <row r="55" spans="1:33" ht="15" customHeight="1">
      <c r="B55" s="802"/>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2"/>
      <c r="AA55" s="802"/>
      <c r="AB55" s="802"/>
      <c r="AC55" s="802"/>
      <c r="AD55" s="802"/>
      <c r="AE55" s="802"/>
      <c r="AF55" s="802"/>
      <c r="AG55" s="802"/>
    </row>
    <row r="56" spans="1:33" ht="15" customHeight="1">
      <c r="B56" s="808" t="s">
        <v>4934</v>
      </c>
      <c r="C56" s="802"/>
      <c r="D56" s="802"/>
      <c r="E56" s="802"/>
      <c r="F56" s="802"/>
      <c r="G56" s="802"/>
      <c r="H56" s="802"/>
      <c r="I56" s="802"/>
      <c r="J56" s="802"/>
      <c r="K56" s="802"/>
      <c r="L56" s="802"/>
      <c r="M56" s="802"/>
      <c r="N56" s="802"/>
      <c r="O56" s="802"/>
      <c r="P56" s="802"/>
      <c r="Q56" s="802"/>
      <c r="R56" s="802"/>
      <c r="S56" s="802"/>
      <c r="T56" s="802"/>
      <c r="U56" s="802"/>
      <c r="V56" s="802"/>
      <c r="W56" s="802"/>
      <c r="X56" s="802"/>
      <c r="Y56" s="802"/>
      <c r="Z56" s="802"/>
      <c r="AA56" s="802"/>
      <c r="AB56" s="802"/>
      <c r="AC56" s="802"/>
      <c r="AD56" s="802"/>
      <c r="AE56" s="802"/>
      <c r="AF56" s="802"/>
      <c r="AG56" s="802"/>
    </row>
    <row r="57" spans="1:33" ht="15" customHeight="1">
      <c r="A57" s="800" t="s">
        <v>4935</v>
      </c>
      <c r="B57" s="812" t="s">
        <v>4886</v>
      </c>
      <c r="C57" s="815">
        <v>28.079664000000001</v>
      </c>
      <c r="D57" s="815">
        <v>28.863071000000001</v>
      </c>
      <c r="E57" s="815">
        <v>27.577629000000002</v>
      </c>
      <c r="F57" s="815">
        <v>26.031884999999999</v>
      </c>
      <c r="G57" s="815">
        <v>24.921838999999999</v>
      </c>
      <c r="H57" s="815">
        <v>24.151785</v>
      </c>
      <c r="I57" s="815">
        <v>23.797934999999999</v>
      </c>
      <c r="J57" s="815">
        <v>23.714777000000002</v>
      </c>
      <c r="K57" s="815">
        <v>23.87669</v>
      </c>
      <c r="L57" s="815">
        <v>24.191362000000002</v>
      </c>
      <c r="M57" s="815">
        <v>24.642890999999999</v>
      </c>
      <c r="N57" s="815">
        <v>25.197872</v>
      </c>
      <c r="O57" s="815">
        <v>25.706682000000001</v>
      </c>
      <c r="P57" s="815">
        <v>26.062887</v>
      </c>
      <c r="Q57" s="815">
        <v>26.30707</v>
      </c>
      <c r="R57" s="815">
        <v>26.539770000000001</v>
      </c>
      <c r="S57" s="815">
        <v>26.90296</v>
      </c>
      <c r="T57" s="815">
        <v>26.989214</v>
      </c>
      <c r="U57" s="815">
        <v>27.284808999999999</v>
      </c>
      <c r="V57" s="815">
        <v>27.549026000000001</v>
      </c>
      <c r="W57" s="815">
        <v>27.698435</v>
      </c>
      <c r="X57" s="815">
        <v>27.740465</v>
      </c>
      <c r="Y57" s="815">
        <v>27.713034</v>
      </c>
      <c r="Z57" s="815">
        <v>27.764099000000002</v>
      </c>
      <c r="AA57" s="815">
        <v>27.921662999999999</v>
      </c>
      <c r="AB57" s="815">
        <v>27.942893999999999</v>
      </c>
      <c r="AC57" s="815">
        <v>28.018711</v>
      </c>
      <c r="AD57" s="815">
        <v>28.013480999999999</v>
      </c>
      <c r="AE57" s="815">
        <v>27.968328</v>
      </c>
      <c r="AF57" s="814">
        <v>-1.4200000000000001E-4</v>
      </c>
      <c r="AG57" s="802"/>
    </row>
    <row r="58" spans="1:33" ht="15" customHeight="1">
      <c r="A58" s="800" t="s">
        <v>4936</v>
      </c>
      <c r="B58" s="812" t="s">
        <v>4915</v>
      </c>
      <c r="C58" s="815">
        <v>38.155422000000002</v>
      </c>
      <c r="D58" s="815">
        <v>33.744048999999997</v>
      </c>
      <c r="E58" s="815">
        <v>32.413798999999997</v>
      </c>
      <c r="F58" s="815">
        <v>30.254673</v>
      </c>
      <c r="G58" s="815">
        <v>29.96781</v>
      </c>
      <c r="H58" s="815">
        <v>29.806168</v>
      </c>
      <c r="I58" s="815">
        <v>29.845123000000001</v>
      </c>
      <c r="J58" s="815">
        <v>29.921641999999999</v>
      </c>
      <c r="K58" s="815">
        <v>30.057252999999999</v>
      </c>
      <c r="L58" s="815">
        <v>30.034431000000001</v>
      </c>
      <c r="M58" s="815">
        <v>30.226928999999998</v>
      </c>
      <c r="N58" s="815">
        <v>30.330379000000001</v>
      </c>
      <c r="O58" s="815">
        <v>30.467768</v>
      </c>
      <c r="P58" s="815">
        <v>30.563355999999999</v>
      </c>
      <c r="Q58" s="815">
        <v>30.925975999999999</v>
      </c>
      <c r="R58" s="815">
        <v>30.996416</v>
      </c>
      <c r="S58" s="815">
        <v>31.117224</v>
      </c>
      <c r="T58" s="815">
        <v>31.273572999999999</v>
      </c>
      <c r="U58" s="815">
        <v>31.334126000000001</v>
      </c>
      <c r="V58" s="815">
        <v>31.351469000000002</v>
      </c>
      <c r="W58" s="815">
        <v>31.450728999999999</v>
      </c>
      <c r="X58" s="815">
        <v>31.335975999999999</v>
      </c>
      <c r="Y58" s="815">
        <v>31.554224000000001</v>
      </c>
      <c r="Z58" s="815">
        <v>31.580019</v>
      </c>
      <c r="AA58" s="815">
        <v>32.420741999999997</v>
      </c>
      <c r="AB58" s="815">
        <v>32.430134000000002</v>
      </c>
      <c r="AC58" s="815">
        <v>32.712605000000003</v>
      </c>
      <c r="AD58" s="815">
        <v>32.812477000000001</v>
      </c>
      <c r="AE58" s="815">
        <v>33.119743</v>
      </c>
      <c r="AF58" s="814">
        <v>-5.0419999999999996E-3</v>
      </c>
      <c r="AG58" s="802"/>
    </row>
    <row r="59" spans="1:33" ht="15" customHeight="1">
      <c r="A59" s="800" t="s">
        <v>4937</v>
      </c>
      <c r="B59" s="812" t="s">
        <v>4917</v>
      </c>
      <c r="C59" s="815">
        <v>34.782677</v>
      </c>
      <c r="D59" s="815">
        <v>30.452632999999999</v>
      </c>
      <c r="E59" s="815">
        <v>27.655825</v>
      </c>
      <c r="F59" s="815">
        <v>25.838930000000001</v>
      </c>
      <c r="G59" s="815">
        <v>25.571242999999999</v>
      </c>
      <c r="H59" s="815">
        <v>25.414442000000001</v>
      </c>
      <c r="I59" s="815">
        <v>25.417324000000001</v>
      </c>
      <c r="J59" s="815">
        <v>25.462954</v>
      </c>
      <c r="K59" s="815">
        <v>25.552574</v>
      </c>
      <c r="L59" s="815">
        <v>25.517675000000001</v>
      </c>
      <c r="M59" s="815">
        <v>25.653202</v>
      </c>
      <c r="N59" s="815">
        <v>25.717319</v>
      </c>
      <c r="O59" s="815">
        <v>25.807234000000001</v>
      </c>
      <c r="P59" s="815">
        <v>25.865997</v>
      </c>
      <c r="Q59" s="815">
        <v>26.146042000000001</v>
      </c>
      <c r="R59" s="815">
        <v>26.186482999999999</v>
      </c>
      <c r="S59" s="815">
        <v>26.268536000000001</v>
      </c>
      <c r="T59" s="815">
        <v>26.385166000000002</v>
      </c>
      <c r="U59" s="815">
        <v>26.422464000000002</v>
      </c>
      <c r="V59" s="815">
        <v>26.425398000000001</v>
      </c>
      <c r="W59" s="815">
        <v>26.495975000000001</v>
      </c>
      <c r="X59" s="815">
        <v>26.391787999999998</v>
      </c>
      <c r="Y59" s="815">
        <v>26.567183</v>
      </c>
      <c r="Z59" s="815">
        <v>26.580030000000001</v>
      </c>
      <c r="AA59" s="815">
        <v>27.324665</v>
      </c>
      <c r="AB59" s="815">
        <v>27.324311999999999</v>
      </c>
      <c r="AC59" s="815">
        <v>27.548143</v>
      </c>
      <c r="AD59" s="815">
        <v>27.621510000000001</v>
      </c>
      <c r="AE59" s="815">
        <v>27.864849</v>
      </c>
      <c r="AF59" s="814">
        <v>-7.8879999999999992E-3</v>
      </c>
      <c r="AG59" s="802"/>
    </row>
    <row r="60" spans="1:33" ht="15" customHeight="1">
      <c r="A60" s="800" t="s">
        <v>4938</v>
      </c>
      <c r="B60" s="812" t="s">
        <v>4919</v>
      </c>
      <c r="C60" s="815">
        <v>26.739815</v>
      </c>
      <c r="D60" s="815">
        <v>22.567796999999999</v>
      </c>
      <c r="E60" s="815">
        <v>21.658487000000001</v>
      </c>
      <c r="F60" s="815">
        <v>20.17568</v>
      </c>
      <c r="G60" s="815">
        <v>19.946626999999999</v>
      </c>
      <c r="H60" s="815">
        <v>19.713881000000001</v>
      </c>
      <c r="I60" s="815">
        <v>19.619630999999998</v>
      </c>
      <c r="J60" s="815">
        <v>19.732991999999999</v>
      </c>
      <c r="K60" s="815">
        <v>19.754887</v>
      </c>
      <c r="L60" s="815">
        <v>19.972422000000002</v>
      </c>
      <c r="M60" s="815">
        <v>20.131733000000001</v>
      </c>
      <c r="N60" s="815">
        <v>20.218672000000002</v>
      </c>
      <c r="O60" s="815">
        <v>20.368309</v>
      </c>
      <c r="P60" s="815">
        <v>20.522895999999999</v>
      </c>
      <c r="Q60" s="815">
        <v>20.622114</v>
      </c>
      <c r="R60" s="815">
        <v>20.746122</v>
      </c>
      <c r="S60" s="815">
        <v>20.869146000000001</v>
      </c>
      <c r="T60" s="815">
        <v>20.96678</v>
      </c>
      <c r="U60" s="815">
        <v>21.087648000000002</v>
      </c>
      <c r="V60" s="815">
        <v>21.294411</v>
      </c>
      <c r="W60" s="815">
        <v>21.343142</v>
      </c>
      <c r="X60" s="815">
        <v>21.507014999999999</v>
      </c>
      <c r="Y60" s="815">
        <v>21.467026000000001</v>
      </c>
      <c r="Z60" s="815">
        <v>21.622814000000002</v>
      </c>
      <c r="AA60" s="815">
        <v>21.944468000000001</v>
      </c>
      <c r="AB60" s="815">
        <v>21.990461</v>
      </c>
      <c r="AC60" s="815">
        <v>22.051092000000001</v>
      </c>
      <c r="AD60" s="815">
        <v>22.151415</v>
      </c>
      <c r="AE60" s="815">
        <v>22.180281000000001</v>
      </c>
      <c r="AF60" s="814">
        <v>-6.6550000000000003E-3</v>
      </c>
      <c r="AG60" s="802"/>
    </row>
    <row r="61" spans="1:33" ht="15" customHeight="1">
      <c r="A61" s="800" t="s">
        <v>4939</v>
      </c>
      <c r="B61" s="812" t="s">
        <v>4888</v>
      </c>
      <c r="C61" s="815">
        <v>36.677619999999997</v>
      </c>
      <c r="D61" s="815">
        <v>32.847237</v>
      </c>
      <c r="E61" s="815">
        <v>31.066772</v>
      </c>
      <c r="F61" s="815">
        <v>28.850601000000001</v>
      </c>
      <c r="G61" s="815">
        <v>27.806213</v>
      </c>
      <c r="H61" s="815">
        <v>26.772061999999998</v>
      </c>
      <c r="I61" s="815">
        <v>25.893951000000001</v>
      </c>
      <c r="J61" s="815">
        <v>25.991576999999999</v>
      </c>
      <c r="K61" s="815">
        <v>26.001940000000001</v>
      </c>
      <c r="L61" s="815">
        <v>26.168555999999999</v>
      </c>
      <c r="M61" s="815">
        <v>26.275074</v>
      </c>
      <c r="N61" s="815">
        <v>26.402332000000001</v>
      </c>
      <c r="O61" s="815">
        <v>26.447607000000001</v>
      </c>
      <c r="P61" s="815">
        <v>26.633845999999998</v>
      </c>
      <c r="Q61" s="815">
        <v>26.645638999999999</v>
      </c>
      <c r="R61" s="815">
        <v>26.773325</v>
      </c>
      <c r="S61" s="815">
        <v>26.862781999999999</v>
      </c>
      <c r="T61" s="815">
        <v>26.907473</v>
      </c>
      <c r="U61" s="815">
        <v>26.957165</v>
      </c>
      <c r="V61" s="815">
        <v>27.116112000000001</v>
      </c>
      <c r="W61" s="815">
        <v>27.111333999999999</v>
      </c>
      <c r="X61" s="815">
        <v>27.231009</v>
      </c>
      <c r="Y61" s="815">
        <v>27.144974000000001</v>
      </c>
      <c r="Z61" s="815">
        <v>27.202577999999999</v>
      </c>
      <c r="AA61" s="815">
        <v>27.69154</v>
      </c>
      <c r="AB61" s="815">
        <v>27.715928999999999</v>
      </c>
      <c r="AC61" s="815">
        <v>27.750174000000001</v>
      </c>
      <c r="AD61" s="815">
        <v>27.821075</v>
      </c>
      <c r="AE61" s="815">
        <v>27.823706000000001</v>
      </c>
      <c r="AF61" s="814">
        <v>-9.8189999999999996E-3</v>
      </c>
      <c r="AG61" s="802"/>
    </row>
    <row r="62" spans="1:33" ht="15" customHeight="1">
      <c r="A62" s="800" t="s">
        <v>4940</v>
      </c>
      <c r="B62" s="812" t="s">
        <v>4896</v>
      </c>
      <c r="C62" s="815">
        <v>15.551993</v>
      </c>
      <c r="D62" s="815">
        <v>15.007058000000001</v>
      </c>
      <c r="E62" s="815">
        <v>16.830483999999998</v>
      </c>
      <c r="F62" s="815">
        <v>16.090751999999998</v>
      </c>
      <c r="G62" s="815">
        <v>16.222121999999999</v>
      </c>
      <c r="H62" s="815">
        <v>16.403403999999998</v>
      </c>
      <c r="I62" s="815">
        <v>16.530327</v>
      </c>
      <c r="J62" s="815">
        <v>16.608893999999999</v>
      </c>
      <c r="K62" s="815">
        <v>16.708054000000001</v>
      </c>
      <c r="L62" s="815">
        <v>16.785976000000002</v>
      </c>
      <c r="M62" s="815">
        <v>16.884041</v>
      </c>
      <c r="N62" s="815">
        <v>16.976837</v>
      </c>
      <c r="O62" s="815">
        <v>17.068816999999999</v>
      </c>
      <c r="P62" s="815">
        <v>17.183195000000001</v>
      </c>
      <c r="Q62" s="815">
        <v>17.241271999999999</v>
      </c>
      <c r="R62" s="815">
        <v>17.328797999999999</v>
      </c>
      <c r="S62" s="815">
        <v>17.425045000000001</v>
      </c>
      <c r="T62" s="815">
        <v>17.495161</v>
      </c>
      <c r="U62" s="815">
        <v>17.557133</v>
      </c>
      <c r="V62" s="815">
        <v>17.656974999999999</v>
      </c>
      <c r="W62" s="815">
        <v>17.672941000000002</v>
      </c>
      <c r="X62" s="815">
        <v>17.738797999999999</v>
      </c>
      <c r="Y62" s="815">
        <v>17.726212</v>
      </c>
      <c r="Z62" s="815">
        <v>17.761419</v>
      </c>
      <c r="AA62" s="815">
        <v>17.944437000000001</v>
      </c>
      <c r="AB62" s="815">
        <v>17.942336999999998</v>
      </c>
      <c r="AC62" s="815">
        <v>18.046040999999999</v>
      </c>
      <c r="AD62" s="815">
        <v>18.132389</v>
      </c>
      <c r="AE62" s="815">
        <v>18.218988</v>
      </c>
      <c r="AF62" s="814">
        <v>5.6690000000000004E-3</v>
      </c>
      <c r="AG62" s="802"/>
    </row>
    <row r="63" spans="1:33" ht="15" customHeight="1">
      <c r="A63" s="800" t="s">
        <v>4941</v>
      </c>
      <c r="B63" s="812" t="s">
        <v>4890</v>
      </c>
      <c r="C63" s="815">
        <v>8.8813879999999994</v>
      </c>
      <c r="D63" s="815">
        <v>7.9760629999999999</v>
      </c>
      <c r="E63" s="815">
        <v>6.8525369999999999</v>
      </c>
      <c r="F63" s="815">
        <v>6.2938799999999997</v>
      </c>
      <c r="G63" s="815">
        <v>5.8523630000000004</v>
      </c>
      <c r="H63" s="815">
        <v>5.6242720000000004</v>
      </c>
      <c r="I63" s="815">
        <v>5.5256740000000004</v>
      </c>
      <c r="J63" s="815">
        <v>5.5660980000000002</v>
      </c>
      <c r="K63" s="815">
        <v>5.6419519999999999</v>
      </c>
      <c r="L63" s="815">
        <v>5.7658389999999997</v>
      </c>
      <c r="M63" s="815">
        <v>5.8794620000000002</v>
      </c>
      <c r="N63" s="815">
        <v>6.0391919999999999</v>
      </c>
      <c r="O63" s="815">
        <v>6.1688780000000003</v>
      </c>
      <c r="P63" s="815">
        <v>6.2802569999999998</v>
      </c>
      <c r="Q63" s="815">
        <v>6.3064010000000001</v>
      </c>
      <c r="R63" s="815">
        <v>6.3494010000000003</v>
      </c>
      <c r="S63" s="815">
        <v>6.4567449999999997</v>
      </c>
      <c r="T63" s="815">
        <v>6.4118079999999997</v>
      </c>
      <c r="U63" s="815">
        <v>6.5034130000000001</v>
      </c>
      <c r="V63" s="815">
        <v>6.5701400000000003</v>
      </c>
      <c r="W63" s="815">
        <v>6.5532859999999999</v>
      </c>
      <c r="X63" s="815">
        <v>6.5022229999999999</v>
      </c>
      <c r="Y63" s="815">
        <v>6.4439890000000002</v>
      </c>
      <c r="Z63" s="815">
        <v>6.4482590000000002</v>
      </c>
      <c r="AA63" s="815">
        <v>6.519228</v>
      </c>
      <c r="AB63" s="815">
        <v>6.479012</v>
      </c>
      <c r="AC63" s="815">
        <v>6.4378450000000003</v>
      </c>
      <c r="AD63" s="815">
        <v>6.398898</v>
      </c>
      <c r="AE63" s="815">
        <v>6.3921910000000004</v>
      </c>
      <c r="AF63" s="814">
        <v>-1.1677E-2</v>
      </c>
      <c r="AG63" s="802"/>
    </row>
    <row r="64" spans="1:33" ht="15" customHeight="1">
      <c r="A64" s="800" t="s">
        <v>4942</v>
      </c>
      <c r="B64" s="812" t="s">
        <v>4906</v>
      </c>
      <c r="C64" s="815">
        <v>5.4304249999999996</v>
      </c>
      <c r="D64" s="815">
        <v>5.4466970000000003</v>
      </c>
      <c r="E64" s="815">
        <v>5.6790830000000003</v>
      </c>
      <c r="F64" s="815">
        <v>5.6766920000000001</v>
      </c>
      <c r="G64" s="815">
        <v>5.7069979999999996</v>
      </c>
      <c r="H64" s="815">
        <v>5.757409</v>
      </c>
      <c r="I64" s="815">
        <v>5.7974399999999999</v>
      </c>
      <c r="J64" s="815">
        <v>5.8433669999999998</v>
      </c>
      <c r="K64" s="815">
        <v>5.947584</v>
      </c>
      <c r="L64" s="815">
        <v>6.0097779999999998</v>
      </c>
      <c r="M64" s="815">
        <v>6.110779</v>
      </c>
      <c r="N64" s="815">
        <v>6.1829609999999997</v>
      </c>
      <c r="O64" s="815">
        <v>6.2506630000000003</v>
      </c>
      <c r="P64" s="815">
        <v>6.3259449999999999</v>
      </c>
      <c r="Q64" s="815">
        <v>6.403143</v>
      </c>
      <c r="R64" s="815">
        <v>6.4953659999999998</v>
      </c>
      <c r="S64" s="815">
        <v>6.5684300000000002</v>
      </c>
      <c r="T64" s="815">
        <v>6.6390440000000002</v>
      </c>
      <c r="U64" s="815">
        <v>6.7099260000000003</v>
      </c>
      <c r="V64" s="815">
        <v>6.7595479999999997</v>
      </c>
      <c r="W64" s="815">
        <v>6.8068</v>
      </c>
      <c r="X64" s="815">
        <v>6.8561490000000003</v>
      </c>
      <c r="Y64" s="815">
        <v>6.9083310000000004</v>
      </c>
      <c r="Z64" s="815">
        <v>6.9656209999999996</v>
      </c>
      <c r="AA64" s="815">
        <v>7.01844</v>
      </c>
      <c r="AB64" s="815">
        <v>7.0695379999999997</v>
      </c>
      <c r="AC64" s="815">
        <v>7.1226570000000002</v>
      </c>
      <c r="AD64" s="815">
        <v>7.1712059999999997</v>
      </c>
      <c r="AE64" s="815">
        <v>7.2262329999999997</v>
      </c>
      <c r="AF64" s="814">
        <v>1.0255999999999999E-2</v>
      </c>
      <c r="AG64" s="802"/>
    </row>
    <row r="65" spans="1:33" ht="15" customHeight="1">
      <c r="A65" s="800" t="s">
        <v>4943</v>
      </c>
      <c r="B65" s="812" t="s">
        <v>4944</v>
      </c>
      <c r="C65" s="815">
        <v>2.175554</v>
      </c>
      <c r="D65" s="815">
        <v>2.0990869999999999</v>
      </c>
      <c r="E65" s="815">
        <v>2.0955119999999998</v>
      </c>
      <c r="F65" s="815">
        <v>2.0862959999999999</v>
      </c>
      <c r="G65" s="815">
        <v>2.0662630000000002</v>
      </c>
      <c r="H65" s="815">
        <v>2.0563570000000002</v>
      </c>
      <c r="I65" s="815">
        <v>2.0444930000000001</v>
      </c>
      <c r="J65" s="815">
        <v>2.0449220000000001</v>
      </c>
      <c r="K65" s="815">
        <v>2.0535730000000001</v>
      </c>
      <c r="L65" s="815">
        <v>2.046573</v>
      </c>
      <c r="M65" s="815">
        <v>2.0187650000000001</v>
      </c>
      <c r="N65" s="815">
        <v>2.004686</v>
      </c>
      <c r="O65" s="815">
        <v>2.0024310000000001</v>
      </c>
      <c r="P65" s="815">
        <v>1.994464</v>
      </c>
      <c r="Q65" s="815">
        <v>1.987976</v>
      </c>
      <c r="R65" s="815">
        <v>1.987349</v>
      </c>
      <c r="S65" s="815">
        <v>2.0134780000000001</v>
      </c>
      <c r="T65" s="815">
        <v>2.0109469999999998</v>
      </c>
      <c r="U65" s="815">
        <v>2.0145949999999999</v>
      </c>
      <c r="V65" s="815">
        <v>2.0117470000000002</v>
      </c>
      <c r="W65" s="815">
        <v>2.0089969999999999</v>
      </c>
      <c r="X65" s="815">
        <v>2.0086349999999999</v>
      </c>
      <c r="Y65" s="815">
        <v>2.0055360000000002</v>
      </c>
      <c r="Z65" s="815">
        <v>2.0037029999999998</v>
      </c>
      <c r="AA65" s="815">
        <v>2.0078170000000002</v>
      </c>
      <c r="AB65" s="815">
        <v>2.0058449999999999</v>
      </c>
      <c r="AC65" s="815">
        <v>2.003943</v>
      </c>
      <c r="AD65" s="815">
        <v>2.0070610000000002</v>
      </c>
      <c r="AE65" s="815">
        <v>2.0072410000000001</v>
      </c>
      <c r="AF65" s="814">
        <v>-2.872E-3</v>
      </c>
      <c r="AG65" s="802"/>
    </row>
    <row r="66" spans="1:33" ht="12" customHeight="1">
      <c r="A66" s="800" t="s">
        <v>4945</v>
      </c>
      <c r="B66" s="812" t="s">
        <v>4910</v>
      </c>
      <c r="C66" s="815" t="s">
        <v>2805</v>
      </c>
      <c r="D66" s="815" t="s">
        <v>2805</v>
      </c>
      <c r="E66" s="815" t="s">
        <v>2805</v>
      </c>
      <c r="F66" s="815" t="s">
        <v>2805</v>
      </c>
      <c r="G66" s="815" t="s">
        <v>2805</v>
      </c>
      <c r="H66" s="815" t="s">
        <v>2805</v>
      </c>
      <c r="I66" s="815" t="s">
        <v>2805</v>
      </c>
      <c r="J66" s="815" t="s">
        <v>2805</v>
      </c>
      <c r="K66" s="815" t="s">
        <v>2805</v>
      </c>
      <c r="L66" s="815" t="s">
        <v>2805</v>
      </c>
      <c r="M66" s="815" t="s">
        <v>2805</v>
      </c>
      <c r="N66" s="815" t="s">
        <v>2805</v>
      </c>
      <c r="O66" s="815" t="s">
        <v>2805</v>
      </c>
      <c r="P66" s="815" t="s">
        <v>2805</v>
      </c>
      <c r="Q66" s="815" t="s">
        <v>2805</v>
      </c>
      <c r="R66" s="815" t="s">
        <v>2805</v>
      </c>
      <c r="S66" s="815" t="s">
        <v>2805</v>
      </c>
      <c r="T66" s="815" t="s">
        <v>2805</v>
      </c>
      <c r="U66" s="815" t="s">
        <v>2805</v>
      </c>
      <c r="V66" s="815" t="s">
        <v>2805</v>
      </c>
      <c r="W66" s="815" t="s">
        <v>2805</v>
      </c>
      <c r="X66" s="815" t="s">
        <v>2805</v>
      </c>
      <c r="Y66" s="815" t="s">
        <v>2805</v>
      </c>
      <c r="Z66" s="815" t="s">
        <v>2805</v>
      </c>
      <c r="AA66" s="815" t="s">
        <v>2805</v>
      </c>
      <c r="AB66" s="815" t="s">
        <v>2805</v>
      </c>
      <c r="AC66" s="815" t="s">
        <v>2805</v>
      </c>
      <c r="AD66" s="815" t="s">
        <v>2805</v>
      </c>
      <c r="AE66" s="815" t="s">
        <v>2805</v>
      </c>
      <c r="AF66" s="814" t="s">
        <v>2805</v>
      </c>
      <c r="AG66" s="802" t="s">
        <v>2805</v>
      </c>
    </row>
    <row r="67" spans="1:33" ht="15" customHeight="1">
      <c r="A67" s="800" t="s">
        <v>4946</v>
      </c>
      <c r="B67" s="812" t="s">
        <v>3186</v>
      </c>
      <c r="C67" s="815">
        <v>35.829422000000001</v>
      </c>
      <c r="D67" s="815">
        <v>34.915806000000003</v>
      </c>
      <c r="E67" s="815">
        <v>33.621994000000001</v>
      </c>
      <c r="F67" s="815">
        <v>32.327888000000002</v>
      </c>
      <c r="G67" s="815">
        <v>31.561640000000001</v>
      </c>
      <c r="H67" s="815">
        <v>31.015574000000001</v>
      </c>
      <c r="I67" s="815">
        <v>30.627668</v>
      </c>
      <c r="J67" s="815">
        <v>30.479344999999999</v>
      </c>
      <c r="K67" s="815">
        <v>30.520932999999999</v>
      </c>
      <c r="L67" s="815">
        <v>30.618459999999999</v>
      </c>
      <c r="M67" s="815">
        <v>30.700859000000001</v>
      </c>
      <c r="N67" s="815">
        <v>31.153542999999999</v>
      </c>
      <c r="O67" s="815">
        <v>31.446527</v>
      </c>
      <c r="P67" s="815">
        <v>31.449998999999998</v>
      </c>
      <c r="Q67" s="815">
        <v>31.634070999999999</v>
      </c>
      <c r="R67" s="815">
        <v>31.862348999999998</v>
      </c>
      <c r="S67" s="815">
        <v>32.203876000000001</v>
      </c>
      <c r="T67" s="815">
        <v>32.469318000000001</v>
      </c>
      <c r="U67" s="815">
        <v>32.694557000000003</v>
      </c>
      <c r="V67" s="815">
        <v>32.876797000000003</v>
      </c>
      <c r="W67" s="815">
        <v>32.951667999999998</v>
      </c>
      <c r="X67" s="815">
        <v>32.996758</v>
      </c>
      <c r="Y67" s="815">
        <v>33.034153000000003</v>
      </c>
      <c r="Z67" s="815">
        <v>33.064751000000001</v>
      </c>
      <c r="AA67" s="815">
        <v>32.964348000000001</v>
      </c>
      <c r="AB67" s="815">
        <v>32.814720000000001</v>
      </c>
      <c r="AC67" s="815">
        <v>32.763190999999999</v>
      </c>
      <c r="AD67" s="815">
        <v>32.582087999999999</v>
      </c>
      <c r="AE67" s="815">
        <v>32.309727000000002</v>
      </c>
      <c r="AF67" s="814">
        <v>-3.686E-3</v>
      </c>
      <c r="AG67" s="802"/>
    </row>
    <row r="68" spans="1:33" ht="15" customHeight="1">
      <c r="B68" s="802"/>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row>
    <row r="69" spans="1:33" ht="15" customHeight="1">
      <c r="B69" s="808" t="s">
        <v>4947</v>
      </c>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row>
    <row r="70" spans="1:33" ht="15" customHeight="1">
      <c r="B70" s="808" t="s">
        <v>4948</v>
      </c>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1:33" ht="15" customHeight="1">
      <c r="A71" s="800" t="s">
        <v>4949</v>
      </c>
      <c r="B71" s="812" t="s">
        <v>4884</v>
      </c>
      <c r="C71" s="820">
        <v>322.794464</v>
      </c>
      <c r="D71" s="820">
        <v>311.10562099999999</v>
      </c>
      <c r="E71" s="820">
        <v>296.58255000000003</v>
      </c>
      <c r="F71" s="820">
        <v>287.51538099999999</v>
      </c>
      <c r="G71" s="820">
        <v>281.89727800000003</v>
      </c>
      <c r="H71" s="820">
        <v>278.23700000000002</v>
      </c>
      <c r="I71" s="820">
        <v>276.01394699999997</v>
      </c>
      <c r="J71" s="820">
        <v>276.53045700000001</v>
      </c>
      <c r="K71" s="820">
        <v>277.74963400000001</v>
      </c>
      <c r="L71" s="820">
        <v>279.739014</v>
      </c>
      <c r="M71" s="820">
        <v>281.66982999999999</v>
      </c>
      <c r="N71" s="820">
        <v>286.213348</v>
      </c>
      <c r="O71" s="820">
        <v>289.80993699999999</v>
      </c>
      <c r="P71" s="820">
        <v>291.724762</v>
      </c>
      <c r="Q71" s="820">
        <v>294.61843900000002</v>
      </c>
      <c r="R71" s="820">
        <v>298.18087800000001</v>
      </c>
      <c r="S71" s="820">
        <v>302.58004799999998</v>
      </c>
      <c r="T71" s="820">
        <v>305.62887599999999</v>
      </c>
      <c r="U71" s="820">
        <v>309.17578099999997</v>
      </c>
      <c r="V71" s="820">
        <v>312.54153400000001</v>
      </c>
      <c r="W71" s="820">
        <v>315.09899899999999</v>
      </c>
      <c r="X71" s="820">
        <v>317.38449100000003</v>
      </c>
      <c r="Y71" s="820">
        <v>319.519745</v>
      </c>
      <c r="Z71" s="820">
        <v>322.40081800000002</v>
      </c>
      <c r="AA71" s="820">
        <v>325.77969400000001</v>
      </c>
      <c r="AB71" s="820">
        <v>327.33889799999997</v>
      </c>
      <c r="AC71" s="820">
        <v>329.25366200000002</v>
      </c>
      <c r="AD71" s="820">
        <v>330.65850799999998</v>
      </c>
      <c r="AE71" s="820">
        <v>331.64892600000002</v>
      </c>
      <c r="AF71" s="814">
        <v>9.6699999999999998E-4</v>
      </c>
      <c r="AG71" s="802"/>
    </row>
    <row r="72" spans="1:33" ht="15" customHeight="1">
      <c r="A72" s="800" t="s">
        <v>4950</v>
      </c>
      <c r="B72" s="812" t="s">
        <v>4892</v>
      </c>
      <c r="C72" s="820">
        <v>237.58575400000001</v>
      </c>
      <c r="D72" s="820">
        <v>225.87794500000001</v>
      </c>
      <c r="E72" s="820">
        <v>213.011932</v>
      </c>
      <c r="F72" s="820">
        <v>203.11526499999999</v>
      </c>
      <c r="G72" s="820">
        <v>197.851303</v>
      </c>
      <c r="H72" s="820">
        <v>193.91622899999999</v>
      </c>
      <c r="I72" s="820">
        <v>191.972565</v>
      </c>
      <c r="J72" s="820">
        <v>191.99533099999999</v>
      </c>
      <c r="K72" s="820">
        <v>192.808594</v>
      </c>
      <c r="L72" s="820">
        <v>194.00732400000001</v>
      </c>
      <c r="M72" s="820">
        <v>195.20188899999999</v>
      </c>
      <c r="N72" s="820">
        <v>198.03672800000001</v>
      </c>
      <c r="O72" s="820">
        <v>200.05308500000001</v>
      </c>
      <c r="P72" s="820">
        <v>200.73554999999999</v>
      </c>
      <c r="Q72" s="820">
        <v>201.89059399999999</v>
      </c>
      <c r="R72" s="820">
        <v>203.22679099999999</v>
      </c>
      <c r="S72" s="820">
        <v>205.254211</v>
      </c>
      <c r="T72" s="820">
        <v>206.31689499999999</v>
      </c>
      <c r="U72" s="820">
        <v>207.71612500000001</v>
      </c>
      <c r="V72" s="820">
        <v>209.116455</v>
      </c>
      <c r="W72" s="820">
        <v>209.91201799999999</v>
      </c>
      <c r="X72" s="820">
        <v>210.615692</v>
      </c>
      <c r="Y72" s="820">
        <v>211.145477</v>
      </c>
      <c r="Z72" s="820">
        <v>212.010605</v>
      </c>
      <c r="AA72" s="820">
        <v>213.26052899999999</v>
      </c>
      <c r="AB72" s="820">
        <v>212.95162999999999</v>
      </c>
      <c r="AC72" s="820">
        <v>213.52230800000001</v>
      </c>
      <c r="AD72" s="820">
        <v>213.60995500000001</v>
      </c>
      <c r="AE72" s="820">
        <v>213.533905</v>
      </c>
      <c r="AF72" s="814">
        <v>-3.8049999999999998E-3</v>
      </c>
      <c r="AG72" s="802"/>
    </row>
    <row r="73" spans="1:33" ht="12" customHeight="1">
      <c r="A73" s="800" t="s">
        <v>4951</v>
      </c>
      <c r="B73" s="812" t="s">
        <v>4899</v>
      </c>
      <c r="C73" s="820">
        <v>310.10330199999999</v>
      </c>
      <c r="D73" s="820">
        <v>282.26937900000001</v>
      </c>
      <c r="E73" s="820">
        <v>252.551987</v>
      </c>
      <c r="F73" s="820">
        <v>234.86604299999999</v>
      </c>
      <c r="G73" s="820">
        <v>226.70996099999999</v>
      </c>
      <c r="H73" s="820">
        <v>221.57540900000001</v>
      </c>
      <c r="I73" s="820">
        <v>219.738846</v>
      </c>
      <c r="J73" s="820">
        <v>221.33729600000001</v>
      </c>
      <c r="K73" s="820">
        <v>224.22203099999999</v>
      </c>
      <c r="L73" s="820">
        <v>228.29579200000001</v>
      </c>
      <c r="M73" s="820">
        <v>233.62683100000001</v>
      </c>
      <c r="N73" s="820">
        <v>240.33781400000001</v>
      </c>
      <c r="O73" s="820">
        <v>245.94323700000001</v>
      </c>
      <c r="P73" s="820">
        <v>250.18936199999999</v>
      </c>
      <c r="Q73" s="820">
        <v>253.301422</v>
      </c>
      <c r="R73" s="820">
        <v>257.26852400000001</v>
      </c>
      <c r="S73" s="820">
        <v>262.927032</v>
      </c>
      <c r="T73" s="820">
        <v>265.25408900000002</v>
      </c>
      <c r="U73" s="820">
        <v>271.08898900000003</v>
      </c>
      <c r="V73" s="820">
        <v>276.17294299999998</v>
      </c>
      <c r="W73" s="820">
        <v>279.27426100000002</v>
      </c>
      <c r="X73" s="820">
        <v>280.348389</v>
      </c>
      <c r="Y73" s="820">
        <v>281.26077299999997</v>
      </c>
      <c r="Z73" s="820">
        <v>283.24661300000002</v>
      </c>
      <c r="AA73" s="820">
        <v>285.42950400000001</v>
      </c>
      <c r="AB73" s="820">
        <v>287.51950099999999</v>
      </c>
      <c r="AC73" s="820">
        <v>289.11874399999999</v>
      </c>
      <c r="AD73" s="820">
        <v>290.22354100000001</v>
      </c>
      <c r="AE73" s="820">
        <v>292.79836999999998</v>
      </c>
      <c r="AF73" s="814">
        <v>-2.049E-3</v>
      </c>
      <c r="AG73" s="802"/>
    </row>
    <row r="74" spans="1:33" ht="15" customHeight="1">
      <c r="A74" s="800" t="s">
        <v>4952</v>
      </c>
      <c r="B74" s="812" t="s">
        <v>4912</v>
      </c>
      <c r="C74" s="820">
        <v>881.96179199999995</v>
      </c>
      <c r="D74" s="820">
        <v>779.21691899999996</v>
      </c>
      <c r="E74" s="820">
        <v>718.76898200000005</v>
      </c>
      <c r="F74" s="820">
        <v>663.46997099999999</v>
      </c>
      <c r="G74" s="820">
        <v>647.39758300000005</v>
      </c>
      <c r="H74" s="820">
        <v>634.12219200000004</v>
      </c>
      <c r="I74" s="820">
        <v>624.34558100000004</v>
      </c>
      <c r="J74" s="820">
        <v>620.49530000000004</v>
      </c>
      <c r="K74" s="820">
        <v>615.71276899999998</v>
      </c>
      <c r="L74" s="820">
        <v>611.47125200000005</v>
      </c>
      <c r="M74" s="820">
        <v>610.01403800000003</v>
      </c>
      <c r="N74" s="820">
        <v>608.57330300000001</v>
      </c>
      <c r="O74" s="820">
        <v>607.87622099999999</v>
      </c>
      <c r="P74" s="820">
        <v>607.89910899999995</v>
      </c>
      <c r="Q74" s="820">
        <v>609.51086399999997</v>
      </c>
      <c r="R74" s="820">
        <v>609.85699499999998</v>
      </c>
      <c r="S74" s="820">
        <v>611.14373799999998</v>
      </c>
      <c r="T74" s="820">
        <v>612.75714100000005</v>
      </c>
      <c r="U74" s="820">
        <v>614.47161900000003</v>
      </c>
      <c r="V74" s="820">
        <v>617.21283000000005</v>
      </c>
      <c r="W74" s="820">
        <v>619.520081</v>
      </c>
      <c r="X74" s="820">
        <v>620.98687700000005</v>
      </c>
      <c r="Y74" s="820">
        <v>624.36004600000001</v>
      </c>
      <c r="Z74" s="820">
        <v>627.828125</v>
      </c>
      <c r="AA74" s="820">
        <v>645.26946999999996</v>
      </c>
      <c r="AB74" s="820">
        <v>649.33062700000005</v>
      </c>
      <c r="AC74" s="820">
        <v>656.659851</v>
      </c>
      <c r="AD74" s="820">
        <v>662.27075200000002</v>
      </c>
      <c r="AE74" s="820">
        <v>670.69799799999998</v>
      </c>
      <c r="AF74" s="814">
        <v>-9.7319999999999993E-3</v>
      </c>
      <c r="AG74" s="802"/>
    </row>
    <row r="75" spans="1:33" ht="15" customHeight="1">
      <c r="A75" s="800" t="s">
        <v>4953</v>
      </c>
      <c r="B75" s="812" t="s">
        <v>4954</v>
      </c>
      <c r="C75" s="820">
        <v>1752.4453120000001</v>
      </c>
      <c r="D75" s="820">
        <v>1598.4698490000001</v>
      </c>
      <c r="E75" s="820">
        <v>1480.9155270000001</v>
      </c>
      <c r="F75" s="820">
        <v>1388.9666749999999</v>
      </c>
      <c r="G75" s="820">
        <v>1353.8562010000001</v>
      </c>
      <c r="H75" s="820">
        <v>1327.8508300000001</v>
      </c>
      <c r="I75" s="820">
        <v>1312.070923</v>
      </c>
      <c r="J75" s="820">
        <v>1310.3583980000001</v>
      </c>
      <c r="K75" s="820">
        <v>1310.4930420000001</v>
      </c>
      <c r="L75" s="820">
        <v>1313.513428</v>
      </c>
      <c r="M75" s="820">
        <v>1320.512573</v>
      </c>
      <c r="N75" s="820">
        <v>1333.1611330000001</v>
      </c>
      <c r="O75" s="820">
        <v>1343.682495</v>
      </c>
      <c r="P75" s="820">
        <v>1350.548828</v>
      </c>
      <c r="Q75" s="820">
        <v>1359.321289</v>
      </c>
      <c r="R75" s="820">
        <v>1368.533203</v>
      </c>
      <c r="S75" s="820">
        <v>1381.905029</v>
      </c>
      <c r="T75" s="820">
        <v>1389.9570309999999</v>
      </c>
      <c r="U75" s="820">
        <v>1402.4525149999999</v>
      </c>
      <c r="V75" s="820">
        <v>1415.0437010000001</v>
      </c>
      <c r="W75" s="820">
        <v>1423.8054199999999</v>
      </c>
      <c r="X75" s="820">
        <v>1429.3354489999999</v>
      </c>
      <c r="Y75" s="820">
        <v>1436.2861330000001</v>
      </c>
      <c r="Z75" s="820">
        <v>1445.486206</v>
      </c>
      <c r="AA75" s="820">
        <v>1469.7392580000001</v>
      </c>
      <c r="AB75" s="820">
        <v>1477.140625</v>
      </c>
      <c r="AC75" s="820">
        <v>1488.5546879999999</v>
      </c>
      <c r="AD75" s="820">
        <v>1496.7626949999999</v>
      </c>
      <c r="AE75" s="820">
        <v>1508.6791989999999</v>
      </c>
      <c r="AF75" s="814">
        <v>-5.3350000000000003E-3</v>
      </c>
      <c r="AG75" s="802"/>
    </row>
    <row r="76" spans="1:33" ht="15" customHeight="1">
      <c r="A76" s="800" t="s">
        <v>4955</v>
      </c>
      <c r="B76" s="812" t="s">
        <v>4956</v>
      </c>
      <c r="C76" s="820">
        <v>1.2899940000000001</v>
      </c>
      <c r="D76" s="820">
        <v>1.153556</v>
      </c>
      <c r="E76" s="820">
        <v>1.040157</v>
      </c>
      <c r="F76" s="820">
        <v>0.96700699999999995</v>
      </c>
      <c r="G76" s="820">
        <v>0.93400700000000003</v>
      </c>
      <c r="H76" s="820">
        <v>0.90322400000000003</v>
      </c>
      <c r="I76" s="820">
        <v>0.873027</v>
      </c>
      <c r="J76" s="820">
        <v>0.84012299999999995</v>
      </c>
      <c r="K76" s="820">
        <v>0.80676700000000001</v>
      </c>
      <c r="L76" s="820">
        <v>0.76968800000000004</v>
      </c>
      <c r="M76" s="820">
        <v>0.73878299999999997</v>
      </c>
      <c r="N76" s="820">
        <v>0.70918999999999999</v>
      </c>
      <c r="O76" s="820">
        <v>0.68329700000000004</v>
      </c>
      <c r="P76" s="820">
        <v>0.65939099999999995</v>
      </c>
      <c r="Q76" s="820">
        <v>0.64221600000000001</v>
      </c>
      <c r="R76" s="820">
        <v>0.62533300000000003</v>
      </c>
      <c r="S76" s="820">
        <v>0.61408099999999999</v>
      </c>
      <c r="T76" s="820">
        <v>0.60781600000000002</v>
      </c>
      <c r="U76" s="820">
        <v>0.60402999999999996</v>
      </c>
      <c r="V76" s="820">
        <v>0.60172700000000001</v>
      </c>
      <c r="W76" s="820">
        <v>0.60324699999999998</v>
      </c>
      <c r="X76" s="820">
        <v>0.60368699999999997</v>
      </c>
      <c r="Y76" s="820">
        <v>0.61092500000000005</v>
      </c>
      <c r="Z76" s="820">
        <v>0.61596499999999998</v>
      </c>
      <c r="AA76" s="820">
        <v>0.636548</v>
      </c>
      <c r="AB76" s="820">
        <v>0.64446199999999998</v>
      </c>
      <c r="AC76" s="820">
        <v>0.65710000000000002</v>
      </c>
      <c r="AD76" s="820">
        <v>0.66825599999999996</v>
      </c>
      <c r="AE76" s="820">
        <v>0.68325899999999995</v>
      </c>
      <c r="AF76" s="814">
        <v>-2.2440999999999999E-2</v>
      </c>
      <c r="AG76" s="802"/>
    </row>
    <row r="77" spans="1:33" ht="15" customHeight="1">
      <c r="A77" s="800" t="s">
        <v>4957</v>
      </c>
      <c r="B77" s="808" t="s">
        <v>4958</v>
      </c>
      <c r="C77" s="809">
        <v>1753.7353519999999</v>
      </c>
      <c r="D77" s="809">
        <v>1599.623413</v>
      </c>
      <c r="E77" s="809">
        <v>1481.955688</v>
      </c>
      <c r="F77" s="809">
        <v>1389.933716</v>
      </c>
      <c r="G77" s="809">
        <v>1354.7901609999999</v>
      </c>
      <c r="H77" s="809">
        <v>1328.7540280000001</v>
      </c>
      <c r="I77" s="809">
        <v>1312.94397</v>
      </c>
      <c r="J77" s="809">
        <v>1311.198486</v>
      </c>
      <c r="K77" s="809">
        <v>1311.2998050000001</v>
      </c>
      <c r="L77" s="809">
        <v>1314.283081</v>
      </c>
      <c r="M77" s="809">
        <v>1321.2513429999999</v>
      </c>
      <c r="N77" s="809">
        <v>1333.870361</v>
      </c>
      <c r="O77" s="809">
        <v>1344.365845</v>
      </c>
      <c r="P77" s="809">
        <v>1351.2082519999999</v>
      </c>
      <c r="Q77" s="809">
        <v>1359.963501</v>
      </c>
      <c r="R77" s="809">
        <v>1369.1585689999999</v>
      </c>
      <c r="S77" s="809">
        <v>1382.5191649999999</v>
      </c>
      <c r="T77" s="809">
        <v>1390.5648189999999</v>
      </c>
      <c r="U77" s="809">
        <v>1403.056519</v>
      </c>
      <c r="V77" s="809">
        <v>1415.6453859999999</v>
      </c>
      <c r="W77" s="809">
        <v>1424.4086910000001</v>
      </c>
      <c r="X77" s="809">
        <v>1429.939087</v>
      </c>
      <c r="Y77" s="809">
        <v>1436.897095</v>
      </c>
      <c r="Z77" s="809">
        <v>1446.102173</v>
      </c>
      <c r="AA77" s="809">
        <v>1470.3758539999999</v>
      </c>
      <c r="AB77" s="809">
        <v>1477.785034</v>
      </c>
      <c r="AC77" s="809">
        <v>1489.2117920000001</v>
      </c>
      <c r="AD77" s="809">
        <v>1497.430908</v>
      </c>
      <c r="AE77" s="809">
        <v>1509.362427</v>
      </c>
      <c r="AF77" s="810">
        <v>-5.3449999999999999E-3</v>
      </c>
      <c r="AG77" s="802"/>
    </row>
    <row r="78" spans="1:33" ht="15" customHeight="1">
      <c r="B78" s="802"/>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3" ht="12" customHeight="1">
      <c r="B79" s="802"/>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row>
    <row r="80" spans="1:33" ht="15" customHeight="1">
      <c r="B80" s="808" t="s">
        <v>4959</v>
      </c>
      <c r="C80" s="802"/>
      <c r="D80" s="802"/>
      <c r="E80" s="802"/>
      <c r="F80" s="802"/>
      <c r="G80" s="802"/>
      <c r="H80" s="802"/>
      <c r="I80" s="802"/>
      <c r="J80" s="802"/>
      <c r="K80" s="802"/>
      <c r="L80" s="802"/>
      <c r="M80" s="802"/>
      <c r="N80" s="802"/>
      <c r="O80" s="802"/>
      <c r="P80" s="802"/>
      <c r="Q80" s="802"/>
      <c r="R80" s="802"/>
      <c r="S80" s="802"/>
      <c r="T80" s="802"/>
      <c r="U80" s="802"/>
      <c r="V80" s="802"/>
      <c r="W80" s="802"/>
      <c r="X80" s="802"/>
      <c r="Y80" s="802"/>
      <c r="Z80" s="802"/>
      <c r="AA80" s="802"/>
      <c r="AB80" s="802"/>
      <c r="AC80" s="802"/>
      <c r="AD80" s="802"/>
      <c r="AE80" s="802"/>
      <c r="AF80" s="802"/>
      <c r="AG80" s="802"/>
    </row>
    <row r="81" spans="1:33" ht="12" customHeight="1">
      <c r="B81" s="808" t="s">
        <v>4884</v>
      </c>
      <c r="C81" s="802"/>
      <c r="D81" s="802"/>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2"/>
      <c r="AF81" s="802"/>
      <c r="AG81" s="802"/>
    </row>
    <row r="82" spans="1:33" ht="15" customHeight="1">
      <c r="A82" s="800" t="s">
        <v>4960</v>
      </c>
      <c r="B82" s="812" t="s">
        <v>4886</v>
      </c>
      <c r="C82" s="815">
        <v>29.133368000000001</v>
      </c>
      <c r="D82" s="815">
        <v>32.600932999999998</v>
      </c>
      <c r="E82" s="815">
        <v>33.591048999999998</v>
      </c>
      <c r="F82" s="815">
        <v>33.150249000000002</v>
      </c>
      <c r="G82" s="815">
        <v>32.635117000000001</v>
      </c>
      <c r="H82" s="815">
        <v>32.334290000000003</v>
      </c>
      <c r="I82" s="815">
        <v>32.446052999999999</v>
      </c>
      <c r="J82" s="815">
        <v>32.931576</v>
      </c>
      <c r="K82" s="815">
        <v>33.77552</v>
      </c>
      <c r="L82" s="815">
        <v>34.906070999999997</v>
      </c>
      <c r="M82" s="815">
        <v>36.293835000000001</v>
      </c>
      <c r="N82" s="815">
        <v>37.918900000000001</v>
      </c>
      <c r="O82" s="815">
        <v>39.611206000000003</v>
      </c>
      <c r="P82" s="815">
        <v>41.182040999999998</v>
      </c>
      <c r="Q82" s="815">
        <v>42.624862999999998</v>
      </c>
      <c r="R82" s="815">
        <v>44.030830000000002</v>
      </c>
      <c r="S82" s="815">
        <v>45.598953000000002</v>
      </c>
      <c r="T82" s="815">
        <v>46.898192999999999</v>
      </c>
      <c r="U82" s="815">
        <v>48.437809000000001</v>
      </c>
      <c r="V82" s="815">
        <v>50.019119000000003</v>
      </c>
      <c r="W82" s="815">
        <v>51.510776999999997</v>
      </c>
      <c r="X82" s="815">
        <v>52.883899999999997</v>
      </c>
      <c r="Y82" s="815">
        <v>54.158352000000001</v>
      </c>
      <c r="Z82" s="815">
        <v>55.546275999999999</v>
      </c>
      <c r="AA82" s="815">
        <v>57.234603999999997</v>
      </c>
      <c r="AB82" s="815">
        <v>58.666496000000002</v>
      </c>
      <c r="AC82" s="815">
        <v>60.229030999999999</v>
      </c>
      <c r="AD82" s="815">
        <v>61.731524999999998</v>
      </c>
      <c r="AE82" s="815">
        <v>63.200648999999999</v>
      </c>
      <c r="AF82" s="814">
        <v>2.8043999999999999E-2</v>
      </c>
      <c r="AG82" s="802"/>
    </row>
    <row r="83" spans="1:33" ht="15" customHeight="1">
      <c r="A83" s="800" t="s">
        <v>4961</v>
      </c>
      <c r="B83" s="812" t="s">
        <v>4888</v>
      </c>
      <c r="C83" s="815">
        <v>35.242496000000003</v>
      </c>
      <c r="D83" s="815">
        <v>34.182651999999997</v>
      </c>
      <c r="E83" s="815">
        <v>33.724178000000002</v>
      </c>
      <c r="F83" s="815">
        <v>32.667090999999999</v>
      </c>
      <c r="G83" s="815">
        <v>32.846657</v>
      </c>
      <c r="H83" s="815">
        <v>33.046928000000001</v>
      </c>
      <c r="I83" s="815">
        <v>33.432006999999999</v>
      </c>
      <c r="J83" s="815">
        <v>34.269374999999997</v>
      </c>
      <c r="K83" s="815">
        <v>35.044159000000001</v>
      </c>
      <c r="L83" s="815">
        <v>36.064919000000003</v>
      </c>
      <c r="M83" s="815">
        <v>37.002056000000003</v>
      </c>
      <c r="N83" s="815">
        <v>38.029193999999997</v>
      </c>
      <c r="O83" s="815">
        <v>39.001244</v>
      </c>
      <c r="P83" s="815">
        <v>40.150604000000001</v>
      </c>
      <c r="Q83" s="815">
        <v>41.098312</v>
      </c>
      <c r="R83" s="815">
        <v>42.191569999999999</v>
      </c>
      <c r="S83" s="815">
        <v>43.253830000000001</v>
      </c>
      <c r="T83" s="815">
        <v>44.266022</v>
      </c>
      <c r="U83" s="815">
        <v>45.324840999999999</v>
      </c>
      <c r="V83" s="815">
        <v>46.584533999999998</v>
      </c>
      <c r="W83" s="815">
        <v>47.625869999999999</v>
      </c>
      <c r="X83" s="815">
        <v>48.902163999999999</v>
      </c>
      <c r="Y83" s="815">
        <v>49.874504000000002</v>
      </c>
      <c r="Z83" s="815">
        <v>51.111248000000003</v>
      </c>
      <c r="AA83" s="815">
        <v>52.683566999999996</v>
      </c>
      <c r="AB83" s="815">
        <v>53.982517000000001</v>
      </c>
      <c r="AC83" s="815">
        <v>55.335030000000003</v>
      </c>
      <c r="AD83" s="815">
        <v>56.786217000000001</v>
      </c>
      <c r="AE83" s="815">
        <v>58.157210999999997</v>
      </c>
      <c r="AF83" s="814">
        <v>1.805E-2</v>
      </c>
      <c r="AG83" s="802"/>
    </row>
    <row r="84" spans="1:33" ht="15" customHeight="1">
      <c r="A84" s="800" t="s">
        <v>4962</v>
      </c>
      <c r="B84" s="812" t="s">
        <v>4890</v>
      </c>
      <c r="C84" s="815">
        <v>14.293920999999999</v>
      </c>
      <c r="D84" s="815">
        <v>14.645989999999999</v>
      </c>
      <c r="E84" s="815">
        <v>13.676522</v>
      </c>
      <c r="F84" s="815">
        <v>13.184908999999999</v>
      </c>
      <c r="G84" s="815">
        <v>12.791022999999999</v>
      </c>
      <c r="H84" s="815">
        <v>12.605636000000001</v>
      </c>
      <c r="I84" s="815">
        <v>12.573746</v>
      </c>
      <c r="J84" s="815">
        <v>12.909769000000001</v>
      </c>
      <c r="K84" s="815">
        <v>13.249883000000001</v>
      </c>
      <c r="L84" s="815">
        <v>13.680078999999999</v>
      </c>
      <c r="M84" s="815">
        <v>14.109493000000001</v>
      </c>
      <c r="N84" s="815">
        <v>14.634359999999999</v>
      </c>
      <c r="O84" s="815">
        <v>15.145339</v>
      </c>
      <c r="P84" s="815">
        <v>15.646319</v>
      </c>
      <c r="Q84" s="815">
        <v>16.078226000000001</v>
      </c>
      <c r="R84" s="815">
        <v>16.557303999999998</v>
      </c>
      <c r="S84" s="815">
        <v>17.127001</v>
      </c>
      <c r="T84" s="815">
        <v>17.513002</v>
      </c>
      <c r="U84" s="815">
        <v>18.044384000000001</v>
      </c>
      <c r="V84" s="815">
        <v>18.599208999999998</v>
      </c>
      <c r="W84" s="815">
        <v>19.059166000000001</v>
      </c>
      <c r="X84" s="815">
        <v>19.474995</v>
      </c>
      <c r="Y84" s="815">
        <v>19.853939</v>
      </c>
      <c r="Z84" s="815">
        <v>20.418022000000001</v>
      </c>
      <c r="AA84" s="815">
        <v>21.441403999999999</v>
      </c>
      <c r="AB84" s="815">
        <v>21.922989000000001</v>
      </c>
      <c r="AC84" s="815">
        <v>22.388704000000001</v>
      </c>
      <c r="AD84" s="815">
        <v>22.934742</v>
      </c>
      <c r="AE84" s="815">
        <v>23.554538999999998</v>
      </c>
      <c r="AF84" s="814">
        <v>1.7999000000000001E-2</v>
      </c>
      <c r="AG84" s="802"/>
    </row>
    <row r="85" spans="1:33" ht="15" customHeight="1">
      <c r="A85" s="800" t="s">
        <v>4963</v>
      </c>
      <c r="B85" s="812" t="s">
        <v>3186</v>
      </c>
      <c r="C85" s="815">
        <v>42.669246999999999</v>
      </c>
      <c r="D85" s="815">
        <v>43.146023</v>
      </c>
      <c r="E85" s="815">
        <v>43.261093000000002</v>
      </c>
      <c r="F85" s="815">
        <v>42.880462999999999</v>
      </c>
      <c r="G85" s="815">
        <v>43.009357000000001</v>
      </c>
      <c r="H85" s="815">
        <v>43.327247999999997</v>
      </c>
      <c r="I85" s="815">
        <v>43.842647999999997</v>
      </c>
      <c r="J85" s="815">
        <v>44.687339999999999</v>
      </c>
      <c r="K85" s="815">
        <v>45.805477000000003</v>
      </c>
      <c r="L85" s="815">
        <v>47.097492000000003</v>
      </c>
      <c r="M85" s="815">
        <v>48.405566999999998</v>
      </c>
      <c r="N85" s="815">
        <v>50.295189000000001</v>
      </c>
      <c r="O85" s="815">
        <v>52.085312000000002</v>
      </c>
      <c r="P85" s="815">
        <v>53.362102999999998</v>
      </c>
      <c r="Q85" s="815">
        <v>54.927329999999998</v>
      </c>
      <c r="R85" s="815">
        <v>56.583927000000003</v>
      </c>
      <c r="S85" s="815">
        <v>58.444336</v>
      </c>
      <c r="T85" s="815">
        <v>60.167355000000001</v>
      </c>
      <c r="U85" s="815">
        <v>61.958289999999998</v>
      </c>
      <c r="V85" s="815">
        <v>63.713763999999998</v>
      </c>
      <c r="W85" s="815">
        <v>65.363594000000006</v>
      </c>
      <c r="X85" s="815">
        <v>67.008003000000002</v>
      </c>
      <c r="Y85" s="815">
        <v>68.678673000000003</v>
      </c>
      <c r="Z85" s="815">
        <v>70.432961000000006</v>
      </c>
      <c r="AA85" s="815">
        <v>71.975487000000001</v>
      </c>
      <c r="AB85" s="815">
        <v>73.475455999999994</v>
      </c>
      <c r="AC85" s="815">
        <v>75.125107</v>
      </c>
      <c r="AD85" s="815">
        <v>76.578170999999998</v>
      </c>
      <c r="AE85" s="815">
        <v>77.840477000000007</v>
      </c>
      <c r="AF85" s="814">
        <v>2.1703E-2</v>
      </c>
      <c r="AG85" s="802"/>
    </row>
    <row r="86" spans="1:33" ht="15" customHeight="1">
      <c r="B86" s="802"/>
      <c r="C86" s="802"/>
      <c r="D86" s="802"/>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row>
    <row r="87" spans="1:33" ht="15" customHeight="1">
      <c r="B87" s="808" t="s">
        <v>4892</v>
      </c>
      <c r="C87" s="802"/>
      <c r="D87" s="802"/>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2"/>
      <c r="AE87" s="802"/>
      <c r="AF87" s="802"/>
      <c r="AG87" s="802"/>
    </row>
    <row r="88" spans="1:33" ht="15" customHeight="1">
      <c r="A88" s="800" t="s">
        <v>4964</v>
      </c>
      <c r="B88" s="812" t="s">
        <v>4886</v>
      </c>
      <c r="C88" s="815">
        <v>27.825644</v>
      </c>
      <c r="D88" s="815">
        <v>27.85585</v>
      </c>
      <c r="E88" s="815">
        <v>26.556958999999999</v>
      </c>
      <c r="F88" s="815">
        <v>24.976807000000001</v>
      </c>
      <c r="G88" s="815">
        <v>24.337795</v>
      </c>
      <c r="H88" s="815">
        <v>24.212544999999999</v>
      </c>
      <c r="I88" s="815">
        <v>24.589096000000001</v>
      </c>
      <c r="J88" s="815">
        <v>25.254981999999998</v>
      </c>
      <c r="K88" s="815">
        <v>26.178425000000001</v>
      </c>
      <c r="L88" s="815">
        <v>27.261216999999998</v>
      </c>
      <c r="M88" s="815">
        <v>28.512353999999998</v>
      </c>
      <c r="N88" s="815">
        <v>29.901306000000002</v>
      </c>
      <c r="O88" s="815">
        <v>31.225031000000001</v>
      </c>
      <c r="P88" s="815">
        <v>32.327418999999999</v>
      </c>
      <c r="Q88" s="815">
        <v>33.303187999999999</v>
      </c>
      <c r="R88" s="815">
        <v>34.315617000000003</v>
      </c>
      <c r="S88" s="815">
        <v>35.582957999999998</v>
      </c>
      <c r="T88" s="815">
        <v>36.394447</v>
      </c>
      <c r="U88" s="815">
        <v>37.650371999999997</v>
      </c>
      <c r="V88" s="815">
        <v>38.867626000000001</v>
      </c>
      <c r="W88" s="815">
        <v>39.91769</v>
      </c>
      <c r="X88" s="815">
        <v>40.838012999999997</v>
      </c>
      <c r="Y88" s="815">
        <v>41.698109000000002</v>
      </c>
      <c r="Z88" s="815">
        <v>42.775314000000002</v>
      </c>
      <c r="AA88" s="815">
        <v>44.170029</v>
      </c>
      <c r="AB88" s="815">
        <v>45.280189999999997</v>
      </c>
      <c r="AC88" s="815">
        <v>46.532390999999997</v>
      </c>
      <c r="AD88" s="815">
        <v>47.632702000000002</v>
      </c>
      <c r="AE88" s="815">
        <v>48.701335999999998</v>
      </c>
      <c r="AF88" s="814">
        <v>2.0192000000000002E-2</v>
      </c>
      <c r="AG88" s="802"/>
    </row>
    <row r="89" spans="1:33" ht="15" customHeight="1">
      <c r="A89" s="800" t="s">
        <v>4965</v>
      </c>
      <c r="B89" s="812" t="s">
        <v>4888</v>
      </c>
      <c r="C89" s="815">
        <v>35.263694999999998</v>
      </c>
      <c r="D89" s="815">
        <v>34.344527999999997</v>
      </c>
      <c r="E89" s="815">
        <v>32.658478000000002</v>
      </c>
      <c r="F89" s="815">
        <v>30.315842</v>
      </c>
      <c r="G89" s="815">
        <v>29.135559000000001</v>
      </c>
      <c r="H89" s="815">
        <v>27.945101000000001</v>
      </c>
      <c r="I89" s="815">
        <v>26.866716</v>
      </c>
      <c r="J89" s="815">
        <v>27.554403000000001</v>
      </c>
      <c r="K89" s="815">
        <v>28.172378999999999</v>
      </c>
      <c r="L89" s="815">
        <v>29.022541</v>
      </c>
      <c r="M89" s="815">
        <v>29.806835</v>
      </c>
      <c r="N89" s="815">
        <v>30.648589999999999</v>
      </c>
      <c r="O89" s="815">
        <v>31.455866</v>
      </c>
      <c r="P89" s="815">
        <v>32.399478999999999</v>
      </c>
      <c r="Q89" s="815">
        <v>33.183022000000001</v>
      </c>
      <c r="R89" s="815">
        <v>34.086585999999997</v>
      </c>
      <c r="S89" s="815">
        <v>34.961765</v>
      </c>
      <c r="T89" s="815">
        <v>35.791187000000001</v>
      </c>
      <c r="U89" s="815">
        <v>36.661175</v>
      </c>
      <c r="V89" s="815">
        <v>37.72419</v>
      </c>
      <c r="W89" s="815">
        <v>38.565331</v>
      </c>
      <c r="X89" s="815">
        <v>39.635489999999997</v>
      </c>
      <c r="Y89" s="815">
        <v>40.400620000000004</v>
      </c>
      <c r="Z89" s="815">
        <v>41.460686000000003</v>
      </c>
      <c r="AA89" s="815">
        <v>43.348011</v>
      </c>
      <c r="AB89" s="815">
        <v>44.403556999999999</v>
      </c>
      <c r="AC89" s="815">
        <v>45.525748999999998</v>
      </c>
      <c r="AD89" s="815">
        <v>46.750487999999997</v>
      </c>
      <c r="AE89" s="815">
        <v>47.882179000000001</v>
      </c>
      <c r="AF89" s="814">
        <v>1.0985E-2</v>
      </c>
      <c r="AG89" s="802"/>
    </row>
    <row r="90" spans="1:33" ht="15" customHeight="1">
      <c r="A90" s="800" t="s">
        <v>4966</v>
      </c>
      <c r="B90" s="812" t="s">
        <v>4896</v>
      </c>
      <c r="C90" s="815">
        <v>12.628995</v>
      </c>
      <c r="D90" s="815">
        <v>8.190194</v>
      </c>
      <c r="E90" s="815">
        <v>10.064173</v>
      </c>
      <c r="F90" s="815">
        <v>10.614261000000001</v>
      </c>
      <c r="G90" s="815">
        <v>12.394233</v>
      </c>
      <c r="H90" s="815">
        <v>14.254799</v>
      </c>
      <c r="I90" s="815">
        <v>16.294703999999999</v>
      </c>
      <c r="J90" s="815">
        <v>16.744129000000001</v>
      </c>
      <c r="K90" s="815">
        <v>17.220006999999999</v>
      </c>
      <c r="L90" s="815">
        <v>17.747589000000001</v>
      </c>
      <c r="M90" s="815">
        <v>18.278893</v>
      </c>
      <c r="N90" s="815">
        <v>18.828437999999998</v>
      </c>
      <c r="O90" s="815">
        <v>19.412710000000001</v>
      </c>
      <c r="P90" s="815">
        <v>20.019818999999998</v>
      </c>
      <c r="Q90" s="815">
        <v>20.605381000000001</v>
      </c>
      <c r="R90" s="815">
        <v>21.204630000000002</v>
      </c>
      <c r="S90" s="815">
        <v>21.826968999999998</v>
      </c>
      <c r="T90" s="815">
        <v>22.406015</v>
      </c>
      <c r="U90" s="815">
        <v>23.034382000000001</v>
      </c>
      <c r="V90" s="815">
        <v>23.748093000000001</v>
      </c>
      <c r="W90" s="815">
        <v>24.306380999999998</v>
      </c>
      <c r="X90" s="815">
        <v>24.976209999999998</v>
      </c>
      <c r="Y90" s="815">
        <v>25.601828000000001</v>
      </c>
      <c r="Z90" s="815">
        <v>26.294802000000001</v>
      </c>
      <c r="AA90" s="815">
        <v>27.197239</v>
      </c>
      <c r="AB90" s="815">
        <v>27.841978000000001</v>
      </c>
      <c r="AC90" s="815">
        <v>28.729586000000001</v>
      </c>
      <c r="AD90" s="815">
        <v>29.587326000000001</v>
      </c>
      <c r="AE90" s="815">
        <v>30.433244999999999</v>
      </c>
      <c r="AF90" s="814">
        <v>3.1911000000000002E-2</v>
      </c>
      <c r="AG90" s="802"/>
    </row>
    <row r="91" spans="1:33" ht="15" customHeight="1">
      <c r="A91" s="800" t="s">
        <v>4967</v>
      </c>
      <c r="B91" s="812" t="s">
        <v>4890</v>
      </c>
      <c r="C91" s="815">
        <v>10.986808</v>
      </c>
      <c r="D91" s="815">
        <v>10.752255</v>
      </c>
      <c r="E91" s="815">
        <v>9.9479480000000002</v>
      </c>
      <c r="F91" s="815">
        <v>9.6419490000000003</v>
      </c>
      <c r="G91" s="815">
        <v>9.4135589999999993</v>
      </c>
      <c r="H91" s="815">
        <v>9.3766979999999993</v>
      </c>
      <c r="I91" s="815">
        <v>9.4731009999999998</v>
      </c>
      <c r="J91" s="815">
        <v>9.7253550000000004</v>
      </c>
      <c r="K91" s="815">
        <v>9.9731579999999997</v>
      </c>
      <c r="L91" s="815">
        <v>10.300300999999999</v>
      </c>
      <c r="M91" s="815">
        <v>10.62715</v>
      </c>
      <c r="N91" s="815">
        <v>11.050625</v>
      </c>
      <c r="O91" s="815">
        <v>11.449692000000001</v>
      </c>
      <c r="P91" s="815">
        <v>11.837113</v>
      </c>
      <c r="Q91" s="815">
        <v>12.159459</v>
      </c>
      <c r="R91" s="815">
        <v>12.529586</v>
      </c>
      <c r="S91" s="815">
        <v>12.986810999999999</v>
      </c>
      <c r="T91" s="815">
        <v>13.267094</v>
      </c>
      <c r="U91" s="815">
        <v>13.688367</v>
      </c>
      <c r="V91" s="815">
        <v>14.127917</v>
      </c>
      <c r="W91" s="815">
        <v>14.471655999999999</v>
      </c>
      <c r="X91" s="815">
        <v>14.771008</v>
      </c>
      <c r="Y91" s="815">
        <v>15.036106999999999</v>
      </c>
      <c r="Z91" s="815">
        <v>15.46964</v>
      </c>
      <c r="AA91" s="815">
        <v>16.177821999999999</v>
      </c>
      <c r="AB91" s="815">
        <v>16.489763</v>
      </c>
      <c r="AC91" s="815">
        <v>16.806581000000001</v>
      </c>
      <c r="AD91" s="815">
        <v>17.210038999999998</v>
      </c>
      <c r="AE91" s="815">
        <v>17.685751</v>
      </c>
      <c r="AF91" s="814">
        <v>1.7148E-2</v>
      </c>
      <c r="AG91" s="802"/>
    </row>
    <row r="92" spans="1:33" ht="12" customHeight="1">
      <c r="A92" s="800" t="s">
        <v>4968</v>
      </c>
      <c r="B92" s="812" t="s">
        <v>3186</v>
      </c>
      <c r="C92" s="815">
        <v>36.670883000000003</v>
      </c>
      <c r="D92" s="815">
        <v>37.384396000000002</v>
      </c>
      <c r="E92" s="815">
        <v>36.634932999999997</v>
      </c>
      <c r="F92" s="815">
        <v>35.829681000000001</v>
      </c>
      <c r="G92" s="815">
        <v>35.682613000000003</v>
      </c>
      <c r="H92" s="815">
        <v>35.778049000000003</v>
      </c>
      <c r="I92" s="815">
        <v>35.970699000000003</v>
      </c>
      <c r="J92" s="815">
        <v>36.469802999999999</v>
      </c>
      <c r="K92" s="815">
        <v>37.239471000000002</v>
      </c>
      <c r="L92" s="815">
        <v>38.070853999999997</v>
      </c>
      <c r="M92" s="815">
        <v>38.904254999999999</v>
      </c>
      <c r="N92" s="815">
        <v>40.277724999999997</v>
      </c>
      <c r="O92" s="815">
        <v>41.548606999999997</v>
      </c>
      <c r="P92" s="815">
        <v>42.420836999999999</v>
      </c>
      <c r="Q92" s="815">
        <v>43.531005999999998</v>
      </c>
      <c r="R92" s="815">
        <v>44.662574999999997</v>
      </c>
      <c r="S92" s="815">
        <v>46.012588999999998</v>
      </c>
      <c r="T92" s="815">
        <v>47.266869</v>
      </c>
      <c r="U92" s="815">
        <v>48.525996999999997</v>
      </c>
      <c r="V92" s="815">
        <v>49.775635000000001</v>
      </c>
      <c r="W92" s="815">
        <v>50.926758</v>
      </c>
      <c r="X92" s="815">
        <v>52.105659000000003</v>
      </c>
      <c r="Y92" s="815">
        <v>53.247463000000003</v>
      </c>
      <c r="Z92" s="815">
        <v>54.400368</v>
      </c>
      <c r="AA92" s="815">
        <v>55.375427000000002</v>
      </c>
      <c r="AB92" s="815">
        <v>56.220759999999999</v>
      </c>
      <c r="AC92" s="815">
        <v>57.363804000000002</v>
      </c>
      <c r="AD92" s="815">
        <v>58.272151999999998</v>
      </c>
      <c r="AE92" s="815">
        <v>59.05735</v>
      </c>
      <c r="AF92" s="814">
        <v>1.7163999999999999E-2</v>
      </c>
      <c r="AG92" s="802"/>
    </row>
    <row r="93" spans="1:33" ht="15" customHeight="1">
      <c r="B93" s="802"/>
      <c r="C93" s="802"/>
      <c r="D93" s="802"/>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2"/>
      <c r="AE93" s="802"/>
      <c r="AF93" s="802"/>
      <c r="AG93" s="802"/>
    </row>
    <row r="94" spans="1:33" ht="15" customHeight="1">
      <c r="B94" s="808" t="s">
        <v>4899</v>
      </c>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1:33" ht="15" customHeight="1">
      <c r="A95" s="800" t="s">
        <v>4969</v>
      </c>
      <c r="B95" s="812" t="s">
        <v>4886</v>
      </c>
      <c r="C95" s="815">
        <v>23.435020000000002</v>
      </c>
      <c r="D95" s="815">
        <v>22.356629999999999</v>
      </c>
      <c r="E95" s="815">
        <v>20.487594999999999</v>
      </c>
      <c r="F95" s="815">
        <v>18.533535000000001</v>
      </c>
      <c r="G95" s="815">
        <v>17.736046000000002</v>
      </c>
      <c r="H95" s="815">
        <v>17.477232000000001</v>
      </c>
      <c r="I95" s="815">
        <v>17.740955</v>
      </c>
      <c r="J95" s="815">
        <v>18.286145999999999</v>
      </c>
      <c r="K95" s="815">
        <v>19.090485000000001</v>
      </c>
      <c r="L95" s="815">
        <v>20.049326000000001</v>
      </c>
      <c r="M95" s="815">
        <v>21.186962000000001</v>
      </c>
      <c r="N95" s="815">
        <v>22.464024999999999</v>
      </c>
      <c r="O95" s="815">
        <v>23.655508000000001</v>
      </c>
      <c r="P95" s="815">
        <v>24.597995999999998</v>
      </c>
      <c r="Q95" s="815">
        <v>25.405923999999999</v>
      </c>
      <c r="R95" s="815">
        <v>26.269162999999999</v>
      </c>
      <c r="S95" s="815">
        <v>27.429414999999999</v>
      </c>
      <c r="T95" s="815">
        <v>28.034966000000001</v>
      </c>
      <c r="U95" s="815">
        <v>29.178497</v>
      </c>
      <c r="V95" s="815">
        <v>30.24905</v>
      </c>
      <c r="W95" s="815">
        <v>31.111232999999999</v>
      </c>
      <c r="X95" s="815">
        <v>31.816524999999999</v>
      </c>
      <c r="Y95" s="815">
        <v>32.450352000000002</v>
      </c>
      <c r="Z95" s="815">
        <v>33.311852000000002</v>
      </c>
      <c r="AA95" s="815">
        <v>34.086624</v>
      </c>
      <c r="AB95" s="815">
        <v>34.970641999999998</v>
      </c>
      <c r="AC95" s="815">
        <v>36.006217999999997</v>
      </c>
      <c r="AD95" s="815">
        <v>36.842278</v>
      </c>
      <c r="AE95" s="815">
        <v>37.636386999999999</v>
      </c>
      <c r="AF95" s="814">
        <v>1.7062999999999998E-2</v>
      </c>
      <c r="AG95" s="802"/>
    </row>
    <row r="96" spans="1:33" ht="15" customHeight="1">
      <c r="A96" s="800" t="s">
        <v>4970</v>
      </c>
      <c r="B96" s="812" t="s">
        <v>4888</v>
      </c>
      <c r="C96" s="815">
        <v>35.187302000000003</v>
      </c>
      <c r="D96" s="815">
        <v>34.160721000000002</v>
      </c>
      <c r="E96" s="815">
        <v>32.510654000000002</v>
      </c>
      <c r="F96" s="815">
        <v>30.122333999999999</v>
      </c>
      <c r="G96" s="815">
        <v>28.893148</v>
      </c>
      <c r="H96" s="815">
        <v>27.659189000000001</v>
      </c>
      <c r="I96" s="815">
        <v>26.532314</v>
      </c>
      <c r="J96" s="815">
        <v>27.228542000000001</v>
      </c>
      <c r="K96" s="815">
        <v>27.844920999999999</v>
      </c>
      <c r="L96" s="815">
        <v>28.691835000000001</v>
      </c>
      <c r="M96" s="815">
        <v>29.480526000000001</v>
      </c>
      <c r="N96" s="815">
        <v>30.336335999999999</v>
      </c>
      <c r="O96" s="815">
        <v>31.138449000000001</v>
      </c>
      <c r="P96" s="815">
        <v>32.100211999999999</v>
      </c>
      <c r="Q96" s="815">
        <v>32.878376000000003</v>
      </c>
      <c r="R96" s="815">
        <v>33.792220999999998</v>
      </c>
      <c r="S96" s="815">
        <v>34.671123999999999</v>
      </c>
      <c r="T96" s="815">
        <v>35.505093000000002</v>
      </c>
      <c r="U96" s="815">
        <v>36.380726000000003</v>
      </c>
      <c r="V96" s="815">
        <v>37.452629000000002</v>
      </c>
      <c r="W96" s="815">
        <v>38.299540999999998</v>
      </c>
      <c r="X96" s="815">
        <v>39.380600000000001</v>
      </c>
      <c r="Y96" s="815">
        <v>40.156269000000002</v>
      </c>
      <c r="Z96" s="815">
        <v>41.188437999999998</v>
      </c>
      <c r="AA96" s="815">
        <v>42.553871000000001</v>
      </c>
      <c r="AB96" s="815">
        <v>43.609371000000003</v>
      </c>
      <c r="AC96" s="815">
        <v>44.728596000000003</v>
      </c>
      <c r="AD96" s="815">
        <v>45.946964000000001</v>
      </c>
      <c r="AE96" s="815">
        <v>47.070819999999998</v>
      </c>
      <c r="AF96" s="814">
        <v>1.0446E-2</v>
      </c>
      <c r="AG96" s="802"/>
    </row>
    <row r="97" spans="1:33" ht="15" customHeight="1">
      <c r="A97" s="800" t="s">
        <v>4971</v>
      </c>
      <c r="B97" s="812" t="s">
        <v>4896</v>
      </c>
      <c r="C97" s="815">
        <v>13.34515</v>
      </c>
      <c r="D97" s="815">
        <v>8.8473620000000004</v>
      </c>
      <c r="E97" s="815">
        <v>10.847251</v>
      </c>
      <c r="F97" s="815">
        <v>11.701765</v>
      </c>
      <c r="G97" s="815">
        <v>13.668666</v>
      </c>
      <c r="H97" s="815">
        <v>15.834412</v>
      </c>
      <c r="I97" s="815">
        <v>18.055012000000001</v>
      </c>
      <c r="J97" s="815">
        <v>18.550280000000001</v>
      </c>
      <c r="K97" s="815">
        <v>19.090975</v>
      </c>
      <c r="L97" s="815">
        <v>19.679285</v>
      </c>
      <c r="M97" s="815">
        <v>20.283073000000002</v>
      </c>
      <c r="N97" s="815">
        <v>20.912044999999999</v>
      </c>
      <c r="O97" s="815">
        <v>21.573601</v>
      </c>
      <c r="P97" s="815">
        <v>22.25563</v>
      </c>
      <c r="Q97" s="815">
        <v>22.905643000000001</v>
      </c>
      <c r="R97" s="815">
        <v>23.566257</v>
      </c>
      <c r="S97" s="815">
        <v>24.262720000000002</v>
      </c>
      <c r="T97" s="815">
        <v>24.90963</v>
      </c>
      <c r="U97" s="815">
        <v>25.616434000000002</v>
      </c>
      <c r="V97" s="815">
        <v>26.404326999999999</v>
      </c>
      <c r="W97" s="815">
        <v>27.034216000000001</v>
      </c>
      <c r="X97" s="815">
        <v>27.773752000000002</v>
      </c>
      <c r="Y97" s="815">
        <v>28.398886000000001</v>
      </c>
      <c r="Z97" s="815">
        <v>29.163754000000001</v>
      </c>
      <c r="AA97" s="815">
        <v>30.157468999999999</v>
      </c>
      <c r="AB97" s="815">
        <v>30.882546999999999</v>
      </c>
      <c r="AC97" s="815">
        <v>31.831925999999999</v>
      </c>
      <c r="AD97" s="815">
        <v>32.756706000000001</v>
      </c>
      <c r="AE97" s="815">
        <v>33.688113999999999</v>
      </c>
      <c r="AF97" s="814">
        <v>3.3624000000000001E-2</v>
      </c>
      <c r="AG97" s="802"/>
    </row>
    <row r="98" spans="1:33" ht="15" customHeight="1">
      <c r="A98" s="800" t="s">
        <v>4972</v>
      </c>
      <c r="B98" s="812" t="s">
        <v>4904</v>
      </c>
      <c r="C98" s="815">
        <v>7.3309170000000003</v>
      </c>
      <c r="D98" s="815">
        <v>6.5292260000000004</v>
      </c>
      <c r="E98" s="815">
        <v>5.5049089999999996</v>
      </c>
      <c r="F98" s="815">
        <v>5.0050929999999996</v>
      </c>
      <c r="G98" s="815">
        <v>4.6300290000000004</v>
      </c>
      <c r="H98" s="815">
        <v>4.4582369999999996</v>
      </c>
      <c r="I98" s="815">
        <v>4.4578319999999998</v>
      </c>
      <c r="J98" s="815">
        <v>4.573442</v>
      </c>
      <c r="K98" s="815">
        <v>4.7465190000000002</v>
      </c>
      <c r="L98" s="815">
        <v>4.985881</v>
      </c>
      <c r="M98" s="815">
        <v>5.2409059999999998</v>
      </c>
      <c r="N98" s="815">
        <v>5.5704409999999998</v>
      </c>
      <c r="O98" s="815">
        <v>5.8719799999999998</v>
      </c>
      <c r="P98" s="815">
        <v>6.1609559999999997</v>
      </c>
      <c r="Q98" s="815">
        <v>6.3292349999999997</v>
      </c>
      <c r="R98" s="815">
        <v>6.5343970000000002</v>
      </c>
      <c r="S98" s="815">
        <v>6.859877</v>
      </c>
      <c r="T98" s="815">
        <v>6.928579</v>
      </c>
      <c r="U98" s="815">
        <v>7.2654500000000004</v>
      </c>
      <c r="V98" s="815">
        <v>7.5478690000000004</v>
      </c>
      <c r="W98" s="815">
        <v>7.7087849999999998</v>
      </c>
      <c r="X98" s="815">
        <v>7.8021539999999998</v>
      </c>
      <c r="Y98" s="815">
        <v>7.8996890000000004</v>
      </c>
      <c r="Z98" s="815">
        <v>8.0796670000000006</v>
      </c>
      <c r="AA98" s="815">
        <v>8.2079559999999994</v>
      </c>
      <c r="AB98" s="815">
        <v>8.3412450000000007</v>
      </c>
      <c r="AC98" s="815">
        <v>8.4794230000000006</v>
      </c>
      <c r="AD98" s="815">
        <v>8.6050090000000008</v>
      </c>
      <c r="AE98" s="815">
        <v>8.8054380000000005</v>
      </c>
      <c r="AF98" s="814">
        <v>6.5669999999999999E-3</v>
      </c>
      <c r="AG98" s="802"/>
    </row>
    <row r="99" spans="1:33" ht="15" customHeight="1">
      <c r="A99" s="800" t="s">
        <v>4973</v>
      </c>
      <c r="B99" s="812" t="s">
        <v>4906</v>
      </c>
      <c r="C99" s="815">
        <v>5.4304249999999996</v>
      </c>
      <c r="D99" s="815">
        <v>5.6718549999999999</v>
      </c>
      <c r="E99" s="815">
        <v>6.0581950000000004</v>
      </c>
      <c r="F99" s="815">
        <v>6.1873269999999998</v>
      </c>
      <c r="G99" s="815">
        <v>6.3529850000000003</v>
      </c>
      <c r="H99" s="815">
        <v>6.5475529999999997</v>
      </c>
      <c r="I99" s="815">
        <v>6.7355179999999999</v>
      </c>
      <c r="J99" s="815">
        <v>6.9377659999999999</v>
      </c>
      <c r="K99" s="815">
        <v>7.2191280000000004</v>
      </c>
      <c r="L99" s="815">
        <v>7.4615220000000004</v>
      </c>
      <c r="M99" s="815">
        <v>7.7608199999999998</v>
      </c>
      <c r="N99" s="815">
        <v>8.038456</v>
      </c>
      <c r="O99" s="815">
        <v>8.3211580000000005</v>
      </c>
      <c r="P99" s="815">
        <v>8.6185759999999991</v>
      </c>
      <c r="Q99" s="815">
        <v>8.9246759999999998</v>
      </c>
      <c r="R99" s="815">
        <v>9.2558539999999994</v>
      </c>
      <c r="S99" s="815">
        <v>9.5669219999999999</v>
      </c>
      <c r="T99" s="815">
        <v>9.8821329999999996</v>
      </c>
      <c r="U99" s="815">
        <v>10.210374</v>
      </c>
      <c r="V99" s="815">
        <v>10.516508999999999</v>
      </c>
      <c r="W99" s="815">
        <v>10.829219999999999</v>
      </c>
      <c r="X99" s="815">
        <v>11.157767</v>
      </c>
      <c r="Y99" s="815">
        <v>11.502295999999999</v>
      </c>
      <c r="Z99" s="815">
        <v>11.867922999999999</v>
      </c>
      <c r="AA99" s="815">
        <v>12.240033</v>
      </c>
      <c r="AB99" s="815">
        <v>12.622064999999999</v>
      </c>
      <c r="AC99" s="815">
        <v>13.021750000000001</v>
      </c>
      <c r="AD99" s="815">
        <v>13.425182</v>
      </c>
      <c r="AE99" s="815">
        <v>13.854766</v>
      </c>
      <c r="AF99" s="814">
        <v>3.4015999999999998E-2</v>
      </c>
      <c r="AG99" s="802"/>
    </row>
    <row r="100" spans="1:33" ht="15" customHeight="1">
      <c r="A100" s="800" t="s">
        <v>4974</v>
      </c>
      <c r="B100" s="812" t="s">
        <v>4908</v>
      </c>
      <c r="C100" s="815">
        <v>2.7995990000000002</v>
      </c>
      <c r="D100" s="815">
        <v>2.8529049999999998</v>
      </c>
      <c r="E100" s="815">
        <v>3.0040049999999998</v>
      </c>
      <c r="F100" s="815">
        <v>3.1377269999999999</v>
      </c>
      <c r="G100" s="815">
        <v>3.1961529999999998</v>
      </c>
      <c r="H100" s="815">
        <v>3.2463419999999998</v>
      </c>
      <c r="I100" s="815">
        <v>3.2951519999999999</v>
      </c>
      <c r="J100" s="815">
        <v>3.3557399999999999</v>
      </c>
      <c r="K100" s="815">
        <v>3.4231340000000001</v>
      </c>
      <c r="L100" s="815">
        <v>3.4954710000000002</v>
      </c>
      <c r="M100" s="815">
        <v>3.5673729999999999</v>
      </c>
      <c r="N100" s="815">
        <v>3.6512199999999999</v>
      </c>
      <c r="O100" s="815">
        <v>3.7400479999999998</v>
      </c>
      <c r="P100" s="815">
        <v>3.829993</v>
      </c>
      <c r="Q100" s="815">
        <v>3.9235730000000002</v>
      </c>
      <c r="R100" s="815">
        <v>4.0266419999999998</v>
      </c>
      <c r="S100" s="815">
        <v>4.1348919999999998</v>
      </c>
      <c r="T100" s="815">
        <v>4.2378229999999997</v>
      </c>
      <c r="U100" s="815">
        <v>4.336017</v>
      </c>
      <c r="V100" s="815">
        <v>4.4367539999999996</v>
      </c>
      <c r="W100" s="815">
        <v>4.536867</v>
      </c>
      <c r="X100" s="815">
        <v>4.6450690000000003</v>
      </c>
      <c r="Y100" s="815">
        <v>4.7515689999999999</v>
      </c>
      <c r="Z100" s="815">
        <v>4.8683480000000001</v>
      </c>
      <c r="AA100" s="815">
        <v>4.9891750000000004</v>
      </c>
      <c r="AB100" s="815">
        <v>5.1152439999999997</v>
      </c>
      <c r="AC100" s="815">
        <v>5.2472009999999996</v>
      </c>
      <c r="AD100" s="815">
        <v>5.3670499999999999</v>
      </c>
      <c r="AE100" s="815">
        <v>5.497344</v>
      </c>
      <c r="AF100" s="814">
        <v>2.4392E-2</v>
      </c>
      <c r="AG100" s="802"/>
    </row>
    <row r="101" spans="1:33" ht="12" customHeight="1">
      <c r="A101" s="800" t="s">
        <v>4975</v>
      </c>
      <c r="B101" s="812" t="s">
        <v>4910</v>
      </c>
      <c r="C101" s="815" t="s">
        <v>2805</v>
      </c>
      <c r="D101" s="815" t="s">
        <v>2805</v>
      </c>
      <c r="E101" s="815" t="s">
        <v>2805</v>
      </c>
      <c r="F101" s="815" t="s">
        <v>2805</v>
      </c>
      <c r="G101" s="815" t="s">
        <v>2805</v>
      </c>
      <c r="H101" s="815" t="s">
        <v>2805</v>
      </c>
      <c r="I101" s="815" t="s">
        <v>2805</v>
      </c>
      <c r="J101" s="815" t="s">
        <v>2805</v>
      </c>
      <c r="K101" s="815" t="s">
        <v>2805</v>
      </c>
      <c r="L101" s="815" t="s">
        <v>2805</v>
      </c>
      <c r="M101" s="815" t="s">
        <v>2805</v>
      </c>
      <c r="N101" s="815" t="s">
        <v>2805</v>
      </c>
      <c r="O101" s="815" t="s">
        <v>2805</v>
      </c>
      <c r="P101" s="815" t="s">
        <v>2805</v>
      </c>
      <c r="Q101" s="815" t="s">
        <v>2805</v>
      </c>
      <c r="R101" s="815" t="s">
        <v>2805</v>
      </c>
      <c r="S101" s="815" t="s">
        <v>2805</v>
      </c>
      <c r="T101" s="815" t="s">
        <v>2805</v>
      </c>
      <c r="U101" s="815" t="s">
        <v>2805</v>
      </c>
      <c r="V101" s="815" t="s">
        <v>2805</v>
      </c>
      <c r="W101" s="815" t="s">
        <v>2805</v>
      </c>
      <c r="X101" s="815" t="s">
        <v>2805</v>
      </c>
      <c r="Y101" s="815" t="s">
        <v>2805</v>
      </c>
      <c r="Z101" s="815" t="s">
        <v>2805</v>
      </c>
      <c r="AA101" s="815" t="s">
        <v>2805</v>
      </c>
      <c r="AB101" s="815" t="s">
        <v>2805</v>
      </c>
      <c r="AC101" s="815" t="s">
        <v>2805</v>
      </c>
      <c r="AD101" s="815" t="s">
        <v>2805</v>
      </c>
      <c r="AE101" s="815" t="s">
        <v>2805</v>
      </c>
      <c r="AF101" s="814" t="s">
        <v>2805</v>
      </c>
      <c r="AG101" s="802" t="s">
        <v>2805</v>
      </c>
    </row>
    <row r="102" spans="1:33" ht="12" customHeight="1">
      <c r="A102" s="800" t="s">
        <v>4976</v>
      </c>
      <c r="B102" s="812" t="s">
        <v>3186</v>
      </c>
      <c r="C102" s="815">
        <v>24.421028</v>
      </c>
      <c r="D102" s="815">
        <v>24.96011</v>
      </c>
      <c r="E102" s="815">
        <v>23.644715999999999</v>
      </c>
      <c r="F102" s="815">
        <v>22.842644</v>
      </c>
      <c r="G102" s="815">
        <v>22.436012000000002</v>
      </c>
      <c r="H102" s="815">
        <v>22.280173999999999</v>
      </c>
      <c r="I102" s="815">
        <v>22.339473999999999</v>
      </c>
      <c r="J102" s="815">
        <v>22.598642000000002</v>
      </c>
      <c r="K102" s="815">
        <v>23.043182000000002</v>
      </c>
      <c r="L102" s="815">
        <v>23.561640000000001</v>
      </c>
      <c r="M102" s="815">
        <v>24.117135999999999</v>
      </c>
      <c r="N102" s="815">
        <v>25.107063</v>
      </c>
      <c r="O102" s="815">
        <v>25.837824000000001</v>
      </c>
      <c r="P102" s="815">
        <v>26.373349999999999</v>
      </c>
      <c r="Q102" s="815">
        <v>27.152471999999999</v>
      </c>
      <c r="R102" s="815">
        <v>27.991188000000001</v>
      </c>
      <c r="S102" s="815">
        <v>28.998522000000001</v>
      </c>
      <c r="T102" s="815">
        <v>29.97673</v>
      </c>
      <c r="U102" s="815">
        <v>30.894469999999998</v>
      </c>
      <c r="V102" s="815">
        <v>31.797815</v>
      </c>
      <c r="W102" s="815">
        <v>32.53051</v>
      </c>
      <c r="X102" s="815">
        <v>33.213847999999999</v>
      </c>
      <c r="Y102" s="815">
        <v>33.968719</v>
      </c>
      <c r="Z102" s="815">
        <v>34.676791999999999</v>
      </c>
      <c r="AA102" s="815">
        <v>35.274234999999997</v>
      </c>
      <c r="AB102" s="815">
        <v>35.878371999999999</v>
      </c>
      <c r="AC102" s="815">
        <v>36.606673999999998</v>
      </c>
      <c r="AD102" s="815">
        <v>37.244061000000002</v>
      </c>
      <c r="AE102" s="815">
        <v>37.78595</v>
      </c>
      <c r="AF102" s="814">
        <v>1.5710999999999999E-2</v>
      </c>
      <c r="AG102" s="802"/>
    </row>
    <row r="103" spans="1:33" ht="15" customHeight="1">
      <c r="B103" s="802"/>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1:33" ht="15" customHeight="1">
      <c r="B104" s="802"/>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1:33" ht="15" customHeight="1">
      <c r="B105" s="808" t="s">
        <v>4912</v>
      </c>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1:33" ht="15" customHeight="1">
      <c r="A106" s="800" t="s">
        <v>4977</v>
      </c>
      <c r="B106" s="812" t="s">
        <v>4886</v>
      </c>
      <c r="C106" s="815">
        <v>25.673756000000001</v>
      </c>
      <c r="D106" s="815">
        <v>25.126116</v>
      </c>
      <c r="E106" s="815">
        <v>23.972083999999999</v>
      </c>
      <c r="F106" s="815">
        <v>22.688417000000001</v>
      </c>
      <c r="G106" s="815">
        <v>22.262647999999999</v>
      </c>
      <c r="H106" s="815">
        <v>22.246663999999999</v>
      </c>
      <c r="I106" s="815">
        <v>22.646167999999999</v>
      </c>
      <c r="J106" s="815">
        <v>23.273523000000001</v>
      </c>
      <c r="K106" s="815">
        <v>24.112515999999999</v>
      </c>
      <c r="L106" s="815">
        <v>25.077665</v>
      </c>
      <c r="M106" s="815">
        <v>26.182877000000001</v>
      </c>
      <c r="N106" s="815">
        <v>27.400317999999999</v>
      </c>
      <c r="O106" s="815">
        <v>28.550802000000001</v>
      </c>
      <c r="P106" s="815">
        <v>29.507380999999999</v>
      </c>
      <c r="Q106" s="815">
        <v>30.364902000000001</v>
      </c>
      <c r="R106" s="815">
        <v>31.264492000000001</v>
      </c>
      <c r="S106" s="815">
        <v>32.390388000000002</v>
      </c>
      <c r="T106" s="815">
        <v>33.095917</v>
      </c>
      <c r="U106" s="815">
        <v>34.222808999999998</v>
      </c>
      <c r="V106" s="815">
        <v>35.294552000000003</v>
      </c>
      <c r="W106" s="815">
        <v>36.218792000000001</v>
      </c>
      <c r="X106" s="815">
        <v>37.040210999999999</v>
      </c>
      <c r="Y106" s="815">
        <v>37.820537999999999</v>
      </c>
      <c r="Z106" s="815">
        <v>38.804226</v>
      </c>
      <c r="AA106" s="815">
        <v>40.154991000000003</v>
      </c>
      <c r="AB106" s="815">
        <v>41.167042000000002</v>
      </c>
      <c r="AC106" s="815">
        <v>42.302405999999998</v>
      </c>
      <c r="AD106" s="815">
        <v>43.297089</v>
      </c>
      <c r="AE106" s="815">
        <v>44.274585999999999</v>
      </c>
      <c r="AF106" s="814">
        <v>1.9653E-2</v>
      </c>
      <c r="AG106" s="802"/>
    </row>
    <row r="107" spans="1:33" ht="15" customHeight="1">
      <c r="A107" s="800" t="s">
        <v>4978</v>
      </c>
      <c r="B107" s="812" t="s">
        <v>4915</v>
      </c>
      <c r="C107" s="815">
        <v>38.155422000000002</v>
      </c>
      <c r="D107" s="815">
        <v>35.138969000000003</v>
      </c>
      <c r="E107" s="815">
        <v>34.57761</v>
      </c>
      <c r="F107" s="815">
        <v>32.976173000000003</v>
      </c>
      <c r="G107" s="815">
        <v>33.359932000000001</v>
      </c>
      <c r="H107" s="815">
        <v>33.896748000000002</v>
      </c>
      <c r="I107" s="815">
        <v>34.674334999999999</v>
      </c>
      <c r="J107" s="815">
        <v>35.525641999999998</v>
      </c>
      <c r="K107" s="815">
        <v>36.483246000000001</v>
      </c>
      <c r="L107" s="815">
        <v>37.289653999999999</v>
      </c>
      <c r="M107" s="815">
        <v>38.388846999999998</v>
      </c>
      <c r="N107" s="815">
        <v>39.432471999999997</v>
      </c>
      <c r="O107" s="815">
        <v>40.560032</v>
      </c>
      <c r="P107" s="815">
        <v>41.640037999999997</v>
      </c>
      <c r="Q107" s="815">
        <v>43.104500000000002</v>
      </c>
      <c r="R107" s="815">
        <v>44.169688999999998</v>
      </c>
      <c r="S107" s="815">
        <v>45.322249999999997</v>
      </c>
      <c r="T107" s="815">
        <v>46.550319999999999</v>
      </c>
      <c r="U107" s="815">
        <v>47.680573000000003</v>
      </c>
      <c r="V107" s="815">
        <v>48.776634000000001</v>
      </c>
      <c r="W107" s="815">
        <v>50.036262999999998</v>
      </c>
      <c r="X107" s="815">
        <v>50.996490000000001</v>
      </c>
      <c r="Y107" s="815">
        <v>52.537441000000001</v>
      </c>
      <c r="Z107" s="815">
        <v>53.805576000000002</v>
      </c>
      <c r="AA107" s="815">
        <v>56.541190999999998</v>
      </c>
      <c r="AB107" s="815">
        <v>57.901271999999999</v>
      </c>
      <c r="AC107" s="815">
        <v>59.805683000000002</v>
      </c>
      <c r="AD107" s="815">
        <v>61.428082000000003</v>
      </c>
      <c r="AE107" s="815">
        <v>63.500064999999999</v>
      </c>
      <c r="AF107" s="814">
        <v>1.8357999999999999E-2</v>
      </c>
      <c r="AG107" s="802"/>
    </row>
    <row r="108" spans="1:33" ht="15" customHeight="1">
      <c r="A108" s="800" t="s">
        <v>4979</v>
      </c>
      <c r="B108" s="812" t="s">
        <v>4917</v>
      </c>
      <c r="C108" s="815">
        <v>34.785815999999997</v>
      </c>
      <c r="D108" s="815">
        <v>31.761756999999999</v>
      </c>
      <c r="E108" s="815">
        <v>29.500557000000001</v>
      </c>
      <c r="F108" s="815">
        <v>28.136593000000001</v>
      </c>
      <c r="G108" s="815">
        <v>28.431668999999999</v>
      </c>
      <c r="H108" s="815">
        <v>28.872221</v>
      </c>
      <c r="I108" s="815">
        <v>29.510045999999999</v>
      </c>
      <c r="J108" s="815">
        <v>30.210253000000002</v>
      </c>
      <c r="K108" s="815">
        <v>30.992207000000001</v>
      </c>
      <c r="L108" s="815">
        <v>31.656433</v>
      </c>
      <c r="M108" s="815">
        <v>32.552943999999997</v>
      </c>
      <c r="N108" s="815">
        <v>33.405845999999997</v>
      </c>
      <c r="O108" s="815">
        <v>34.324748999999997</v>
      </c>
      <c r="P108" s="815">
        <v>35.207287000000001</v>
      </c>
      <c r="Q108" s="815">
        <v>36.408394000000001</v>
      </c>
      <c r="R108" s="815">
        <v>37.279471999999998</v>
      </c>
      <c r="S108" s="815">
        <v>38.222057</v>
      </c>
      <c r="T108" s="815">
        <v>39.234305999999997</v>
      </c>
      <c r="U108" s="815">
        <v>40.164845</v>
      </c>
      <c r="V108" s="815">
        <v>41.068604000000001</v>
      </c>
      <c r="W108" s="815">
        <v>42.107441000000001</v>
      </c>
      <c r="X108" s="815">
        <v>42.901671999999998</v>
      </c>
      <c r="Y108" s="815">
        <v>44.183495000000001</v>
      </c>
      <c r="Z108" s="815">
        <v>45.233184999999999</v>
      </c>
      <c r="AA108" s="815">
        <v>47.590758999999998</v>
      </c>
      <c r="AB108" s="815">
        <v>48.719776000000003</v>
      </c>
      <c r="AC108" s="815">
        <v>50.296646000000003</v>
      </c>
      <c r="AD108" s="815">
        <v>51.640278000000002</v>
      </c>
      <c r="AE108" s="815">
        <v>53.353146000000002</v>
      </c>
      <c r="AF108" s="814">
        <v>1.5393E-2</v>
      </c>
      <c r="AG108" s="802"/>
    </row>
    <row r="109" spans="1:33" ht="15" customHeight="1">
      <c r="A109" s="800" t="s">
        <v>4980</v>
      </c>
      <c r="B109" s="812" t="s">
        <v>4919</v>
      </c>
      <c r="C109" s="815">
        <v>26.739815</v>
      </c>
      <c r="D109" s="815">
        <v>23.500710999999999</v>
      </c>
      <c r="E109" s="815">
        <v>23.104317000000002</v>
      </c>
      <c r="F109" s="815">
        <v>21.990542999999999</v>
      </c>
      <c r="G109" s="815">
        <v>22.204429999999999</v>
      </c>
      <c r="H109" s="815">
        <v>22.419402999999999</v>
      </c>
      <c r="I109" s="815">
        <v>22.794266</v>
      </c>
      <c r="J109" s="815">
        <v>23.428768000000002</v>
      </c>
      <c r="K109" s="815">
        <v>23.978318999999999</v>
      </c>
      <c r="L109" s="815">
        <v>24.797031</v>
      </c>
      <c r="M109" s="815">
        <v>25.567731999999999</v>
      </c>
      <c r="N109" s="815">
        <v>26.286256999999999</v>
      </c>
      <c r="O109" s="815">
        <v>27.115189000000001</v>
      </c>
      <c r="P109" s="815">
        <v>27.960740999999999</v>
      </c>
      <c r="Q109" s="815">
        <v>28.743019</v>
      </c>
      <c r="R109" s="815">
        <v>29.563089000000002</v>
      </c>
      <c r="S109" s="815">
        <v>30.395921999999999</v>
      </c>
      <c r="T109" s="815">
        <v>31.20879</v>
      </c>
      <c r="U109" s="815">
        <v>32.088695999999999</v>
      </c>
      <c r="V109" s="815">
        <v>33.129855999999997</v>
      </c>
      <c r="W109" s="815">
        <v>33.955685000000003</v>
      </c>
      <c r="X109" s="815">
        <v>35.00074</v>
      </c>
      <c r="Y109" s="815">
        <v>35.742362999999997</v>
      </c>
      <c r="Z109" s="815">
        <v>36.840632999999997</v>
      </c>
      <c r="AA109" s="815">
        <v>38.270755999999999</v>
      </c>
      <c r="AB109" s="815">
        <v>39.262115000000001</v>
      </c>
      <c r="AC109" s="815">
        <v>40.314140000000002</v>
      </c>
      <c r="AD109" s="815">
        <v>41.469558999999997</v>
      </c>
      <c r="AE109" s="815">
        <v>42.525970000000001</v>
      </c>
      <c r="AF109" s="814">
        <v>1.6708000000000001E-2</v>
      </c>
      <c r="AG109" s="802"/>
    </row>
    <row r="110" spans="1:33" ht="15" customHeight="1">
      <c r="A110" s="800" t="s">
        <v>4981</v>
      </c>
      <c r="B110" s="812" t="s">
        <v>4921</v>
      </c>
      <c r="C110" s="815">
        <v>37.123702999999999</v>
      </c>
      <c r="D110" s="815">
        <v>34.215778</v>
      </c>
      <c r="E110" s="815">
        <v>33.250453999999998</v>
      </c>
      <c r="F110" s="815">
        <v>31.674195999999998</v>
      </c>
      <c r="G110" s="815">
        <v>31.318249000000002</v>
      </c>
      <c r="H110" s="815">
        <v>30.929749000000001</v>
      </c>
      <c r="I110" s="815">
        <v>30.700182000000002</v>
      </c>
      <c r="J110" s="815">
        <v>31.487065999999999</v>
      </c>
      <c r="K110" s="815">
        <v>32.220764000000003</v>
      </c>
      <c r="L110" s="815">
        <v>33.151676000000002</v>
      </c>
      <c r="M110" s="815">
        <v>34.071334999999998</v>
      </c>
      <c r="N110" s="815">
        <v>35.032707000000002</v>
      </c>
      <c r="O110" s="815">
        <v>35.935519999999997</v>
      </c>
      <c r="P110" s="815">
        <v>37.058163</v>
      </c>
      <c r="Q110" s="815">
        <v>37.920760999999999</v>
      </c>
      <c r="R110" s="815">
        <v>38.966869000000003</v>
      </c>
      <c r="S110" s="815">
        <v>39.976298999999997</v>
      </c>
      <c r="T110" s="815">
        <v>40.918312</v>
      </c>
      <c r="U110" s="815">
        <v>41.903869999999998</v>
      </c>
      <c r="V110" s="815">
        <v>43.109046999999997</v>
      </c>
      <c r="W110" s="815">
        <v>44.099266</v>
      </c>
      <c r="X110" s="815">
        <v>45.305222000000001</v>
      </c>
      <c r="Y110" s="815">
        <v>46.194873999999999</v>
      </c>
      <c r="Z110" s="815">
        <v>47.366039000000001</v>
      </c>
      <c r="AA110" s="815">
        <v>49.507373999999999</v>
      </c>
      <c r="AB110" s="815">
        <v>50.729691000000003</v>
      </c>
      <c r="AC110" s="815">
        <v>52.033237</v>
      </c>
      <c r="AD110" s="815">
        <v>53.401138000000003</v>
      </c>
      <c r="AE110" s="815">
        <v>54.706234000000002</v>
      </c>
      <c r="AF110" s="814">
        <v>1.3944E-2</v>
      </c>
      <c r="AG110" s="802"/>
    </row>
    <row r="111" spans="1:33" ht="15" customHeight="1">
      <c r="A111" s="800" t="s">
        <v>4982</v>
      </c>
      <c r="B111" s="812" t="s">
        <v>4896</v>
      </c>
      <c r="C111" s="815">
        <v>15.39181</v>
      </c>
      <c r="D111" s="815">
        <v>16.19483</v>
      </c>
      <c r="E111" s="815">
        <v>18.455704000000001</v>
      </c>
      <c r="F111" s="815">
        <v>17.885569</v>
      </c>
      <c r="G111" s="815">
        <v>18.287172000000002</v>
      </c>
      <c r="H111" s="815">
        <v>18.767561000000001</v>
      </c>
      <c r="I111" s="815">
        <v>19.210927999999999</v>
      </c>
      <c r="J111" s="815">
        <v>19.72588</v>
      </c>
      <c r="K111" s="815">
        <v>20.287731000000001</v>
      </c>
      <c r="L111" s="815">
        <v>20.848289000000001</v>
      </c>
      <c r="M111" s="815">
        <v>21.450903</v>
      </c>
      <c r="N111" s="815">
        <v>22.081071999999999</v>
      </c>
      <c r="O111" s="815">
        <v>22.733944000000001</v>
      </c>
      <c r="P111" s="815">
        <v>23.422851999999999</v>
      </c>
      <c r="Q111" s="815">
        <v>24.042952</v>
      </c>
      <c r="R111" s="815">
        <v>24.710025999999999</v>
      </c>
      <c r="S111" s="815">
        <v>25.400791000000002</v>
      </c>
      <c r="T111" s="815">
        <v>26.065795999999999</v>
      </c>
      <c r="U111" s="815">
        <v>26.746497999999999</v>
      </c>
      <c r="V111" s="815">
        <v>27.515944000000001</v>
      </c>
      <c r="W111" s="815">
        <v>28.178975999999999</v>
      </c>
      <c r="X111" s="815">
        <v>28.950792</v>
      </c>
      <c r="Y111" s="815">
        <v>29.614688999999998</v>
      </c>
      <c r="Z111" s="815">
        <v>30.381294</v>
      </c>
      <c r="AA111" s="815">
        <v>31.414185</v>
      </c>
      <c r="AB111" s="815">
        <v>32.154549000000003</v>
      </c>
      <c r="AC111" s="815">
        <v>33.114384000000001</v>
      </c>
      <c r="AD111" s="815">
        <v>34.071102000000003</v>
      </c>
      <c r="AE111" s="815">
        <v>35.065899000000002</v>
      </c>
      <c r="AF111" s="814">
        <v>2.9843999999999999E-2</v>
      </c>
      <c r="AG111" s="802"/>
    </row>
    <row r="112" spans="1:33" ht="15" customHeight="1">
      <c r="A112" s="800" t="s">
        <v>4983</v>
      </c>
      <c r="B112" s="812" t="s">
        <v>4924</v>
      </c>
      <c r="C112" s="822">
        <v>17.54928</v>
      </c>
      <c r="D112" s="822">
        <v>16.972200000000001</v>
      </c>
      <c r="E112" s="822">
        <v>15.881209999999999</v>
      </c>
      <c r="F112" s="822">
        <v>15.590877000000001</v>
      </c>
      <c r="G112" s="822">
        <v>15.150073000000001</v>
      </c>
      <c r="H112" s="822">
        <v>15.077931</v>
      </c>
      <c r="I112" s="822">
        <v>15.114409999999999</v>
      </c>
      <c r="J112" s="822">
        <v>15.289465999999999</v>
      </c>
      <c r="K112" s="822">
        <v>15.541657000000001</v>
      </c>
      <c r="L112" s="822">
        <v>15.883558000000001</v>
      </c>
      <c r="M112" s="822">
        <v>16.221067000000001</v>
      </c>
      <c r="N112" s="822">
        <v>16.659867999999999</v>
      </c>
      <c r="O112" s="822">
        <v>17.05481</v>
      </c>
      <c r="P112" s="822">
        <v>17.415800000000001</v>
      </c>
      <c r="Q112" s="822">
        <v>17.633558000000001</v>
      </c>
      <c r="R112" s="822">
        <v>17.873118999999999</v>
      </c>
      <c r="S112" s="822">
        <v>18.259066000000001</v>
      </c>
      <c r="T112" s="822">
        <v>18.358405999999999</v>
      </c>
      <c r="U112" s="822">
        <v>18.734629000000002</v>
      </c>
      <c r="V112" s="822">
        <v>19.061485000000001</v>
      </c>
      <c r="W112" s="822">
        <v>19.275113999999999</v>
      </c>
      <c r="X112" s="822">
        <v>19.433617000000002</v>
      </c>
      <c r="Y112" s="822">
        <v>19.591116</v>
      </c>
      <c r="Z112" s="822">
        <v>19.925363999999998</v>
      </c>
      <c r="AA112" s="822">
        <v>21.447821000000001</v>
      </c>
      <c r="AB112" s="822">
        <v>21.667884999999998</v>
      </c>
      <c r="AC112" s="822">
        <v>21.905306</v>
      </c>
      <c r="AD112" s="822">
        <v>22.201149000000001</v>
      </c>
      <c r="AE112" s="822">
        <v>22.578299999999999</v>
      </c>
      <c r="AF112" s="821">
        <v>9.0399999999999994E-3</v>
      </c>
      <c r="AG112" s="802"/>
    </row>
    <row r="113" spans="1:33" ht="15" customHeight="1">
      <c r="A113" s="800" t="s">
        <v>4984</v>
      </c>
      <c r="B113" s="812" t="s">
        <v>3186</v>
      </c>
      <c r="C113" s="815">
        <v>42.503979000000001</v>
      </c>
      <c r="D113" s="815">
        <v>45.833939000000001</v>
      </c>
      <c r="E113" s="815">
        <v>45.549683000000002</v>
      </c>
      <c r="F113" s="815">
        <v>43.892589999999998</v>
      </c>
      <c r="G113" s="815">
        <v>44.413597000000003</v>
      </c>
      <c r="H113" s="815">
        <v>45.294913999999999</v>
      </c>
      <c r="I113" s="815">
        <v>46.171925000000002</v>
      </c>
      <c r="J113" s="815">
        <v>47.164042999999999</v>
      </c>
      <c r="K113" s="815">
        <v>48.226849000000001</v>
      </c>
      <c r="L113" s="815">
        <v>49.574916999999999</v>
      </c>
      <c r="M113" s="815">
        <v>51.012875000000001</v>
      </c>
      <c r="N113" s="815">
        <v>52.739711999999997</v>
      </c>
      <c r="O113" s="815">
        <v>54.387337000000002</v>
      </c>
      <c r="P113" s="815">
        <v>55.935786999999998</v>
      </c>
      <c r="Q113" s="815">
        <v>57.241295000000001</v>
      </c>
      <c r="R113" s="815">
        <v>58.983448000000003</v>
      </c>
      <c r="S113" s="815">
        <v>60.685164999999998</v>
      </c>
      <c r="T113" s="815">
        <v>62.627850000000002</v>
      </c>
      <c r="U113" s="815">
        <v>64.344666000000004</v>
      </c>
      <c r="V113" s="815">
        <v>66.164664999999999</v>
      </c>
      <c r="W113" s="815">
        <v>67.661811999999998</v>
      </c>
      <c r="X113" s="815">
        <v>69.160797000000002</v>
      </c>
      <c r="Y113" s="815">
        <v>70.703117000000006</v>
      </c>
      <c r="Z113" s="815">
        <v>72.438582999999994</v>
      </c>
      <c r="AA113" s="815">
        <v>74.334739999999996</v>
      </c>
      <c r="AB113" s="815">
        <v>75.848502999999994</v>
      </c>
      <c r="AC113" s="815">
        <v>77.671402</v>
      </c>
      <c r="AD113" s="815">
        <v>78.670670000000001</v>
      </c>
      <c r="AE113" s="815">
        <v>79.870979000000005</v>
      </c>
      <c r="AF113" s="814">
        <v>2.2785E-2</v>
      </c>
      <c r="AG113" s="802"/>
    </row>
    <row r="114" spans="1:33" ht="15" customHeight="1">
      <c r="B114" s="802"/>
      <c r="C114" s="802"/>
      <c r="D114" s="802"/>
      <c r="E114" s="802"/>
      <c r="F114" s="802"/>
      <c r="G114" s="802"/>
      <c r="H114" s="802"/>
      <c r="I114" s="802"/>
      <c r="J114" s="802"/>
      <c r="K114" s="802"/>
      <c r="L114" s="802"/>
      <c r="M114" s="802"/>
      <c r="N114" s="802"/>
      <c r="O114" s="802"/>
      <c r="P114" s="802"/>
      <c r="Q114" s="802"/>
      <c r="R114" s="802"/>
      <c r="S114" s="802"/>
      <c r="T114" s="802"/>
      <c r="U114" s="802"/>
      <c r="V114" s="802"/>
      <c r="W114" s="802"/>
      <c r="X114" s="802"/>
      <c r="Y114" s="802"/>
      <c r="Z114" s="802"/>
      <c r="AA114" s="802"/>
      <c r="AB114" s="802"/>
      <c r="AC114" s="802"/>
      <c r="AD114" s="802"/>
      <c r="AE114" s="802"/>
      <c r="AF114" s="802"/>
      <c r="AG114" s="802"/>
    </row>
    <row r="115" spans="1:33" ht="15" customHeight="1">
      <c r="B115" s="808" t="s">
        <v>4926</v>
      </c>
      <c r="C115" s="802"/>
      <c r="D115" s="802"/>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2"/>
      <c r="AE115" s="802"/>
      <c r="AF115" s="802"/>
      <c r="AG115" s="802"/>
    </row>
    <row r="116" spans="1:33" ht="15" customHeight="1">
      <c r="A116" s="800" t="s">
        <v>4985</v>
      </c>
      <c r="B116" s="812" t="s">
        <v>4888</v>
      </c>
      <c r="C116" s="815">
        <v>35.259407000000003</v>
      </c>
      <c r="D116" s="815">
        <v>34.269008999999997</v>
      </c>
      <c r="E116" s="815">
        <v>32.765411</v>
      </c>
      <c r="F116" s="815">
        <v>30.383576999999999</v>
      </c>
      <c r="G116" s="815">
        <v>29.2376</v>
      </c>
      <c r="H116" s="815">
        <v>28.032406000000002</v>
      </c>
      <c r="I116" s="815">
        <v>26.865120000000001</v>
      </c>
      <c r="J116" s="815">
        <v>27.668533</v>
      </c>
      <c r="K116" s="815">
        <v>28.455449999999999</v>
      </c>
      <c r="L116" s="815">
        <v>29.090471000000001</v>
      </c>
      <c r="M116" s="815">
        <v>29.901721999999999</v>
      </c>
      <c r="N116" s="815">
        <v>30.598248999999999</v>
      </c>
      <c r="O116" s="815">
        <v>31.515294999999998</v>
      </c>
      <c r="P116" s="815">
        <v>32.383910999999998</v>
      </c>
      <c r="Q116" s="815">
        <v>33.228850999999999</v>
      </c>
      <c r="R116" s="815">
        <v>34.043925999999999</v>
      </c>
      <c r="S116" s="815">
        <v>34.855010999999998</v>
      </c>
      <c r="T116" s="815">
        <v>35.732315</v>
      </c>
      <c r="U116" s="815">
        <v>36.671261000000001</v>
      </c>
      <c r="V116" s="815">
        <v>37.740310999999998</v>
      </c>
      <c r="W116" s="815">
        <v>38.580008999999997</v>
      </c>
      <c r="X116" s="815">
        <v>39.647185999999998</v>
      </c>
      <c r="Y116" s="815">
        <v>40.466434</v>
      </c>
      <c r="Z116" s="815">
        <v>41.605182999999997</v>
      </c>
      <c r="AA116" s="815">
        <v>43.006217999999997</v>
      </c>
      <c r="AB116" s="815">
        <v>44.095973999999998</v>
      </c>
      <c r="AC116" s="815">
        <v>45.241764000000003</v>
      </c>
      <c r="AD116" s="815">
        <v>46.551720000000003</v>
      </c>
      <c r="AE116" s="815">
        <v>47.688811999999999</v>
      </c>
      <c r="AF116" s="814">
        <v>1.0843E-2</v>
      </c>
      <c r="AG116" s="802"/>
    </row>
    <row r="117" spans="1:33" ht="15" customHeight="1">
      <c r="A117" s="800" t="s">
        <v>4986</v>
      </c>
      <c r="B117" s="812" t="s">
        <v>4896</v>
      </c>
      <c r="C117" s="815">
        <v>21.746656000000002</v>
      </c>
      <c r="D117" s="815">
        <v>19.351803</v>
      </c>
      <c r="E117" s="815">
        <v>19.668565999999998</v>
      </c>
      <c r="F117" s="815">
        <v>18.99427</v>
      </c>
      <c r="G117" s="815">
        <v>19.36524</v>
      </c>
      <c r="H117" s="815">
        <v>19.845839999999999</v>
      </c>
      <c r="I117" s="815">
        <v>20.268340999999999</v>
      </c>
      <c r="J117" s="815">
        <v>20.782347000000001</v>
      </c>
      <c r="K117" s="815">
        <v>21.344961000000001</v>
      </c>
      <c r="L117" s="815">
        <v>21.885960000000001</v>
      </c>
      <c r="M117" s="815">
        <v>22.496748</v>
      </c>
      <c r="N117" s="815">
        <v>23.127866999999998</v>
      </c>
      <c r="O117" s="815">
        <v>23.776751999999998</v>
      </c>
      <c r="P117" s="815">
        <v>24.495305999999999</v>
      </c>
      <c r="Q117" s="815">
        <v>25.132807</v>
      </c>
      <c r="R117" s="815">
        <v>25.783670000000001</v>
      </c>
      <c r="S117" s="815">
        <v>26.457172</v>
      </c>
      <c r="T117" s="815">
        <v>27.123766</v>
      </c>
      <c r="U117" s="815">
        <v>27.747868</v>
      </c>
      <c r="V117" s="815">
        <v>28.331589000000001</v>
      </c>
      <c r="W117" s="815">
        <v>28.805592000000001</v>
      </c>
      <c r="X117" s="815">
        <v>29.273562999999999</v>
      </c>
      <c r="Y117" s="815">
        <v>29.630768</v>
      </c>
      <c r="Z117" s="815">
        <v>29.952159999999999</v>
      </c>
      <c r="AA117" s="815">
        <v>31.041374000000001</v>
      </c>
      <c r="AB117" s="815">
        <v>31.827347</v>
      </c>
      <c r="AC117" s="815">
        <v>32.782425000000003</v>
      </c>
      <c r="AD117" s="815">
        <v>33.747967000000003</v>
      </c>
      <c r="AE117" s="815">
        <v>34.688557000000003</v>
      </c>
      <c r="AF117" s="814">
        <v>1.6816999999999999E-2</v>
      </c>
      <c r="AG117" s="802"/>
    </row>
    <row r="118" spans="1:33" ht="15" customHeight="1">
      <c r="A118" s="800" t="s">
        <v>4987</v>
      </c>
      <c r="B118" s="812" t="s">
        <v>4890</v>
      </c>
      <c r="C118" s="815">
        <v>7.0200610000000001</v>
      </c>
      <c r="D118" s="815">
        <v>5.8542480000000001</v>
      </c>
      <c r="E118" s="815">
        <v>4.7817379999999998</v>
      </c>
      <c r="F118" s="815">
        <v>4.2155240000000003</v>
      </c>
      <c r="G118" s="815">
        <v>3.7681770000000001</v>
      </c>
      <c r="H118" s="815">
        <v>3.5095610000000002</v>
      </c>
      <c r="I118" s="815">
        <v>3.4479899999999999</v>
      </c>
      <c r="J118" s="815">
        <v>3.5179290000000001</v>
      </c>
      <c r="K118" s="815">
        <v>3.6412629999999999</v>
      </c>
      <c r="L118" s="815">
        <v>3.8133270000000001</v>
      </c>
      <c r="M118" s="815">
        <v>4.0035619999999996</v>
      </c>
      <c r="N118" s="815">
        <v>4.2668499999999998</v>
      </c>
      <c r="O118" s="815">
        <v>4.5145970000000002</v>
      </c>
      <c r="P118" s="815">
        <v>4.7836530000000002</v>
      </c>
      <c r="Q118" s="815">
        <v>4.9428960000000002</v>
      </c>
      <c r="R118" s="815">
        <v>5.120965</v>
      </c>
      <c r="S118" s="815">
        <v>5.4377269999999998</v>
      </c>
      <c r="T118" s="815">
        <v>5.5140459999999996</v>
      </c>
      <c r="U118" s="815">
        <v>5.8494599999999997</v>
      </c>
      <c r="V118" s="815">
        <v>6.0950660000000001</v>
      </c>
      <c r="W118" s="815">
        <v>6.2025119999999996</v>
      </c>
      <c r="X118" s="815">
        <v>6.2608189999999997</v>
      </c>
      <c r="Y118" s="815">
        <v>6.2909519999999999</v>
      </c>
      <c r="Z118" s="815">
        <v>6.4234739999999997</v>
      </c>
      <c r="AA118" s="815">
        <v>6.5334880000000002</v>
      </c>
      <c r="AB118" s="815">
        <v>6.6310859999999998</v>
      </c>
      <c r="AC118" s="815">
        <v>6.7598010000000004</v>
      </c>
      <c r="AD118" s="815">
        <v>6.8192959999999996</v>
      </c>
      <c r="AE118" s="815">
        <v>6.9804029999999999</v>
      </c>
      <c r="AF118" s="814">
        <v>-2.02E-4</v>
      </c>
      <c r="AG118" s="802"/>
    </row>
    <row r="119" spans="1:33" ht="15" customHeight="1">
      <c r="A119" s="800" t="s">
        <v>4988</v>
      </c>
      <c r="B119" s="812" t="s">
        <v>4931</v>
      </c>
      <c r="C119" s="815">
        <v>2.1347619999999998</v>
      </c>
      <c r="D119" s="815">
        <v>2.1421649999999999</v>
      </c>
      <c r="E119" s="815">
        <v>2.1909679999999998</v>
      </c>
      <c r="F119" s="815">
        <v>2.220377</v>
      </c>
      <c r="G119" s="815">
        <v>2.2354729999999998</v>
      </c>
      <c r="H119" s="815">
        <v>2.2616329999999998</v>
      </c>
      <c r="I119" s="815">
        <v>2.282006</v>
      </c>
      <c r="J119" s="815">
        <v>2.3184779999999998</v>
      </c>
      <c r="K119" s="815">
        <v>2.3718789999999998</v>
      </c>
      <c r="L119" s="815">
        <v>2.4175779999999998</v>
      </c>
      <c r="M119" s="815">
        <v>2.4353539999999998</v>
      </c>
      <c r="N119" s="815">
        <v>2.4780790000000001</v>
      </c>
      <c r="O119" s="815">
        <v>2.535536</v>
      </c>
      <c r="P119" s="815">
        <v>2.5856400000000002</v>
      </c>
      <c r="Q119" s="815">
        <v>2.6363819999999998</v>
      </c>
      <c r="R119" s="815">
        <v>2.692221</v>
      </c>
      <c r="S119" s="815">
        <v>2.7887789999999999</v>
      </c>
      <c r="T119" s="815">
        <v>2.8435320000000002</v>
      </c>
      <c r="U119" s="815">
        <v>2.9101349999999999</v>
      </c>
      <c r="V119" s="815">
        <v>2.9732970000000001</v>
      </c>
      <c r="W119" s="815">
        <v>3.0377619999999999</v>
      </c>
      <c r="X119" s="815">
        <v>3.1067650000000002</v>
      </c>
      <c r="Y119" s="815">
        <v>3.169794</v>
      </c>
      <c r="Z119" s="815">
        <v>3.2368239999999999</v>
      </c>
      <c r="AA119" s="815">
        <v>3.3144369999999999</v>
      </c>
      <c r="AB119" s="815">
        <v>3.3840140000000001</v>
      </c>
      <c r="AC119" s="815">
        <v>3.4493469999999999</v>
      </c>
      <c r="AD119" s="815">
        <v>3.5386649999999999</v>
      </c>
      <c r="AE119" s="815">
        <v>3.618458</v>
      </c>
      <c r="AF119" s="814">
        <v>1.9025E-2</v>
      </c>
      <c r="AG119" s="802"/>
    </row>
    <row r="120" spans="1:33" ht="15" customHeight="1">
      <c r="A120" s="800" t="s">
        <v>4989</v>
      </c>
      <c r="B120" s="812" t="s">
        <v>4933</v>
      </c>
      <c r="C120" s="815">
        <v>0.71087199999999995</v>
      </c>
      <c r="D120" s="815">
        <v>0.74018399999999995</v>
      </c>
      <c r="E120" s="815">
        <v>0.758185</v>
      </c>
      <c r="F120" s="815">
        <v>0.77460499999999999</v>
      </c>
      <c r="G120" s="815">
        <v>0.79104099999999999</v>
      </c>
      <c r="H120" s="815">
        <v>0.80805899999999997</v>
      </c>
      <c r="I120" s="815">
        <v>0.82544499999999998</v>
      </c>
      <c r="J120" s="815">
        <v>0.84346299999999996</v>
      </c>
      <c r="K120" s="815">
        <v>0.86221599999999998</v>
      </c>
      <c r="L120" s="815">
        <v>0.88185400000000003</v>
      </c>
      <c r="M120" s="815">
        <v>0.90198900000000004</v>
      </c>
      <c r="N120" s="815">
        <v>0.92327000000000004</v>
      </c>
      <c r="O120" s="815">
        <v>0.94529300000000005</v>
      </c>
      <c r="P120" s="815">
        <v>0.96734500000000001</v>
      </c>
      <c r="Q120" s="815">
        <v>0.98952499999999999</v>
      </c>
      <c r="R120" s="815">
        <v>1.011585</v>
      </c>
      <c r="S120" s="815">
        <v>1.0338620000000001</v>
      </c>
      <c r="T120" s="815">
        <v>1.0564610000000001</v>
      </c>
      <c r="U120" s="815">
        <v>1.0799270000000001</v>
      </c>
      <c r="V120" s="815">
        <v>1.1040449999999999</v>
      </c>
      <c r="W120" s="815">
        <v>1.128868</v>
      </c>
      <c r="X120" s="815">
        <v>1.154644</v>
      </c>
      <c r="Y120" s="815">
        <v>1.181187</v>
      </c>
      <c r="Z120" s="815">
        <v>1.2086060000000001</v>
      </c>
      <c r="AA120" s="815">
        <v>1.237012</v>
      </c>
      <c r="AB120" s="815">
        <v>1.266273</v>
      </c>
      <c r="AC120" s="815">
        <v>1.2965150000000001</v>
      </c>
      <c r="AD120" s="815">
        <v>1.3275189999999999</v>
      </c>
      <c r="AE120" s="815">
        <v>1.3594269999999999</v>
      </c>
      <c r="AF120" s="814">
        <v>2.3425000000000001E-2</v>
      </c>
      <c r="AG120" s="802"/>
    </row>
    <row r="121" spans="1:33" ht="15" customHeight="1">
      <c r="B121" s="802"/>
      <c r="C121" s="802"/>
      <c r="D121" s="802"/>
      <c r="E121" s="802"/>
      <c r="F121" s="802"/>
      <c r="G121" s="802"/>
      <c r="H121" s="802"/>
      <c r="I121" s="802"/>
      <c r="J121" s="802"/>
      <c r="K121" s="802"/>
      <c r="L121" s="802"/>
      <c r="M121" s="802"/>
      <c r="N121" s="802"/>
      <c r="O121" s="802"/>
      <c r="P121" s="802"/>
      <c r="Q121" s="802"/>
      <c r="R121" s="802"/>
      <c r="S121" s="802"/>
      <c r="T121" s="802"/>
      <c r="U121" s="802"/>
      <c r="V121" s="802"/>
      <c r="W121" s="802"/>
      <c r="X121" s="802"/>
      <c r="Y121" s="802"/>
      <c r="Z121" s="802"/>
      <c r="AA121" s="802"/>
      <c r="AB121" s="802"/>
      <c r="AC121" s="802"/>
      <c r="AD121" s="802"/>
      <c r="AE121" s="802"/>
      <c r="AF121" s="802"/>
      <c r="AG121" s="802"/>
    </row>
    <row r="122" spans="1:33" ht="15" customHeight="1">
      <c r="B122" s="808" t="s">
        <v>4934</v>
      </c>
      <c r="C122" s="802"/>
      <c r="D122" s="802"/>
      <c r="E122" s="802"/>
      <c r="F122" s="802"/>
      <c r="G122" s="802"/>
      <c r="H122" s="802"/>
      <c r="I122" s="802"/>
      <c r="J122" s="802"/>
      <c r="K122" s="802"/>
      <c r="L122" s="802"/>
      <c r="M122" s="802"/>
      <c r="N122" s="802"/>
      <c r="O122" s="802"/>
      <c r="P122" s="802"/>
      <c r="Q122" s="802"/>
      <c r="R122" s="802"/>
      <c r="S122" s="802"/>
      <c r="T122" s="802"/>
      <c r="U122" s="802"/>
      <c r="V122" s="802"/>
      <c r="W122" s="802"/>
      <c r="X122" s="802"/>
      <c r="Y122" s="802"/>
      <c r="Z122" s="802"/>
      <c r="AA122" s="802"/>
      <c r="AB122" s="802"/>
      <c r="AC122" s="802"/>
      <c r="AD122" s="802"/>
      <c r="AE122" s="802"/>
      <c r="AF122" s="802"/>
      <c r="AG122" s="802"/>
    </row>
    <row r="123" spans="1:33" ht="15" customHeight="1">
      <c r="A123" s="800" t="s">
        <v>4990</v>
      </c>
      <c r="B123" s="812" t="s">
        <v>4886</v>
      </c>
      <c r="C123" s="815">
        <v>28.079664000000001</v>
      </c>
      <c r="D123" s="815">
        <v>30.056221000000001</v>
      </c>
      <c r="E123" s="815">
        <v>29.418596000000001</v>
      </c>
      <c r="F123" s="815">
        <v>28.373532999999998</v>
      </c>
      <c r="G123" s="815">
        <v>27.742795999999998</v>
      </c>
      <c r="H123" s="815">
        <v>27.466362</v>
      </c>
      <c r="I123" s="815">
        <v>27.648658999999999</v>
      </c>
      <c r="J123" s="815">
        <v>28.156300000000002</v>
      </c>
      <c r="K123" s="815">
        <v>28.981328999999999</v>
      </c>
      <c r="L123" s="815">
        <v>30.035112000000002</v>
      </c>
      <c r="M123" s="815">
        <v>31.296999</v>
      </c>
      <c r="N123" s="815">
        <v>32.759708000000003</v>
      </c>
      <c r="O123" s="815">
        <v>34.221867000000003</v>
      </c>
      <c r="P123" s="815">
        <v>35.508521999999999</v>
      </c>
      <c r="Q123" s="815">
        <v>36.666687000000003</v>
      </c>
      <c r="R123" s="815">
        <v>37.818995999999999</v>
      </c>
      <c r="S123" s="815">
        <v>39.184173999999999</v>
      </c>
      <c r="T123" s="815">
        <v>40.173107000000002</v>
      </c>
      <c r="U123" s="815">
        <v>41.518802999999998</v>
      </c>
      <c r="V123" s="815">
        <v>42.860793999999999</v>
      </c>
      <c r="W123" s="815">
        <v>44.066581999999997</v>
      </c>
      <c r="X123" s="815">
        <v>45.145119000000001</v>
      </c>
      <c r="Y123" s="815">
        <v>46.141899000000002</v>
      </c>
      <c r="Z123" s="815">
        <v>47.304070000000003</v>
      </c>
      <c r="AA123" s="815">
        <v>48.694881000000002</v>
      </c>
      <c r="AB123" s="815">
        <v>49.889682999999998</v>
      </c>
      <c r="AC123" s="815">
        <v>51.224235999999998</v>
      </c>
      <c r="AD123" s="815">
        <v>52.443908999999998</v>
      </c>
      <c r="AE123" s="815">
        <v>53.623322000000002</v>
      </c>
      <c r="AF123" s="814">
        <v>2.3373999999999999E-2</v>
      </c>
      <c r="AG123" s="802"/>
    </row>
    <row r="124" spans="1:33" ht="15" customHeight="1">
      <c r="A124" s="800" t="s">
        <v>4991</v>
      </c>
      <c r="B124" s="812" t="s">
        <v>4915</v>
      </c>
      <c r="C124" s="815">
        <v>38.155422000000002</v>
      </c>
      <c r="D124" s="815">
        <v>35.138969000000003</v>
      </c>
      <c r="E124" s="815">
        <v>34.57761</v>
      </c>
      <c r="F124" s="815">
        <v>32.976173000000003</v>
      </c>
      <c r="G124" s="815">
        <v>33.359932000000001</v>
      </c>
      <c r="H124" s="815">
        <v>33.896748000000002</v>
      </c>
      <c r="I124" s="815">
        <v>34.674334999999999</v>
      </c>
      <c r="J124" s="815">
        <v>35.525641999999998</v>
      </c>
      <c r="K124" s="815">
        <v>36.483246000000001</v>
      </c>
      <c r="L124" s="815">
        <v>37.289653999999999</v>
      </c>
      <c r="M124" s="815">
        <v>38.388846999999998</v>
      </c>
      <c r="N124" s="815">
        <v>39.432471999999997</v>
      </c>
      <c r="O124" s="815">
        <v>40.560032</v>
      </c>
      <c r="P124" s="815">
        <v>41.640037999999997</v>
      </c>
      <c r="Q124" s="815">
        <v>43.104500000000002</v>
      </c>
      <c r="R124" s="815">
        <v>44.169688999999998</v>
      </c>
      <c r="S124" s="815">
        <v>45.322249999999997</v>
      </c>
      <c r="T124" s="815">
        <v>46.550319999999999</v>
      </c>
      <c r="U124" s="815">
        <v>47.680573000000003</v>
      </c>
      <c r="V124" s="815">
        <v>48.776634000000001</v>
      </c>
      <c r="W124" s="815">
        <v>50.036262999999998</v>
      </c>
      <c r="X124" s="815">
        <v>50.996490000000001</v>
      </c>
      <c r="Y124" s="815">
        <v>52.537441000000001</v>
      </c>
      <c r="Z124" s="815">
        <v>53.805576000000002</v>
      </c>
      <c r="AA124" s="815">
        <v>56.541190999999998</v>
      </c>
      <c r="AB124" s="815">
        <v>57.901271999999999</v>
      </c>
      <c r="AC124" s="815">
        <v>59.805683000000002</v>
      </c>
      <c r="AD124" s="815">
        <v>61.428082000000003</v>
      </c>
      <c r="AE124" s="815">
        <v>63.500064999999999</v>
      </c>
      <c r="AF124" s="814">
        <v>1.8357999999999999E-2</v>
      </c>
      <c r="AG124" s="802"/>
    </row>
    <row r="125" spans="1:33" ht="15" customHeight="1">
      <c r="A125" s="800" t="s">
        <v>4992</v>
      </c>
      <c r="B125" s="812" t="s">
        <v>4917</v>
      </c>
      <c r="C125" s="815">
        <v>34.782677</v>
      </c>
      <c r="D125" s="815">
        <v>31.711493999999998</v>
      </c>
      <c r="E125" s="815">
        <v>29.502012000000001</v>
      </c>
      <c r="F125" s="815">
        <v>28.163221</v>
      </c>
      <c r="G125" s="815">
        <v>28.465707999999999</v>
      </c>
      <c r="H125" s="815">
        <v>28.902305999999999</v>
      </c>
      <c r="I125" s="815">
        <v>29.530080999999999</v>
      </c>
      <c r="J125" s="815">
        <v>30.23189</v>
      </c>
      <c r="K125" s="815">
        <v>31.015502999999999</v>
      </c>
      <c r="L125" s="815">
        <v>31.681816000000001</v>
      </c>
      <c r="M125" s="815">
        <v>32.580115999999997</v>
      </c>
      <c r="N125" s="815">
        <v>33.435040000000001</v>
      </c>
      <c r="O125" s="815">
        <v>34.355724000000002</v>
      </c>
      <c r="P125" s="815">
        <v>35.240276000000001</v>
      </c>
      <c r="Q125" s="815">
        <v>36.442248999999997</v>
      </c>
      <c r="R125" s="815">
        <v>37.315567000000001</v>
      </c>
      <c r="S125" s="815">
        <v>38.260136000000003</v>
      </c>
      <c r="T125" s="815">
        <v>39.273986999999998</v>
      </c>
      <c r="U125" s="815">
        <v>40.206584999999997</v>
      </c>
      <c r="V125" s="815">
        <v>41.112651999999997</v>
      </c>
      <c r="W125" s="815">
        <v>42.153542000000002</v>
      </c>
      <c r="X125" s="815">
        <v>42.950268000000001</v>
      </c>
      <c r="Y125" s="815">
        <v>44.234070000000003</v>
      </c>
      <c r="Z125" s="815">
        <v>45.286670999999998</v>
      </c>
      <c r="AA125" s="815">
        <v>47.653725000000001</v>
      </c>
      <c r="AB125" s="815">
        <v>48.785259000000003</v>
      </c>
      <c r="AC125" s="815">
        <v>50.363937</v>
      </c>
      <c r="AD125" s="815">
        <v>51.710098000000002</v>
      </c>
      <c r="AE125" s="815">
        <v>53.424919000000003</v>
      </c>
      <c r="AF125" s="814">
        <v>1.5445E-2</v>
      </c>
      <c r="AG125" s="802"/>
    </row>
    <row r="126" spans="1:33" ht="15" customHeight="1">
      <c r="A126" s="800" t="s">
        <v>4993</v>
      </c>
      <c r="B126" s="812" t="s">
        <v>4919</v>
      </c>
      <c r="C126" s="815">
        <v>26.739815</v>
      </c>
      <c r="D126" s="815">
        <v>23.500710999999999</v>
      </c>
      <c r="E126" s="815">
        <v>23.104317000000002</v>
      </c>
      <c r="F126" s="815">
        <v>21.990542999999999</v>
      </c>
      <c r="G126" s="815">
        <v>22.204429999999999</v>
      </c>
      <c r="H126" s="815">
        <v>22.419402999999999</v>
      </c>
      <c r="I126" s="815">
        <v>22.794266</v>
      </c>
      <c r="J126" s="815">
        <v>23.428768000000002</v>
      </c>
      <c r="K126" s="815">
        <v>23.978318999999999</v>
      </c>
      <c r="L126" s="815">
        <v>24.797031</v>
      </c>
      <c r="M126" s="815">
        <v>25.567731999999999</v>
      </c>
      <c r="N126" s="815">
        <v>26.286256999999999</v>
      </c>
      <c r="O126" s="815">
        <v>27.115189000000001</v>
      </c>
      <c r="P126" s="815">
        <v>27.960740999999999</v>
      </c>
      <c r="Q126" s="815">
        <v>28.743019</v>
      </c>
      <c r="R126" s="815">
        <v>29.563089000000002</v>
      </c>
      <c r="S126" s="815">
        <v>30.395921999999999</v>
      </c>
      <c r="T126" s="815">
        <v>31.20879</v>
      </c>
      <c r="U126" s="815">
        <v>32.088695999999999</v>
      </c>
      <c r="V126" s="815">
        <v>33.129855999999997</v>
      </c>
      <c r="W126" s="815">
        <v>33.955685000000003</v>
      </c>
      <c r="X126" s="815">
        <v>35.00074</v>
      </c>
      <c r="Y126" s="815">
        <v>35.742362999999997</v>
      </c>
      <c r="Z126" s="815">
        <v>36.840632999999997</v>
      </c>
      <c r="AA126" s="815">
        <v>38.270755999999999</v>
      </c>
      <c r="AB126" s="815">
        <v>39.262115000000001</v>
      </c>
      <c r="AC126" s="815">
        <v>40.314140000000002</v>
      </c>
      <c r="AD126" s="815">
        <v>41.469558999999997</v>
      </c>
      <c r="AE126" s="815">
        <v>42.525970000000001</v>
      </c>
      <c r="AF126" s="814">
        <v>1.6708000000000001E-2</v>
      </c>
      <c r="AG126" s="802"/>
    </row>
    <row r="127" spans="1:33" ht="15" customHeight="1">
      <c r="A127" s="800" t="s">
        <v>4994</v>
      </c>
      <c r="B127" s="812" t="s">
        <v>4888</v>
      </c>
      <c r="C127" s="815">
        <v>36.677619999999997</v>
      </c>
      <c r="D127" s="815">
        <v>34.205086000000001</v>
      </c>
      <c r="E127" s="815">
        <v>33.140658999999999</v>
      </c>
      <c r="F127" s="815">
        <v>31.445800999999999</v>
      </c>
      <c r="G127" s="815">
        <v>30.953658999999998</v>
      </c>
      <c r="H127" s="815">
        <v>30.446245000000001</v>
      </c>
      <c r="I127" s="815">
        <v>30.083829999999999</v>
      </c>
      <c r="J127" s="815">
        <v>30.859518000000001</v>
      </c>
      <c r="K127" s="815">
        <v>31.560939999999999</v>
      </c>
      <c r="L127" s="815">
        <v>32.489924999999999</v>
      </c>
      <c r="M127" s="815">
        <v>33.369906999999998</v>
      </c>
      <c r="N127" s="815">
        <v>34.325623</v>
      </c>
      <c r="O127" s="815">
        <v>35.208218000000002</v>
      </c>
      <c r="P127" s="815">
        <v>36.286403999999997</v>
      </c>
      <c r="Q127" s="815">
        <v>37.138584000000002</v>
      </c>
      <c r="R127" s="815">
        <v>38.151809999999998</v>
      </c>
      <c r="S127" s="815">
        <v>39.125652000000002</v>
      </c>
      <c r="T127" s="815">
        <v>40.051437</v>
      </c>
      <c r="U127" s="815">
        <v>41.020229</v>
      </c>
      <c r="V127" s="815">
        <v>42.187263000000002</v>
      </c>
      <c r="W127" s="815">
        <v>43.132537999999997</v>
      </c>
      <c r="X127" s="815">
        <v>44.316020999999999</v>
      </c>
      <c r="Y127" s="815">
        <v>45.196086999999999</v>
      </c>
      <c r="Z127" s="815">
        <v>46.347355</v>
      </c>
      <c r="AA127" s="815">
        <v>48.293548999999999</v>
      </c>
      <c r="AB127" s="815">
        <v>49.484454999999997</v>
      </c>
      <c r="AC127" s="815">
        <v>50.733288000000002</v>
      </c>
      <c r="AD127" s="815">
        <v>52.083705999999999</v>
      </c>
      <c r="AE127" s="815">
        <v>53.346035000000001</v>
      </c>
      <c r="AF127" s="814">
        <v>1.3469999999999999E-2</v>
      </c>
      <c r="AG127" s="802"/>
    </row>
    <row r="128" spans="1:33" ht="15" customHeight="1">
      <c r="A128" s="800" t="s">
        <v>4995</v>
      </c>
      <c r="B128" s="812" t="s">
        <v>4896</v>
      </c>
      <c r="C128" s="815">
        <v>15.551993</v>
      </c>
      <c r="D128" s="815">
        <v>15.627425000000001</v>
      </c>
      <c r="E128" s="815">
        <v>17.954018000000001</v>
      </c>
      <c r="F128" s="815">
        <v>17.538163999999998</v>
      </c>
      <c r="G128" s="815">
        <v>18.058340000000001</v>
      </c>
      <c r="H128" s="815">
        <v>18.654598</v>
      </c>
      <c r="I128" s="815">
        <v>19.205083999999999</v>
      </c>
      <c r="J128" s="815">
        <v>19.719563000000001</v>
      </c>
      <c r="K128" s="815">
        <v>20.280097999999999</v>
      </c>
      <c r="L128" s="815">
        <v>20.840857</v>
      </c>
      <c r="M128" s="815">
        <v>21.443093999999999</v>
      </c>
      <c r="N128" s="815">
        <v>22.071553999999999</v>
      </c>
      <c r="O128" s="815">
        <v>22.722760999999998</v>
      </c>
      <c r="P128" s="815">
        <v>23.410677</v>
      </c>
      <c r="Q128" s="815">
        <v>24.030815</v>
      </c>
      <c r="R128" s="815">
        <v>24.693422000000002</v>
      </c>
      <c r="S128" s="815">
        <v>25.379584999999999</v>
      </c>
      <c r="T128" s="815">
        <v>26.041328</v>
      </c>
      <c r="U128" s="815">
        <v>26.716372</v>
      </c>
      <c r="V128" s="815">
        <v>27.470734</v>
      </c>
      <c r="W128" s="815">
        <v>28.116610999999999</v>
      </c>
      <c r="X128" s="815">
        <v>28.868303000000001</v>
      </c>
      <c r="Y128" s="815">
        <v>29.513950000000001</v>
      </c>
      <c r="Z128" s="815">
        <v>30.261645999999999</v>
      </c>
      <c r="AA128" s="815">
        <v>31.294775000000001</v>
      </c>
      <c r="AB128" s="815">
        <v>32.034534000000001</v>
      </c>
      <c r="AC128" s="815">
        <v>32.992049999999999</v>
      </c>
      <c r="AD128" s="815">
        <v>33.94556</v>
      </c>
      <c r="AE128" s="815">
        <v>34.931033999999997</v>
      </c>
      <c r="AF128" s="814">
        <v>2.9321E-2</v>
      </c>
      <c r="AG128" s="802"/>
    </row>
    <row r="129" spans="1:33" ht="15" customHeight="1">
      <c r="A129" s="800" t="s">
        <v>4996</v>
      </c>
      <c r="B129" s="812" t="s">
        <v>4890</v>
      </c>
      <c r="C129" s="815">
        <v>8.8813879999999994</v>
      </c>
      <c r="D129" s="815">
        <v>8.3057800000000004</v>
      </c>
      <c r="E129" s="815">
        <v>7.309984</v>
      </c>
      <c r="F129" s="815">
        <v>6.8600339999999997</v>
      </c>
      <c r="G129" s="815">
        <v>6.5148039999999998</v>
      </c>
      <c r="H129" s="815">
        <v>6.3961439999999996</v>
      </c>
      <c r="I129" s="815">
        <v>6.4197790000000001</v>
      </c>
      <c r="J129" s="815">
        <v>6.608568</v>
      </c>
      <c r="K129" s="815">
        <v>6.8481540000000001</v>
      </c>
      <c r="L129" s="815">
        <v>7.1586559999999997</v>
      </c>
      <c r="M129" s="815">
        <v>7.4670420000000002</v>
      </c>
      <c r="N129" s="815">
        <v>7.8515430000000004</v>
      </c>
      <c r="O129" s="815">
        <v>8.2122820000000001</v>
      </c>
      <c r="P129" s="815">
        <v>8.5563289999999999</v>
      </c>
      <c r="Q129" s="815">
        <v>8.7898370000000003</v>
      </c>
      <c r="R129" s="815">
        <v>9.0478529999999999</v>
      </c>
      <c r="S129" s="815">
        <v>9.4042519999999996</v>
      </c>
      <c r="T129" s="815">
        <v>9.5438960000000002</v>
      </c>
      <c r="U129" s="815">
        <v>9.8961269999999999</v>
      </c>
      <c r="V129" s="815">
        <v>10.221828</v>
      </c>
      <c r="W129" s="815">
        <v>10.425893</v>
      </c>
      <c r="X129" s="815">
        <v>10.581784000000001</v>
      </c>
      <c r="Y129" s="815">
        <v>10.729170999999999</v>
      </c>
      <c r="Z129" s="815">
        <v>10.98645</v>
      </c>
      <c r="AA129" s="815">
        <v>11.369418</v>
      </c>
      <c r="AB129" s="815">
        <v>11.567731</v>
      </c>
      <c r="AC129" s="815">
        <v>11.769767</v>
      </c>
      <c r="AD129" s="815">
        <v>11.979346</v>
      </c>
      <c r="AE129" s="815">
        <v>12.255666</v>
      </c>
      <c r="AF129" s="814">
        <v>1.1566999999999999E-2</v>
      </c>
      <c r="AG129" s="802"/>
    </row>
    <row r="130" spans="1:33" ht="15" customHeight="1">
      <c r="A130" s="800" t="s">
        <v>4997</v>
      </c>
      <c r="B130" s="812" t="s">
        <v>4906</v>
      </c>
      <c r="C130" s="815">
        <v>5.4304249999999996</v>
      </c>
      <c r="D130" s="815">
        <v>5.6718549999999999</v>
      </c>
      <c r="E130" s="815">
        <v>6.0581950000000004</v>
      </c>
      <c r="F130" s="815">
        <v>6.1873269999999998</v>
      </c>
      <c r="G130" s="815">
        <v>6.3529850000000003</v>
      </c>
      <c r="H130" s="815">
        <v>6.5475529999999997</v>
      </c>
      <c r="I130" s="815">
        <v>6.7355179999999999</v>
      </c>
      <c r="J130" s="815">
        <v>6.9377659999999999</v>
      </c>
      <c r="K130" s="815">
        <v>7.2191280000000004</v>
      </c>
      <c r="L130" s="815">
        <v>7.4615220000000004</v>
      </c>
      <c r="M130" s="815">
        <v>7.7608199999999998</v>
      </c>
      <c r="N130" s="815">
        <v>8.038456</v>
      </c>
      <c r="O130" s="815">
        <v>8.3211580000000005</v>
      </c>
      <c r="P130" s="815">
        <v>8.6185759999999991</v>
      </c>
      <c r="Q130" s="815">
        <v>8.9246759999999998</v>
      </c>
      <c r="R130" s="815">
        <v>9.2558539999999994</v>
      </c>
      <c r="S130" s="815">
        <v>9.5669219999999999</v>
      </c>
      <c r="T130" s="815">
        <v>9.8821329999999996</v>
      </c>
      <c r="U130" s="815">
        <v>10.210374</v>
      </c>
      <c r="V130" s="815">
        <v>10.516508999999999</v>
      </c>
      <c r="W130" s="815">
        <v>10.829219999999999</v>
      </c>
      <c r="X130" s="815">
        <v>11.157767</v>
      </c>
      <c r="Y130" s="815">
        <v>11.502295999999999</v>
      </c>
      <c r="Z130" s="815">
        <v>11.867922999999999</v>
      </c>
      <c r="AA130" s="815">
        <v>12.240033</v>
      </c>
      <c r="AB130" s="815">
        <v>12.622064999999999</v>
      </c>
      <c r="AC130" s="815">
        <v>13.021750000000001</v>
      </c>
      <c r="AD130" s="815">
        <v>13.425182</v>
      </c>
      <c r="AE130" s="815">
        <v>13.854766</v>
      </c>
      <c r="AF130" s="814">
        <v>3.4015999999999998E-2</v>
      </c>
      <c r="AG130" s="802"/>
    </row>
    <row r="131" spans="1:33" ht="15" customHeight="1">
      <c r="A131" s="800" t="s">
        <v>4998</v>
      </c>
      <c r="B131" s="812" t="s">
        <v>4944</v>
      </c>
      <c r="C131" s="815">
        <v>2.175554</v>
      </c>
      <c r="D131" s="815">
        <v>2.1858590000000002</v>
      </c>
      <c r="E131" s="815">
        <v>2.2353990000000001</v>
      </c>
      <c r="F131" s="815">
        <v>2.273965</v>
      </c>
      <c r="G131" s="815">
        <v>2.3001480000000001</v>
      </c>
      <c r="H131" s="815">
        <v>2.3385699999999998</v>
      </c>
      <c r="I131" s="815">
        <v>2.375311</v>
      </c>
      <c r="J131" s="815">
        <v>2.4279139999999999</v>
      </c>
      <c r="K131" s="815">
        <v>2.49261</v>
      </c>
      <c r="L131" s="815">
        <v>2.5409510000000002</v>
      </c>
      <c r="M131" s="815">
        <v>2.5638749999999999</v>
      </c>
      <c r="N131" s="815">
        <v>2.6062889999999999</v>
      </c>
      <c r="O131" s="815">
        <v>2.6657250000000001</v>
      </c>
      <c r="P131" s="815">
        <v>2.717292</v>
      </c>
      <c r="Q131" s="815">
        <v>2.7708330000000001</v>
      </c>
      <c r="R131" s="815">
        <v>2.8319589999999999</v>
      </c>
      <c r="S131" s="815">
        <v>2.9326319999999999</v>
      </c>
      <c r="T131" s="815">
        <v>2.9932690000000002</v>
      </c>
      <c r="U131" s="815">
        <v>3.065572</v>
      </c>
      <c r="V131" s="815">
        <v>3.1298780000000002</v>
      </c>
      <c r="W131" s="815">
        <v>3.196196</v>
      </c>
      <c r="X131" s="815">
        <v>3.2688730000000001</v>
      </c>
      <c r="Y131" s="815">
        <v>3.3391959999999998</v>
      </c>
      <c r="Z131" s="815">
        <v>3.4138799999999998</v>
      </c>
      <c r="AA131" s="815">
        <v>3.5015969999999998</v>
      </c>
      <c r="AB131" s="815">
        <v>3.581267</v>
      </c>
      <c r="AC131" s="815">
        <v>3.66364</v>
      </c>
      <c r="AD131" s="815">
        <v>3.757409</v>
      </c>
      <c r="AE131" s="815">
        <v>3.8484590000000001</v>
      </c>
      <c r="AF131" s="814">
        <v>2.0580000000000001E-2</v>
      </c>
      <c r="AG131" s="802"/>
    </row>
    <row r="132" spans="1:33" ht="15" customHeight="1">
      <c r="A132" s="800" t="s">
        <v>4999</v>
      </c>
      <c r="B132" s="812" t="s">
        <v>4910</v>
      </c>
      <c r="C132" s="815" t="s">
        <v>2805</v>
      </c>
      <c r="D132" s="815" t="s">
        <v>2805</v>
      </c>
      <c r="E132" s="815" t="s">
        <v>2805</v>
      </c>
      <c r="F132" s="815" t="s">
        <v>2805</v>
      </c>
      <c r="G132" s="815" t="s">
        <v>2805</v>
      </c>
      <c r="H132" s="815" t="s">
        <v>2805</v>
      </c>
      <c r="I132" s="815" t="s">
        <v>2805</v>
      </c>
      <c r="J132" s="815" t="s">
        <v>2805</v>
      </c>
      <c r="K132" s="815" t="s">
        <v>2805</v>
      </c>
      <c r="L132" s="815" t="s">
        <v>2805</v>
      </c>
      <c r="M132" s="815" t="s">
        <v>2805</v>
      </c>
      <c r="N132" s="815" t="s">
        <v>2805</v>
      </c>
      <c r="O132" s="815" t="s">
        <v>2805</v>
      </c>
      <c r="P132" s="815" t="s">
        <v>2805</v>
      </c>
      <c r="Q132" s="815" t="s">
        <v>2805</v>
      </c>
      <c r="R132" s="815" t="s">
        <v>2805</v>
      </c>
      <c r="S132" s="815" t="s">
        <v>2805</v>
      </c>
      <c r="T132" s="815" t="s">
        <v>2805</v>
      </c>
      <c r="U132" s="815" t="s">
        <v>2805</v>
      </c>
      <c r="V132" s="815" t="s">
        <v>2805</v>
      </c>
      <c r="W132" s="815" t="s">
        <v>2805</v>
      </c>
      <c r="X132" s="815" t="s">
        <v>2805</v>
      </c>
      <c r="Y132" s="815" t="s">
        <v>2805</v>
      </c>
      <c r="Z132" s="815" t="s">
        <v>2805</v>
      </c>
      <c r="AA132" s="815" t="s">
        <v>2805</v>
      </c>
      <c r="AB132" s="815" t="s">
        <v>2805</v>
      </c>
      <c r="AC132" s="815" t="s">
        <v>2805</v>
      </c>
      <c r="AD132" s="815" t="s">
        <v>2805</v>
      </c>
      <c r="AE132" s="815" t="s">
        <v>2805</v>
      </c>
      <c r="AF132" s="814" t="s">
        <v>2805</v>
      </c>
      <c r="AG132" s="802" t="s">
        <v>2805</v>
      </c>
    </row>
    <row r="133" spans="1:33" ht="15" customHeight="1">
      <c r="A133" s="800" t="s">
        <v>5000</v>
      </c>
      <c r="B133" s="812" t="s">
        <v>3186</v>
      </c>
      <c r="C133" s="815">
        <v>35.829422000000001</v>
      </c>
      <c r="D133" s="815">
        <v>36.359164999999997</v>
      </c>
      <c r="E133" s="815">
        <v>35.866458999999999</v>
      </c>
      <c r="F133" s="815">
        <v>35.235881999999997</v>
      </c>
      <c r="G133" s="815">
        <v>35.134171000000002</v>
      </c>
      <c r="H133" s="815">
        <v>35.272132999999997</v>
      </c>
      <c r="I133" s="815">
        <v>35.583508000000002</v>
      </c>
      <c r="J133" s="815">
        <v>36.187798000000001</v>
      </c>
      <c r="K133" s="815">
        <v>37.046059</v>
      </c>
      <c r="L133" s="815">
        <v>38.014763000000002</v>
      </c>
      <c r="M133" s="815">
        <v>38.990749000000001</v>
      </c>
      <c r="N133" s="815">
        <v>40.502662999999998</v>
      </c>
      <c r="O133" s="815">
        <v>41.863002999999999</v>
      </c>
      <c r="P133" s="815">
        <v>42.848014999999997</v>
      </c>
      <c r="Q133" s="815">
        <v>44.091442000000001</v>
      </c>
      <c r="R133" s="815">
        <v>45.403637000000003</v>
      </c>
      <c r="S133" s="815">
        <v>46.904964</v>
      </c>
      <c r="T133" s="815">
        <v>48.330173000000002</v>
      </c>
      <c r="U133" s="815">
        <v>49.750717000000002</v>
      </c>
      <c r="V133" s="815">
        <v>51.149737999999999</v>
      </c>
      <c r="W133" s="815">
        <v>52.424168000000002</v>
      </c>
      <c r="X133" s="815">
        <v>53.699261</v>
      </c>
      <c r="Y133" s="815">
        <v>55.001506999999997</v>
      </c>
      <c r="Z133" s="815">
        <v>56.335239000000001</v>
      </c>
      <c r="AA133" s="815">
        <v>57.489230999999997</v>
      </c>
      <c r="AB133" s="815">
        <v>58.587916999999997</v>
      </c>
      <c r="AC133" s="815">
        <v>59.898162999999997</v>
      </c>
      <c r="AD133" s="815">
        <v>60.996772999999997</v>
      </c>
      <c r="AE133" s="815">
        <v>61.947029000000001</v>
      </c>
      <c r="AF133" s="814">
        <v>1.9746E-2</v>
      </c>
      <c r="AG133" s="802"/>
    </row>
    <row r="134" spans="1:33" ht="15" customHeight="1">
      <c r="B134" s="802"/>
      <c r="C134" s="802"/>
      <c r="D134" s="802"/>
      <c r="E134" s="802"/>
      <c r="F134" s="802"/>
      <c r="G134" s="802"/>
      <c r="H134" s="802"/>
      <c r="I134" s="802"/>
      <c r="J134" s="802"/>
      <c r="K134" s="802"/>
      <c r="L134" s="802"/>
      <c r="M134" s="802"/>
      <c r="N134" s="802"/>
      <c r="O134" s="802"/>
      <c r="P134" s="802"/>
      <c r="Q134" s="802"/>
      <c r="R134" s="802"/>
      <c r="S134" s="802"/>
      <c r="T134" s="802"/>
      <c r="U134" s="802"/>
      <c r="V134" s="802"/>
      <c r="W134" s="802"/>
      <c r="X134" s="802"/>
      <c r="Y134" s="802"/>
      <c r="Z134" s="802"/>
      <c r="AA134" s="802"/>
      <c r="AB134" s="802"/>
      <c r="AC134" s="802"/>
      <c r="AD134" s="802"/>
      <c r="AE134" s="802"/>
      <c r="AF134" s="802"/>
      <c r="AG134" s="802"/>
    </row>
    <row r="135" spans="1:33" ht="15" customHeight="1">
      <c r="B135" s="808" t="s">
        <v>4947</v>
      </c>
      <c r="C135" s="802"/>
      <c r="D135" s="802"/>
      <c r="E135" s="802"/>
      <c r="F135" s="802"/>
      <c r="G135" s="802"/>
      <c r="H135" s="802"/>
      <c r="I135" s="802"/>
      <c r="J135" s="802"/>
      <c r="K135" s="802"/>
      <c r="L135" s="802"/>
      <c r="M135" s="802"/>
      <c r="N135" s="802"/>
      <c r="O135" s="802"/>
      <c r="P135" s="802"/>
      <c r="Q135" s="802"/>
      <c r="R135" s="802"/>
      <c r="S135" s="802"/>
      <c r="T135" s="802"/>
      <c r="U135" s="802"/>
      <c r="V135" s="802"/>
      <c r="W135" s="802"/>
      <c r="X135" s="802"/>
      <c r="Y135" s="802"/>
      <c r="Z135" s="802"/>
      <c r="AA135" s="802"/>
      <c r="AB135" s="802"/>
      <c r="AC135" s="802"/>
      <c r="AD135" s="802"/>
      <c r="AE135" s="802"/>
      <c r="AF135" s="802"/>
      <c r="AG135" s="802"/>
    </row>
    <row r="136" spans="1:33" ht="15" customHeight="1">
      <c r="B136" s="808" t="s">
        <v>5001</v>
      </c>
      <c r="C136" s="802"/>
      <c r="D136" s="802"/>
      <c r="E136" s="802"/>
      <c r="F136" s="802"/>
      <c r="G136" s="802"/>
      <c r="H136" s="802"/>
      <c r="I136" s="802"/>
      <c r="J136" s="802"/>
      <c r="K136" s="802"/>
      <c r="L136" s="802"/>
      <c r="M136" s="802"/>
      <c r="N136" s="802"/>
      <c r="O136" s="802"/>
      <c r="P136" s="802"/>
      <c r="Q136" s="802"/>
      <c r="R136" s="802"/>
      <c r="S136" s="802"/>
      <c r="T136" s="802"/>
      <c r="U136" s="802"/>
      <c r="V136" s="802"/>
      <c r="W136" s="802"/>
      <c r="X136" s="802"/>
      <c r="Y136" s="802"/>
      <c r="Z136" s="802"/>
      <c r="AA136" s="802"/>
      <c r="AB136" s="802"/>
      <c r="AC136" s="802"/>
      <c r="AD136" s="802"/>
      <c r="AE136" s="802"/>
      <c r="AF136" s="802"/>
      <c r="AG136" s="802"/>
    </row>
    <row r="137" spans="1:33" ht="15" customHeight="1">
      <c r="A137" s="800" t="s">
        <v>5002</v>
      </c>
      <c r="B137" s="812" t="s">
        <v>4884</v>
      </c>
      <c r="C137" s="820">
        <v>322.79443400000002</v>
      </c>
      <c r="D137" s="820">
        <v>323.96618699999999</v>
      </c>
      <c r="E137" s="820">
        <v>316.38116500000001</v>
      </c>
      <c r="F137" s="820">
        <v>313.378265</v>
      </c>
      <c r="G137" s="820">
        <v>313.80584700000003</v>
      </c>
      <c r="H137" s="820">
        <v>316.42208900000003</v>
      </c>
      <c r="I137" s="820">
        <v>320.67553700000002</v>
      </c>
      <c r="J137" s="820">
        <v>328.32162499999998</v>
      </c>
      <c r="K137" s="820">
        <v>337.13021900000001</v>
      </c>
      <c r="L137" s="820">
        <v>347.31375100000002</v>
      </c>
      <c r="M137" s="820">
        <v>357.72671500000001</v>
      </c>
      <c r="N137" s="820">
        <v>372.10546900000003</v>
      </c>
      <c r="O137" s="820">
        <v>385.80773900000003</v>
      </c>
      <c r="P137" s="820">
        <v>397.45077500000002</v>
      </c>
      <c r="Q137" s="820">
        <v>410.63799999999998</v>
      </c>
      <c r="R137" s="820">
        <v>424.90579200000002</v>
      </c>
      <c r="S137" s="820">
        <v>440.70797700000003</v>
      </c>
      <c r="T137" s="820">
        <v>454.92474399999998</v>
      </c>
      <c r="U137" s="820">
        <v>470.46719400000001</v>
      </c>
      <c r="V137" s="820">
        <v>486.252319</v>
      </c>
      <c r="W137" s="820">
        <v>501.30401599999999</v>
      </c>
      <c r="X137" s="820">
        <v>516.514771</v>
      </c>
      <c r="Y137" s="820">
        <v>531.99688700000002</v>
      </c>
      <c r="Z137" s="820">
        <v>549.30181900000002</v>
      </c>
      <c r="AA137" s="820">
        <v>568.15393100000006</v>
      </c>
      <c r="AB137" s="820">
        <v>584.43603499999995</v>
      </c>
      <c r="AC137" s="820">
        <v>601.94653300000004</v>
      </c>
      <c r="AD137" s="820">
        <v>619.02429199999995</v>
      </c>
      <c r="AE137" s="820">
        <v>635.86627199999998</v>
      </c>
      <c r="AF137" s="814">
        <v>2.4509E-2</v>
      </c>
      <c r="AG137" s="802"/>
    </row>
    <row r="138" spans="1:33" ht="15" customHeight="1">
      <c r="A138" s="800" t="s">
        <v>5003</v>
      </c>
      <c r="B138" s="812" t="s">
        <v>4892</v>
      </c>
      <c r="C138" s="820">
        <v>237.58575400000001</v>
      </c>
      <c r="D138" s="820">
        <v>235.215363</v>
      </c>
      <c r="E138" s="820">
        <v>227.23172</v>
      </c>
      <c r="F138" s="820">
        <v>221.38610800000001</v>
      </c>
      <c r="G138" s="820">
        <v>220.246521</v>
      </c>
      <c r="H138" s="820">
        <v>220.52917500000001</v>
      </c>
      <c r="I138" s="820">
        <v>223.035492</v>
      </c>
      <c r="J138" s="820">
        <v>227.95399499999999</v>
      </c>
      <c r="K138" s="820">
        <v>234.02946499999999</v>
      </c>
      <c r="L138" s="820">
        <v>240.872421</v>
      </c>
      <c r="M138" s="820">
        <v>247.91056800000001</v>
      </c>
      <c r="N138" s="820">
        <v>257.46719400000001</v>
      </c>
      <c r="O138" s="820">
        <v>266.319458</v>
      </c>
      <c r="P138" s="820">
        <v>273.48553500000003</v>
      </c>
      <c r="Q138" s="820">
        <v>281.39428700000002</v>
      </c>
      <c r="R138" s="820">
        <v>289.59683200000001</v>
      </c>
      <c r="S138" s="820">
        <v>298.95288099999999</v>
      </c>
      <c r="T138" s="820">
        <v>307.10012799999998</v>
      </c>
      <c r="U138" s="820">
        <v>316.07788099999999</v>
      </c>
      <c r="V138" s="820">
        <v>325.34350599999999</v>
      </c>
      <c r="W138" s="820">
        <v>333.957672</v>
      </c>
      <c r="X138" s="820">
        <v>342.75811800000002</v>
      </c>
      <c r="Y138" s="820">
        <v>351.55493200000001</v>
      </c>
      <c r="Z138" s="820">
        <v>361.22058099999998</v>
      </c>
      <c r="AA138" s="820">
        <v>371.92254600000001</v>
      </c>
      <c r="AB138" s="820">
        <v>380.20718399999998</v>
      </c>
      <c r="AC138" s="820">
        <v>390.36471599999999</v>
      </c>
      <c r="AD138" s="820">
        <v>399.89819299999999</v>
      </c>
      <c r="AE138" s="820">
        <v>409.405823</v>
      </c>
      <c r="AF138" s="814">
        <v>1.9625E-2</v>
      </c>
      <c r="AG138" s="802"/>
    </row>
    <row r="139" spans="1:33" ht="15" customHeight="1">
      <c r="A139" s="800" t="s">
        <v>5004</v>
      </c>
      <c r="B139" s="812" t="s">
        <v>4899</v>
      </c>
      <c r="C139" s="820">
        <v>310.10330199999999</v>
      </c>
      <c r="D139" s="820">
        <v>293.937927</v>
      </c>
      <c r="E139" s="820">
        <v>269.41128500000002</v>
      </c>
      <c r="F139" s="820">
        <v>255.99295000000001</v>
      </c>
      <c r="G139" s="820">
        <v>252.37174999999999</v>
      </c>
      <c r="H139" s="820">
        <v>251.98429899999999</v>
      </c>
      <c r="I139" s="820">
        <v>255.294601</v>
      </c>
      <c r="J139" s="820">
        <v>262.791382</v>
      </c>
      <c r="K139" s="820">
        <v>272.15884399999999</v>
      </c>
      <c r="L139" s="820">
        <v>283.44372600000003</v>
      </c>
      <c r="M139" s="820">
        <v>296.71109000000001</v>
      </c>
      <c r="N139" s="820">
        <v>312.462738</v>
      </c>
      <c r="O139" s="820">
        <v>327.410461</v>
      </c>
      <c r="P139" s="820">
        <v>340.86224399999998</v>
      </c>
      <c r="Q139" s="820">
        <v>353.05050699999998</v>
      </c>
      <c r="R139" s="820">
        <v>366.60595699999999</v>
      </c>
      <c r="S139" s="820">
        <v>382.95333900000003</v>
      </c>
      <c r="T139" s="820">
        <v>394.82739299999997</v>
      </c>
      <c r="U139" s="820">
        <v>412.51119999999997</v>
      </c>
      <c r="V139" s="820">
        <v>429.67004400000002</v>
      </c>
      <c r="W139" s="820">
        <v>444.30892899999998</v>
      </c>
      <c r="X139" s="820">
        <v>456.24182100000002</v>
      </c>
      <c r="Y139" s="820">
        <v>468.29614299999997</v>
      </c>
      <c r="Z139" s="820">
        <v>482.59146099999998</v>
      </c>
      <c r="AA139" s="820">
        <v>497.78393599999998</v>
      </c>
      <c r="AB139" s="820">
        <v>513.341858</v>
      </c>
      <c r="AC139" s="820">
        <v>528.57128899999998</v>
      </c>
      <c r="AD139" s="820">
        <v>543.32611099999997</v>
      </c>
      <c r="AE139" s="820">
        <v>561.378601</v>
      </c>
      <c r="AF139" s="814">
        <v>2.1422E-2</v>
      </c>
      <c r="AG139" s="802"/>
    </row>
    <row r="140" spans="1:33" ht="15" customHeight="1">
      <c r="A140" s="800" t="s">
        <v>5005</v>
      </c>
      <c r="B140" s="812" t="s">
        <v>4912</v>
      </c>
      <c r="C140" s="820">
        <v>881.96179199999995</v>
      </c>
      <c r="D140" s="820">
        <v>811.42846699999996</v>
      </c>
      <c r="E140" s="820">
        <v>766.75103799999999</v>
      </c>
      <c r="F140" s="820">
        <v>723.15112299999998</v>
      </c>
      <c r="G140" s="820">
        <v>720.67791699999998</v>
      </c>
      <c r="H140" s="820">
        <v>721.14880400000004</v>
      </c>
      <c r="I140" s="820">
        <v>725.37042199999996</v>
      </c>
      <c r="J140" s="820">
        <v>736.70733600000005</v>
      </c>
      <c r="K140" s="820">
        <v>747.34710700000005</v>
      </c>
      <c r="L140" s="820">
        <v>759.18035899999995</v>
      </c>
      <c r="M140" s="820">
        <v>774.73083499999996</v>
      </c>
      <c r="N140" s="820">
        <v>791.205017</v>
      </c>
      <c r="O140" s="820">
        <v>809.23150599999997</v>
      </c>
      <c r="P140" s="820">
        <v>828.21209699999997</v>
      </c>
      <c r="Q140" s="820">
        <v>849.53375200000005</v>
      </c>
      <c r="R140" s="820">
        <v>869.042236</v>
      </c>
      <c r="S140" s="820">
        <v>890.13116500000001</v>
      </c>
      <c r="T140" s="820">
        <v>912.08129899999994</v>
      </c>
      <c r="U140" s="820">
        <v>935.030396</v>
      </c>
      <c r="V140" s="820">
        <v>960.26007100000004</v>
      </c>
      <c r="W140" s="820">
        <v>985.62011700000005</v>
      </c>
      <c r="X140" s="820">
        <v>1010.600464</v>
      </c>
      <c r="Y140" s="820">
        <v>1039.5527340000001</v>
      </c>
      <c r="Z140" s="820">
        <v>1069.6843260000001</v>
      </c>
      <c r="AA140" s="820">
        <v>1125.338379</v>
      </c>
      <c r="AB140" s="820">
        <v>1159.325073</v>
      </c>
      <c r="AC140" s="820">
        <v>1200.5155030000001</v>
      </c>
      <c r="AD140" s="820">
        <v>1239.8339840000001</v>
      </c>
      <c r="AE140" s="820">
        <v>1285.9207759999999</v>
      </c>
      <c r="AF140" s="814">
        <v>1.3558000000000001E-2</v>
      </c>
      <c r="AG140" s="802"/>
    </row>
    <row r="141" spans="1:33" ht="12" customHeight="1">
      <c r="A141" s="800" t="s">
        <v>5006</v>
      </c>
      <c r="B141" s="812" t="s">
        <v>4954</v>
      </c>
      <c r="C141" s="820">
        <v>1752.4451899999999</v>
      </c>
      <c r="D141" s="820">
        <v>1664.5479740000001</v>
      </c>
      <c r="E141" s="820">
        <v>1579.775269</v>
      </c>
      <c r="F141" s="820">
        <v>1513.908447</v>
      </c>
      <c r="G141" s="820">
        <v>1507.102173</v>
      </c>
      <c r="H141" s="820">
        <v>1510.084351</v>
      </c>
      <c r="I141" s="820">
        <v>1524.3759769999999</v>
      </c>
      <c r="J141" s="820">
        <v>1555.774414</v>
      </c>
      <c r="K141" s="820">
        <v>1590.6655270000001</v>
      </c>
      <c r="L141" s="820">
        <v>1630.8104249999999</v>
      </c>
      <c r="M141" s="820">
        <v>1677.079346</v>
      </c>
      <c r="N141" s="820">
        <v>1733.240356</v>
      </c>
      <c r="O141" s="820">
        <v>1788.7691649999999</v>
      </c>
      <c r="P141" s="820">
        <v>1840.01062</v>
      </c>
      <c r="Q141" s="820">
        <v>1894.616577</v>
      </c>
      <c r="R141" s="820">
        <v>1950.1507570000001</v>
      </c>
      <c r="S141" s="820">
        <v>2012.7452390000001</v>
      </c>
      <c r="T141" s="820">
        <v>2068.9335940000001</v>
      </c>
      <c r="U141" s="820">
        <v>2134.0866700000001</v>
      </c>
      <c r="V141" s="820">
        <v>2201.5258789999998</v>
      </c>
      <c r="W141" s="820">
        <v>2265.1909179999998</v>
      </c>
      <c r="X141" s="820">
        <v>2326.1152339999999</v>
      </c>
      <c r="Y141" s="820">
        <v>2391.400635</v>
      </c>
      <c r="Z141" s="820">
        <v>2462.7983399999998</v>
      </c>
      <c r="AA141" s="820">
        <v>2563.1987300000001</v>
      </c>
      <c r="AB141" s="820">
        <v>2637.3100589999999</v>
      </c>
      <c r="AC141" s="820">
        <v>2721.3984380000002</v>
      </c>
      <c r="AD141" s="820">
        <v>2802.0825199999999</v>
      </c>
      <c r="AE141" s="820">
        <v>2892.5715329999998</v>
      </c>
      <c r="AF141" s="814">
        <v>1.8058999999999999E-2</v>
      </c>
      <c r="AG141" s="802"/>
    </row>
    <row r="142" spans="1:33" ht="12" customHeight="1">
      <c r="A142" s="800" t="s">
        <v>5007</v>
      </c>
      <c r="B142" s="812" t="s">
        <v>4956</v>
      </c>
      <c r="C142" s="820">
        <v>1.2899940000000001</v>
      </c>
      <c r="D142" s="820">
        <v>1.201241</v>
      </c>
      <c r="E142" s="820">
        <v>1.109594</v>
      </c>
      <c r="F142" s="820">
        <v>1.053992</v>
      </c>
      <c r="G142" s="820">
        <v>1.0397289999999999</v>
      </c>
      <c r="H142" s="820">
        <v>1.027182</v>
      </c>
      <c r="I142" s="820">
        <v>1.0142910000000001</v>
      </c>
      <c r="J142" s="820">
        <v>0.99746900000000005</v>
      </c>
      <c r="K142" s="820">
        <v>0.97924699999999998</v>
      </c>
      <c r="L142" s="820">
        <v>0.95561600000000002</v>
      </c>
      <c r="M142" s="820">
        <v>0.93827000000000005</v>
      </c>
      <c r="N142" s="820">
        <v>0.92201699999999998</v>
      </c>
      <c r="O142" s="820">
        <v>0.90963499999999997</v>
      </c>
      <c r="P142" s="820">
        <v>0.89836499999999997</v>
      </c>
      <c r="Q142" s="820">
        <v>0.89511799999999997</v>
      </c>
      <c r="R142" s="820">
        <v>0.89109499999999997</v>
      </c>
      <c r="S142" s="820">
        <v>0.89440900000000001</v>
      </c>
      <c r="T142" s="820">
        <v>0.90472699999999995</v>
      </c>
      <c r="U142" s="820">
        <v>0.91914099999999999</v>
      </c>
      <c r="V142" s="820">
        <v>0.93616699999999997</v>
      </c>
      <c r="W142" s="820">
        <v>0.95972999999999997</v>
      </c>
      <c r="X142" s="820">
        <v>0.98244699999999996</v>
      </c>
      <c r="Y142" s="820">
        <v>1.0171840000000001</v>
      </c>
      <c r="Z142" s="820">
        <v>1.049472</v>
      </c>
      <c r="AA142" s="820">
        <v>1.1101289999999999</v>
      </c>
      <c r="AB142" s="820">
        <v>1.1506320000000001</v>
      </c>
      <c r="AC142" s="820">
        <v>1.2013210000000001</v>
      </c>
      <c r="AD142" s="820">
        <v>1.251039</v>
      </c>
      <c r="AE142" s="820">
        <v>1.3100050000000001</v>
      </c>
      <c r="AF142" s="814">
        <v>5.5000000000000003E-4</v>
      </c>
      <c r="AG142" s="802"/>
    </row>
    <row r="143" spans="1:33" ht="12" customHeight="1">
      <c r="A143" s="800" t="s">
        <v>5008</v>
      </c>
      <c r="B143" s="808" t="s">
        <v>4958</v>
      </c>
      <c r="C143" s="809">
        <v>1753.7352289999999</v>
      </c>
      <c r="D143" s="809">
        <v>1665.749268</v>
      </c>
      <c r="E143" s="809">
        <v>1580.884888</v>
      </c>
      <c r="F143" s="809">
        <v>1514.962524</v>
      </c>
      <c r="G143" s="809">
        <v>1508.141846</v>
      </c>
      <c r="H143" s="809">
        <v>1511.1114500000001</v>
      </c>
      <c r="I143" s="809">
        <v>1525.390259</v>
      </c>
      <c r="J143" s="809">
        <v>1556.771851</v>
      </c>
      <c r="K143" s="809">
        <v>1591.6448969999999</v>
      </c>
      <c r="L143" s="809">
        <v>1631.765991</v>
      </c>
      <c r="M143" s="809">
        <v>1678.017456</v>
      </c>
      <c r="N143" s="809">
        <v>1734.1623540000001</v>
      </c>
      <c r="O143" s="809">
        <v>1789.6789550000001</v>
      </c>
      <c r="P143" s="809">
        <v>1840.909058</v>
      </c>
      <c r="Q143" s="809">
        <v>1895.5117190000001</v>
      </c>
      <c r="R143" s="809">
        <v>1951.0419919999999</v>
      </c>
      <c r="S143" s="809">
        <v>2013.6397710000001</v>
      </c>
      <c r="T143" s="809">
        <v>2069.8383789999998</v>
      </c>
      <c r="U143" s="809">
        <v>2135.0058589999999</v>
      </c>
      <c r="V143" s="809">
        <v>2202.4621579999998</v>
      </c>
      <c r="W143" s="809">
        <v>2266.150635</v>
      </c>
      <c r="X143" s="809">
        <v>2327.0976559999999</v>
      </c>
      <c r="Y143" s="809">
        <v>2392.4179690000001</v>
      </c>
      <c r="Z143" s="809">
        <v>2463.8479000000002</v>
      </c>
      <c r="AA143" s="809">
        <v>2564.3090820000002</v>
      </c>
      <c r="AB143" s="809">
        <v>2638.460693</v>
      </c>
      <c r="AC143" s="809">
        <v>2722.5996089999999</v>
      </c>
      <c r="AD143" s="809">
        <v>2803.3332519999999</v>
      </c>
      <c r="AE143" s="809">
        <v>2893.8815920000002</v>
      </c>
      <c r="AF143" s="810">
        <v>1.8048999999999999E-2</v>
      </c>
      <c r="AG143" s="802"/>
    </row>
    <row r="144" spans="1:33" ht="12" customHeight="1">
      <c r="B144" s="802"/>
      <c r="C144" s="802"/>
      <c r="D144" s="802"/>
      <c r="E144" s="802"/>
      <c r="F144" s="802"/>
      <c r="G144" s="802"/>
      <c r="H144" s="802"/>
      <c r="I144" s="802"/>
      <c r="J144" s="802"/>
      <c r="K144" s="802"/>
      <c r="L144" s="802"/>
      <c r="M144" s="802"/>
      <c r="N144" s="802"/>
      <c r="O144" s="802"/>
      <c r="P144" s="802"/>
      <c r="Q144" s="802"/>
      <c r="R144" s="802"/>
      <c r="S144" s="802"/>
      <c r="T144" s="802"/>
      <c r="U144" s="802"/>
      <c r="V144" s="802"/>
      <c r="W144" s="802"/>
      <c r="X144" s="802"/>
      <c r="Y144" s="802"/>
      <c r="Z144" s="802"/>
      <c r="AA144" s="802"/>
      <c r="AB144" s="802"/>
      <c r="AC144" s="802"/>
      <c r="AD144" s="802"/>
      <c r="AE144" s="802"/>
      <c r="AF144" s="802"/>
      <c r="AG144" s="802"/>
    </row>
    <row r="145" spans="2:34" ht="12" customHeight="1" thickBot="1">
      <c r="B145" s="802"/>
      <c r="C145" s="802"/>
      <c r="D145" s="802"/>
      <c r="E145" s="802"/>
      <c r="F145" s="802"/>
      <c r="G145" s="802"/>
      <c r="H145" s="802"/>
      <c r="I145" s="802"/>
      <c r="J145" s="802"/>
      <c r="K145" s="802"/>
      <c r="L145" s="802"/>
      <c r="M145" s="802"/>
      <c r="N145" s="802"/>
      <c r="O145" s="802"/>
      <c r="P145" s="802"/>
      <c r="Q145" s="802"/>
      <c r="R145" s="802"/>
      <c r="S145" s="802"/>
      <c r="T145" s="802"/>
      <c r="U145" s="802"/>
      <c r="V145" s="802"/>
      <c r="W145" s="802"/>
      <c r="X145" s="802"/>
      <c r="Y145" s="802"/>
      <c r="Z145" s="802"/>
      <c r="AA145" s="802"/>
      <c r="AB145" s="802"/>
      <c r="AC145" s="802"/>
      <c r="AD145" s="802"/>
      <c r="AE145" s="802"/>
      <c r="AF145" s="802"/>
      <c r="AG145" s="802"/>
    </row>
    <row r="146" spans="2:34" ht="12" customHeight="1">
      <c r="B146" s="1258" t="s">
        <v>4417</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817"/>
    </row>
    <row r="147" spans="2:34" ht="12" customHeight="1">
      <c r="B147" s="802" t="s">
        <v>5009</v>
      </c>
      <c r="C147" s="802"/>
      <c r="D147" s="802"/>
      <c r="E147" s="802"/>
      <c r="F147" s="802"/>
      <c r="G147" s="802"/>
      <c r="H147" s="802"/>
      <c r="I147" s="802"/>
      <c r="J147" s="802"/>
      <c r="K147" s="802"/>
      <c r="L147" s="802"/>
      <c r="M147" s="802"/>
      <c r="N147" s="802"/>
      <c r="O147" s="802"/>
      <c r="P147" s="802"/>
      <c r="Q147" s="802"/>
      <c r="R147" s="802"/>
      <c r="S147" s="802"/>
      <c r="T147" s="802"/>
      <c r="U147" s="802"/>
      <c r="V147" s="802"/>
      <c r="W147" s="802"/>
      <c r="X147" s="802"/>
      <c r="Y147" s="802"/>
      <c r="Z147" s="802"/>
      <c r="AA147" s="802"/>
      <c r="AB147" s="802"/>
      <c r="AC147" s="802"/>
      <c r="AD147" s="802"/>
      <c r="AE147" s="802"/>
      <c r="AF147" s="802"/>
      <c r="AG147" s="802"/>
    </row>
    <row r="148" spans="2:34" ht="12" customHeight="1">
      <c r="B148" s="802" t="s">
        <v>5010</v>
      </c>
      <c r="C148" s="802"/>
      <c r="D148" s="802"/>
      <c r="E148" s="802"/>
      <c r="F148" s="802"/>
      <c r="G148" s="802"/>
      <c r="H148" s="802"/>
      <c r="I148" s="802"/>
      <c r="J148" s="802"/>
      <c r="K148" s="802"/>
      <c r="L148" s="802"/>
      <c r="M148" s="802"/>
      <c r="N148" s="802"/>
      <c r="O148" s="802"/>
      <c r="P148" s="802"/>
      <c r="Q148" s="802"/>
      <c r="R148" s="802"/>
      <c r="S148" s="802"/>
      <c r="T148" s="802"/>
      <c r="U148" s="802"/>
      <c r="V148" s="802"/>
      <c r="W148" s="802"/>
      <c r="X148" s="802"/>
      <c r="Y148" s="802"/>
      <c r="Z148" s="802"/>
      <c r="AA148" s="802"/>
      <c r="AB148" s="802"/>
      <c r="AC148" s="802"/>
      <c r="AD148" s="802"/>
      <c r="AE148" s="802"/>
      <c r="AF148" s="802"/>
      <c r="AG148" s="802"/>
    </row>
    <row r="149" spans="2:34" ht="12" customHeight="1">
      <c r="B149" s="802" t="s">
        <v>5011</v>
      </c>
      <c r="C149" s="802"/>
      <c r="D149" s="802"/>
      <c r="E149" s="802"/>
      <c r="F149" s="802"/>
      <c r="G149" s="802"/>
      <c r="H149" s="802"/>
      <c r="I149" s="802"/>
      <c r="J149" s="802"/>
      <c r="K149" s="802"/>
      <c r="L149" s="802"/>
      <c r="M149" s="802"/>
      <c r="N149" s="802"/>
      <c r="O149" s="802"/>
      <c r="P149" s="802"/>
      <c r="Q149" s="802"/>
      <c r="R149" s="802"/>
      <c r="S149" s="802"/>
      <c r="T149" s="802"/>
      <c r="U149" s="802"/>
      <c r="V149" s="802"/>
      <c r="W149" s="802"/>
      <c r="X149" s="802"/>
      <c r="Y149" s="802"/>
      <c r="Z149" s="802"/>
      <c r="AA149" s="802"/>
      <c r="AB149" s="802"/>
      <c r="AC149" s="802"/>
      <c r="AD149" s="802"/>
      <c r="AE149" s="802"/>
      <c r="AF149" s="802"/>
      <c r="AG149" s="802"/>
    </row>
    <row r="150" spans="2:34" ht="15" customHeight="1">
      <c r="B150" s="802" t="s">
        <v>5012</v>
      </c>
      <c r="C150" s="802"/>
      <c r="D150" s="802"/>
      <c r="E150" s="802"/>
      <c r="F150" s="802"/>
      <c r="G150" s="802"/>
      <c r="H150" s="802"/>
      <c r="I150" s="802"/>
      <c r="J150" s="802"/>
      <c r="K150" s="802"/>
      <c r="L150" s="802"/>
      <c r="M150" s="802"/>
      <c r="N150" s="802"/>
      <c r="O150" s="802"/>
      <c r="P150" s="802"/>
      <c r="Q150" s="802"/>
      <c r="R150" s="802"/>
      <c r="S150" s="802"/>
      <c r="T150" s="802"/>
      <c r="U150" s="802"/>
      <c r="V150" s="802"/>
      <c r="W150" s="802"/>
      <c r="X150" s="802"/>
      <c r="Y150" s="802"/>
      <c r="Z150" s="802"/>
      <c r="AA150" s="802"/>
      <c r="AB150" s="802"/>
      <c r="AC150" s="802"/>
      <c r="AD150" s="802"/>
      <c r="AE150" s="802"/>
      <c r="AF150" s="802"/>
      <c r="AG150" s="802"/>
    </row>
    <row r="151" spans="2:34" ht="15" customHeight="1">
      <c r="B151" s="802" t="s">
        <v>5013</v>
      </c>
      <c r="C151" s="802"/>
      <c r="D151" s="802"/>
      <c r="E151" s="802"/>
      <c r="F151" s="802"/>
      <c r="G151" s="802"/>
      <c r="H151" s="802"/>
      <c r="I151" s="802"/>
      <c r="J151" s="802"/>
      <c r="K151" s="802"/>
      <c r="L151" s="802"/>
      <c r="M151" s="802"/>
      <c r="N151" s="802"/>
      <c r="O151" s="802"/>
      <c r="P151" s="802"/>
      <c r="Q151" s="802"/>
      <c r="R151" s="802"/>
      <c r="S151" s="802"/>
      <c r="T151" s="802"/>
      <c r="U151" s="802"/>
      <c r="V151" s="802"/>
      <c r="W151" s="802"/>
      <c r="X151" s="802"/>
      <c r="Y151" s="802"/>
      <c r="Z151" s="802"/>
      <c r="AA151" s="802"/>
      <c r="AB151" s="802"/>
      <c r="AC151" s="802"/>
      <c r="AD151" s="802"/>
      <c r="AE151" s="802"/>
      <c r="AF151" s="802"/>
      <c r="AG151" s="802"/>
    </row>
    <row r="152" spans="2:34" ht="15" customHeight="1">
      <c r="B152" s="802" t="s">
        <v>5014</v>
      </c>
      <c r="C152" s="802"/>
      <c r="D152" s="802"/>
      <c r="E152" s="802"/>
      <c r="F152" s="802"/>
      <c r="G152" s="802"/>
      <c r="H152" s="802"/>
      <c r="I152" s="802"/>
      <c r="J152" s="802"/>
      <c r="K152" s="802"/>
      <c r="L152" s="802"/>
      <c r="M152" s="802"/>
      <c r="N152" s="802"/>
      <c r="O152" s="802"/>
      <c r="P152" s="802"/>
      <c r="Q152" s="802"/>
      <c r="R152" s="802"/>
      <c r="S152" s="802"/>
      <c r="T152" s="802"/>
      <c r="U152" s="802"/>
      <c r="V152" s="802"/>
      <c r="W152" s="802"/>
      <c r="X152" s="802"/>
      <c r="Y152" s="802"/>
      <c r="Z152" s="802"/>
      <c r="AA152" s="802"/>
      <c r="AB152" s="802"/>
      <c r="AC152" s="802"/>
      <c r="AD152" s="802"/>
      <c r="AE152" s="802"/>
      <c r="AF152" s="802"/>
      <c r="AG152" s="802"/>
    </row>
    <row r="153" spans="2:34" ht="15" customHeight="1">
      <c r="B153" s="802" t="s">
        <v>5015</v>
      </c>
      <c r="C153" s="802"/>
      <c r="D153" s="802"/>
      <c r="E153" s="802"/>
      <c r="F153" s="802"/>
      <c r="G153" s="802"/>
      <c r="H153" s="802"/>
      <c r="I153" s="802"/>
      <c r="J153" s="802"/>
      <c r="K153" s="802"/>
      <c r="L153" s="802"/>
      <c r="M153" s="802"/>
      <c r="N153" s="802"/>
      <c r="O153" s="802"/>
      <c r="P153" s="802"/>
      <c r="Q153" s="802"/>
      <c r="R153" s="802"/>
      <c r="S153" s="802"/>
      <c r="T153" s="802"/>
      <c r="U153" s="802"/>
      <c r="V153" s="802"/>
      <c r="W153" s="802"/>
      <c r="X153" s="802"/>
      <c r="Y153" s="802"/>
      <c r="Z153" s="802"/>
      <c r="AA153" s="802"/>
      <c r="AB153" s="802"/>
      <c r="AC153" s="802"/>
      <c r="AD153" s="802"/>
      <c r="AE153" s="802"/>
      <c r="AF153" s="802"/>
      <c r="AG153" s="802"/>
    </row>
    <row r="154" spans="2:34" ht="15" customHeight="1">
      <c r="B154" s="802" t="s">
        <v>5016</v>
      </c>
      <c r="C154" s="802"/>
      <c r="D154" s="802"/>
      <c r="E154" s="802"/>
      <c r="F154" s="802"/>
      <c r="G154" s="802"/>
      <c r="H154" s="802"/>
      <c r="I154" s="802"/>
      <c r="J154" s="802"/>
      <c r="K154" s="802"/>
      <c r="L154" s="802"/>
      <c r="M154" s="802"/>
      <c r="N154" s="802"/>
      <c r="O154" s="802"/>
      <c r="P154" s="802"/>
      <c r="Q154" s="802"/>
      <c r="R154" s="802"/>
      <c r="S154" s="802"/>
      <c r="T154" s="802"/>
      <c r="U154" s="802"/>
      <c r="V154" s="802"/>
      <c r="W154" s="802"/>
      <c r="X154" s="802"/>
      <c r="Y154" s="802"/>
      <c r="Z154" s="802"/>
      <c r="AA154" s="802"/>
      <c r="AB154" s="802"/>
      <c r="AC154" s="802"/>
      <c r="AD154" s="802"/>
      <c r="AE154" s="802"/>
      <c r="AF154" s="802"/>
      <c r="AG154" s="802"/>
    </row>
    <row r="155" spans="2:34" ht="15" customHeight="1">
      <c r="B155" s="802" t="s">
        <v>5017</v>
      </c>
      <c r="C155" s="802"/>
      <c r="D155" s="802"/>
      <c r="E155" s="802"/>
      <c r="F155" s="802"/>
      <c r="G155" s="802"/>
      <c r="H155" s="802"/>
      <c r="I155" s="802"/>
      <c r="J155" s="802"/>
      <c r="K155" s="802"/>
      <c r="L155" s="802"/>
      <c r="M155" s="802"/>
      <c r="N155" s="802"/>
      <c r="O155" s="802"/>
      <c r="P155" s="802"/>
      <c r="Q155" s="802"/>
      <c r="R155" s="802"/>
      <c r="S155" s="802"/>
      <c r="T155" s="802"/>
      <c r="U155" s="802"/>
      <c r="V155" s="802"/>
      <c r="W155" s="802"/>
      <c r="X155" s="802"/>
      <c r="Y155" s="802"/>
      <c r="Z155" s="802"/>
      <c r="AA155" s="802"/>
      <c r="AB155" s="802"/>
      <c r="AC155" s="802"/>
      <c r="AD155" s="802"/>
      <c r="AE155" s="802"/>
      <c r="AF155" s="802"/>
      <c r="AG155" s="802"/>
    </row>
    <row r="156" spans="2:34" ht="15" customHeight="1">
      <c r="B156" s="802" t="s">
        <v>5018</v>
      </c>
      <c r="C156" s="802"/>
      <c r="D156" s="802"/>
      <c r="E156" s="802"/>
      <c r="F156" s="802"/>
      <c r="G156" s="802"/>
      <c r="H156" s="802"/>
      <c r="I156" s="802"/>
      <c r="J156" s="802"/>
      <c r="K156" s="802"/>
      <c r="L156" s="802"/>
      <c r="M156" s="802"/>
      <c r="N156" s="802"/>
      <c r="O156" s="802"/>
      <c r="P156" s="802"/>
      <c r="Q156" s="802"/>
      <c r="R156" s="802"/>
      <c r="S156" s="802"/>
      <c r="T156" s="802"/>
      <c r="U156" s="802"/>
      <c r="V156" s="802"/>
      <c r="W156" s="802"/>
      <c r="X156" s="802"/>
      <c r="Y156" s="802"/>
      <c r="Z156" s="802"/>
      <c r="AA156" s="802"/>
      <c r="AB156" s="802"/>
      <c r="AC156" s="802"/>
      <c r="AD156" s="802"/>
      <c r="AE156" s="802"/>
      <c r="AF156" s="802"/>
      <c r="AG156" s="802"/>
    </row>
    <row r="157" spans="2:34" ht="15" customHeight="1">
      <c r="B157" s="802" t="s">
        <v>4363</v>
      </c>
      <c r="C157" s="802"/>
      <c r="D157" s="802"/>
      <c r="E157" s="802"/>
      <c r="F157" s="802"/>
      <c r="G157" s="802"/>
      <c r="H157" s="802"/>
      <c r="I157" s="802"/>
      <c r="J157" s="802"/>
      <c r="K157" s="802"/>
      <c r="L157" s="802"/>
      <c r="M157" s="802"/>
      <c r="N157" s="802"/>
      <c r="O157" s="802"/>
      <c r="P157" s="802"/>
      <c r="Q157" s="802"/>
      <c r="R157" s="802"/>
      <c r="S157" s="802"/>
      <c r="T157" s="802"/>
      <c r="U157" s="802"/>
      <c r="V157" s="802"/>
      <c r="W157" s="802"/>
      <c r="X157" s="802"/>
      <c r="Y157" s="802"/>
      <c r="Z157" s="802"/>
      <c r="AA157" s="802"/>
      <c r="AB157" s="802"/>
      <c r="AC157" s="802"/>
      <c r="AD157" s="802"/>
      <c r="AE157" s="802"/>
      <c r="AF157" s="802"/>
      <c r="AG157" s="802"/>
    </row>
    <row r="158" spans="2:34" ht="15" customHeight="1">
      <c r="B158" s="802" t="s">
        <v>4364</v>
      </c>
      <c r="C158" s="802"/>
      <c r="D158" s="802"/>
      <c r="E158" s="802"/>
      <c r="F158" s="802"/>
      <c r="G158" s="802"/>
      <c r="H158" s="802"/>
      <c r="I158" s="802"/>
      <c r="J158" s="802"/>
      <c r="K158" s="802"/>
      <c r="L158" s="802"/>
      <c r="M158" s="802"/>
      <c r="N158" s="802"/>
      <c r="O158" s="802"/>
      <c r="P158" s="802"/>
      <c r="Q158" s="802"/>
      <c r="R158" s="802"/>
      <c r="S158" s="802"/>
      <c r="T158" s="802"/>
      <c r="U158" s="802"/>
      <c r="V158" s="802"/>
      <c r="W158" s="802"/>
      <c r="X158" s="802"/>
      <c r="Y158" s="802"/>
      <c r="Z158" s="802"/>
      <c r="AA158" s="802"/>
      <c r="AB158" s="802"/>
      <c r="AC158" s="802"/>
      <c r="AD158" s="802"/>
      <c r="AE158" s="802"/>
      <c r="AF158" s="802"/>
      <c r="AG158" s="802"/>
    </row>
    <row r="159" spans="2:34" ht="15" customHeight="1">
      <c r="B159" s="802" t="s">
        <v>5019</v>
      </c>
      <c r="C159" s="802"/>
      <c r="D159" s="802"/>
      <c r="E159" s="802"/>
      <c r="F159" s="802"/>
      <c r="G159" s="802"/>
      <c r="H159" s="802"/>
      <c r="I159" s="802"/>
      <c r="J159" s="802"/>
      <c r="K159" s="802"/>
      <c r="L159" s="802"/>
      <c r="M159" s="802"/>
      <c r="N159" s="802"/>
      <c r="O159" s="802"/>
      <c r="P159" s="802"/>
      <c r="Q159" s="802"/>
      <c r="R159" s="802"/>
      <c r="S159" s="802"/>
      <c r="T159" s="802"/>
      <c r="U159" s="802"/>
      <c r="V159" s="802"/>
      <c r="W159" s="802"/>
      <c r="X159" s="802"/>
      <c r="Y159" s="802"/>
      <c r="Z159" s="802"/>
      <c r="AA159" s="802"/>
      <c r="AB159" s="802"/>
      <c r="AC159" s="802"/>
      <c r="AD159" s="802"/>
      <c r="AE159" s="802"/>
      <c r="AF159" s="802"/>
      <c r="AG159" s="802"/>
    </row>
    <row r="160" spans="2:34" ht="15" customHeight="1">
      <c r="B160" s="802" t="s">
        <v>5020</v>
      </c>
      <c r="C160" s="802"/>
      <c r="D160" s="802"/>
      <c r="E160" s="802"/>
      <c r="F160" s="802"/>
      <c r="G160" s="802"/>
      <c r="H160" s="802"/>
      <c r="I160" s="802"/>
      <c r="J160" s="802"/>
      <c r="K160" s="802"/>
      <c r="L160" s="802"/>
      <c r="M160" s="802"/>
      <c r="N160" s="802"/>
      <c r="O160" s="802"/>
      <c r="P160" s="802"/>
      <c r="Q160" s="802"/>
      <c r="R160" s="802"/>
      <c r="S160" s="802"/>
      <c r="T160" s="802"/>
      <c r="U160" s="802"/>
      <c r="V160" s="802"/>
      <c r="W160" s="802"/>
      <c r="X160" s="802"/>
      <c r="Y160" s="802"/>
      <c r="Z160" s="802"/>
      <c r="AA160" s="802"/>
      <c r="AB160" s="802"/>
      <c r="AC160" s="802"/>
      <c r="AD160" s="802"/>
      <c r="AE160" s="802"/>
      <c r="AF160" s="802"/>
      <c r="AG160" s="802"/>
    </row>
    <row r="161" spans="2:33" ht="15" customHeight="1">
      <c r="B161" s="802"/>
      <c r="C161" s="802"/>
      <c r="D161" s="802"/>
      <c r="E161" s="802"/>
      <c r="F161" s="802"/>
      <c r="G161" s="802"/>
      <c r="H161" s="802"/>
      <c r="I161" s="802"/>
      <c r="J161" s="802"/>
      <c r="K161" s="802"/>
      <c r="L161" s="802"/>
      <c r="M161" s="802"/>
      <c r="N161" s="802"/>
      <c r="O161" s="802"/>
      <c r="P161" s="802"/>
      <c r="Q161" s="802"/>
      <c r="R161" s="802"/>
      <c r="S161" s="802"/>
      <c r="T161" s="802"/>
      <c r="U161" s="802"/>
      <c r="V161" s="802"/>
      <c r="W161" s="802"/>
      <c r="X161" s="802"/>
      <c r="Y161" s="802"/>
      <c r="Z161" s="802"/>
      <c r="AA161" s="802"/>
      <c r="AB161" s="802"/>
      <c r="AC161" s="802"/>
      <c r="AD161" s="802"/>
      <c r="AE161" s="802"/>
      <c r="AF161" s="802"/>
      <c r="AG161" s="802"/>
    </row>
    <row r="162" spans="2:33" ht="15" customHeight="1">
      <c r="B162" s="802"/>
      <c r="C162" s="802"/>
      <c r="D162" s="802"/>
      <c r="E162" s="802"/>
      <c r="F162" s="802"/>
      <c r="G162" s="802"/>
      <c r="H162" s="802"/>
      <c r="I162" s="802"/>
      <c r="J162" s="802"/>
      <c r="K162" s="802"/>
      <c r="L162" s="802"/>
      <c r="M162" s="802"/>
      <c r="N162" s="802"/>
      <c r="O162" s="802"/>
      <c r="P162" s="802"/>
      <c r="Q162" s="802"/>
      <c r="R162" s="802"/>
      <c r="S162" s="802"/>
      <c r="T162" s="802"/>
      <c r="U162" s="802"/>
      <c r="V162" s="802"/>
      <c r="W162" s="802"/>
      <c r="X162" s="802"/>
      <c r="Y162" s="802"/>
      <c r="Z162" s="802"/>
      <c r="AA162" s="802"/>
      <c r="AB162" s="802"/>
      <c r="AC162" s="802"/>
      <c r="AD162" s="802"/>
      <c r="AE162" s="802"/>
      <c r="AF162" s="802"/>
      <c r="AG162" s="802"/>
    </row>
    <row r="163" spans="2:33" ht="15" customHeight="1">
      <c r="B163" s="802"/>
      <c r="C163" s="802"/>
      <c r="D163" s="802"/>
      <c r="E163" s="802"/>
      <c r="F163" s="802"/>
      <c r="G163" s="802"/>
      <c r="H163" s="802"/>
      <c r="I163" s="802"/>
      <c r="J163" s="802"/>
      <c r="K163" s="802"/>
      <c r="L163" s="802"/>
      <c r="M163" s="802"/>
      <c r="N163" s="802"/>
      <c r="O163" s="802"/>
      <c r="P163" s="802"/>
      <c r="Q163" s="802"/>
      <c r="R163" s="802"/>
      <c r="S163" s="802"/>
      <c r="T163" s="802"/>
      <c r="U163" s="802"/>
      <c r="V163" s="802"/>
      <c r="W163" s="802"/>
      <c r="X163" s="802"/>
      <c r="Y163" s="802"/>
      <c r="Z163" s="802"/>
      <c r="AA163" s="802"/>
      <c r="AB163" s="802"/>
      <c r="AC163" s="802"/>
      <c r="AD163" s="802"/>
      <c r="AE163" s="802"/>
      <c r="AF163" s="802"/>
      <c r="AG163" s="802"/>
    </row>
    <row r="164" spans="2:33" ht="15" customHeight="1">
      <c r="B164" s="802"/>
      <c r="C164" s="802"/>
      <c r="D164" s="802"/>
      <c r="E164" s="802"/>
      <c r="F164" s="802"/>
      <c r="G164" s="802"/>
      <c r="H164" s="802"/>
      <c r="I164" s="802"/>
      <c r="J164" s="802"/>
      <c r="K164" s="802"/>
      <c r="L164" s="802"/>
      <c r="M164" s="802"/>
      <c r="N164" s="802"/>
      <c r="O164" s="802"/>
      <c r="P164" s="802"/>
      <c r="Q164" s="802"/>
      <c r="R164" s="802"/>
      <c r="S164" s="802"/>
      <c r="T164" s="802"/>
      <c r="U164" s="802"/>
      <c r="V164" s="802"/>
      <c r="W164" s="802"/>
      <c r="X164" s="802"/>
      <c r="Y164" s="802"/>
      <c r="Z164" s="802"/>
      <c r="AA164" s="802"/>
      <c r="AB164" s="802"/>
      <c r="AC164" s="802"/>
      <c r="AD164" s="802"/>
      <c r="AE164" s="802"/>
      <c r="AF164" s="802"/>
      <c r="AG164" s="802"/>
    </row>
    <row r="165" spans="2:33" ht="12" customHeight="1">
      <c r="B165" s="802"/>
      <c r="C165" s="802"/>
      <c r="D165" s="802"/>
      <c r="E165" s="802"/>
      <c r="F165" s="802"/>
      <c r="G165" s="802"/>
      <c r="H165" s="802"/>
      <c r="I165" s="802"/>
      <c r="J165" s="802"/>
      <c r="K165" s="802"/>
      <c r="L165" s="802"/>
      <c r="M165" s="802"/>
      <c r="N165" s="802"/>
      <c r="O165" s="802"/>
      <c r="P165" s="802"/>
      <c r="Q165" s="802"/>
      <c r="R165" s="802"/>
      <c r="S165" s="802"/>
      <c r="T165" s="802"/>
      <c r="U165" s="802"/>
      <c r="V165" s="802"/>
      <c r="W165" s="802"/>
      <c r="X165" s="802"/>
      <c r="Y165" s="802"/>
      <c r="Z165" s="802"/>
      <c r="AA165" s="802"/>
      <c r="AB165" s="802"/>
      <c r="AC165" s="802"/>
      <c r="AD165" s="802"/>
      <c r="AE165" s="802"/>
      <c r="AF165" s="802"/>
      <c r="AG165" s="802"/>
    </row>
    <row r="166" spans="2:33" ht="15" customHeight="1">
      <c r="B166" s="802"/>
      <c r="C166" s="802"/>
      <c r="D166" s="802"/>
      <c r="E166" s="802"/>
      <c r="F166" s="802"/>
      <c r="G166" s="802"/>
      <c r="H166" s="802"/>
      <c r="I166" s="802"/>
      <c r="J166" s="802"/>
      <c r="K166" s="802"/>
      <c r="L166" s="802"/>
      <c r="M166" s="802"/>
      <c r="N166" s="802"/>
      <c r="O166" s="802"/>
      <c r="P166" s="802"/>
      <c r="Q166" s="802"/>
      <c r="R166" s="802"/>
      <c r="S166" s="802"/>
      <c r="T166" s="802"/>
      <c r="U166" s="802"/>
      <c r="V166" s="802"/>
      <c r="W166" s="802"/>
      <c r="X166" s="802"/>
      <c r="Y166" s="802"/>
      <c r="Z166" s="802"/>
      <c r="AA166" s="802"/>
      <c r="AB166" s="802"/>
      <c r="AC166" s="802"/>
      <c r="AD166" s="802"/>
      <c r="AE166" s="802"/>
      <c r="AF166" s="802"/>
      <c r="AG166" s="802"/>
    </row>
    <row r="167" spans="2:33" ht="15" customHeight="1">
      <c r="B167" s="802"/>
      <c r="C167" s="802"/>
      <c r="D167" s="802"/>
      <c r="E167" s="802"/>
      <c r="F167" s="802"/>
      <c r="G167" s="802"/>
      <c r="H167" s="802"/>
      <c r="I167" s="802"/>
      <c r="J167" s="802"/>
      <c r="K167" s="802"/>
      <c r="L167" s="802"/>
      <c r="M167" s="802"/>
      <c r="N167" s="802"/>
      <c r="O167" s="802"/>
      <c r="P167" s="802"/>
      <c r="Q167" s="802"/>
      <c r="R167" s="802"/>
      <c r="S167" s="802"/>
      <c r="T167" s="802"/>
      <c r="U167" s="802"/>
      <c r="V167" s="802"/>
      <c r="W167" s="802"/>
      <c r="X167" s="802"/>
      <c r="Y167" s="802"/>
      <c r="Z167" s="802"/>
      <c r="AA167" s="802"/>
      <c r="AB167" s="802"/>
      <c r="AC167" s="802"/>
      <c r="AD167" s="802"/>
      <c r="AE167" s="802"/>
      <c r="AF167" s="802"/>
      <c r="AG167" s="802"/>
    </row>
    <row r="168" spans="2:33" ht="15" customHeight="1">
      <c r="B168" s="802"/>
      <c r="C168" s="802"/>
      <c r="D168" s="802"/>
      <c r="E168" s="802"/>
      <c r="F168" s="802"/>
      <c r="G168" s="802"/>
      <c r="H168" s="802"/>
      <c r="I168" s="802"/>
      <c r="J168" s="802"/>
      <c r="K168" s="802"/>
      <c r="L168" s="802"/>
      <c r="M168" s="802"/>
      <c r="N168" s="802"/>
      <c r="O168" s="802"/>
      <c r="P168" s="802"/>
      <c r="Q168" s="802"/>
      <c r="R168" s="802"/>
      <c r="S168" s="802"/>
      <c r="T168" s="802"/>
      <c r="U168" s="802"/>
      <c r="V168" s="802"/>
      <c r="W168" s="802"/>
      <c r="X168" s="802"/>
      <c r="Y168" s="802"/>
      <c r="Z168" s="802"/>
      <c r="AA168" s="802"/>
      <c r="AB168" s="802"/>
      <c r="AC168" s="802"/>
      <c r="AD168" s="802"/>
      <c r="AE168" s="802"/>
      <c r="AF168" s="802"/>
      <c r="AG168" s="802"/>
    </row>
    <row r="169" spans="2:33" ht="15" customHeight="1">
      <c r="B169" s="802"/>
      <c r="C169" s="802"/>
      <c r="D169" s="802"/>
      <c r="E169" s="802"/>
      <c r="F169" s="802"/>
      <c r="G169" s="802"/>
      <c r="H169" s="802"/>
      <c r="I169" s="802"/>
      <c r="J169" s="802"/>
      <c r="K169" s="802"/>
      <c r="L169" s="802"/>
      <c r="M169" s="802"/>
      <c r="N169" s="802"/>
      <c r="O169" s="802"/>
      <c r="P169" s="802"/>
      <c r="Q169" s="802"/>
      <c r="R169" s="802"/>
      <c r="S169" s="802"/>
      <c r="T169" s="802"/>
      <c r="U169" s="802"/>
      <c r="V169" s="802"/>
      <c r="W169" s="802"/>
      <c r="X169" s="802"/>
      <c r="Y169" s="802"/>
      <c r="Z169" s="802"/>
      <c r="AA169" s="802"/>
      <c r="AB169" s="802"/>
      <c r="AC169" s="802"/>
      <c r="AD169" s="802"/>
      <c r="AE169" s="802"/>
      <c r="AF169" s="802"/>
      <c r="AG169" s="802"/>
    </row>
    <row r="170" spans="2:33" ht="15" customHeight="1">
      <c r="B170" s="802"/>
      <c r="C170" s="802"/>
      <c r="D170" s="802"/>
      <c r="E170" s="802"/>
      <c r="F170" s="802"/>
      <c r="G170" s="802"/>
      <c r="H170" s="802"/>
      <c r="I170" s="802"/>
      <c r="J170" s="802"/>
      <c r="K170" s="802"/>
      <c r="L170" s="802"/>
      <c r="M170" s="802"/>
      <c r="N170" s="802"/>
      <c r="O170" s="802"/>
      <c r="P170" s="802"/>
      <c r="Q170" s="802"/>
      <c r="R170" s="802"/>
      <c r="S170" s="802"/>
      <c r="T170" s="802"/>
      <c r="U170" s="802"/>
      <c r="V170" s="802"/>
      <c r="W170" s="802"/>
      <c r="X170" s="802"/>
      <c r="Y170" s="802"/>
      <c r="Z170" s="802"/>
      <c r="AA170" s="802"/>
      <c r="AB170" s="802"/>
      <c r="AC170" s="802"/>
      <c r="AD170" s="802"/>
      <c r="AE170" s="802"/>
      <c r="AF170" s="802"/>
      <c r="AG170" s="802"/>
    </row>
    <row r="171" spans="2:33" ht="15" customHeight="1">
      <c r="B171" s="802"/>
      <c r="C171" s="802"/>
      <c r="D171" s="802"/>
      <c r="E171" s="802"/>
      <c r="F171" s="802"/>
      <c r="G171" s="802"/>
      <c r="H171" s="802"/>
      <c r="I171" s="802"/>
      <c r="J171" s="802"/>
      <c r="K171" s="802"/>
      <c r="L171" s="802"/>
      <c r="M171" s="802"/>
      <c r="N171" s="802"/>
      <c r="O171" s="802"/>
      <c r="P171" s="802"/>
      <c r="Q171" s="802"/>
      <c r="R171" s="802"/>
      <c r="S171" s="802"/>
      <c r="T171" s="802"/>
      <c r="U171" s="802"/>
      <c r="V171" s="802"/>
      <c r="W171" s="802"/>
      <c r="X171" s="802"/>
      <c r="Y171" s="802"/>
      <c r="Z171" s="802"/>
      <c r="AA171" s="802"/>
      <c r="AB171" s="802"/>
      <c r="AC171" s="802"/>
      <c r="AD171" s="802"/>
      <c r="AE171" s="802"/>
      <c r="AF171" s="802"/>
      <c r="AG171" s="802"/>
    </row>
    <row r="172" spans="2:33" ht="15" customHeight="1">
      <c r="B172" s="802"/>
      <c r="C172" s="802"/>
      <c r="D172" s="802"/>
      <c r="E172" s="802"/>
      <c r="F172" s="802"/>
      <c r="G172" s="802"/>
      <c r="H172" s="802"/>
      <c r="I172" s="802"/>
      <c r="J172" s="802"/>
      <c r="K172" s="802"/>
      <c r="L172" s="802"/>
      <c r="M172" s="802"/>
      <c r="N172" s="802"/>
      <c r="O172" s="802"/>
      <c r="P172" s="802"/>
      <c r="Q172" s="802"/>
      <c r="R172" s="802"/>
      <c r="S172" s="802"/>
      <c r="T172" s="802"/>
      <c r="U172" s="802"/>
      <c r="V172" s="802"/>
      <c r="W172" s="802"/>
      <c r="X172" s="802"/>
      <c r="Y172" s="802"/>
      <c r="Z172" s="802"/>
      <c r="AA172" s="802"/>
      <c r="AB172" s="802"/>
      <c r="AC172" s="802"/>
      <c r="AD172" s="802"/>
      <c r="AE172" s="802"/>
      <c r="AF172" s="802"/>
      <c r="AG172" s="802"/>
    </row>
    <row r="173" spans="2:33" ht="15" customHeight="1">
      <c r="B173" s="802"/>
      <c r="C173" s="802"/>
      <c r="D173" s="802"/>
      <c r="E173" s="802"/>
      <c r="F173" s="802"/>
      <c r="G173" s="802"/>
      <c r="H173" s="802"/>
      <c r="I173" s="802"/>
      <c r="J173" s="802"/>
      <c r="K173" s="802"/>
      <c r="L173" s="802"/>
      <c r="M173" s="802"/>
      <c r="N173" s="802"/>
      <c r="O173" s="802"/>
      <c r="P173" s="802"/>
      <c r="Q173" s="802"/>
      <c r="R173" s="802"/>
      <c r="S173" s="802"/>
      <c r="T173" s="802"/>
      <c r="U173" s="802"/>
      <c r="V173" s="802"/>
      <c r="W173" s="802"/>
      <c r="X173" s="802"/>
      <c r="Y173" s="802"/>
      <c r="Z173" s="802"/>
      <c r="AA173" s="802"/>
      <c r="AB173" s="802"/>
      <c r="AC173" s="802"/>
      <c r="AD173" s="802"/>
      <c r="AE173" s="802"/>
      <c r="AF173" s="802"/>
      <c r="AG173" s="802"/>
    </row>
    <row r="174" spans="2:33" ht="15" customHeight="1">
      <c r="B174" s="802"/>
      <c r="C174" s="802"/>
      <c r="D174" s="802"/>
      <c r="E174" s="802"/>
      <c r="F174" s="802"/>
      <c r="G174" s="802"/>
      <c r="H174" s="802"/>
      <c r="I174" s="802"/>
      <c r="J174" s="802"/>
      <c r="K174" s="802"/>
      <c r="L174" s="802"/>
      <c r="M174" s="802"/>
      <c r="N174" s="802"/>
      <c r="O174" s="802"/>
      <c r="P174" s="802"/>
      <c r="Q174" s="802"/>
      <c r="R174" s="802"/>
      <c r="S174" s="802"/>
      <c r="T174" s="802"/>
      <c r="U174" s="802"/>
      <c r="V174" s="802"/>
      <c r="W174" s="802"/>
      <c r="X174" s="802"/>
      <c r="Y174" s="802"/>
      <c r="Z174" s="802"/>
      <c r="AA174" s="802"/>
      <c r="AB174" s="802"/>
      <c r="AC174" s="802"/>
      <c r="AD174" s="802"/>
      <c r="AE174" s="802"/>
      <c r="AF174" s="802"/>
      <c r="AG174" s="802"/>
    </row>
    <row r="175" spans="2:33" ht="15" customHeight="1">
      <c r="B175" s="802"/>
      <c r="C175" s="802"/>
      <c r="D175" s="802"/>
      <c r="E175" s="802"/>
      <c r="F175" s="802"/>
      <c r="G175" s="802"/>
      <c r="H175" s="802"/>
      <c r="I175" s="802"/>
      <c r="J175" s="802"/>
      <c r="K175" s="802"/>
      <c r="L175" s="802"/>
      <c r="M175" s="802"/>
      <c r="N175" s="802"/>
      <c r="O175" s="802"/>
      <c r="P175" s="802"/>
      <c r="Q175" s="802"/>
      <c r="R175" s="802"/>
      <c r="S175" s="802"/>
      <c r="T175" s="802"/>
      <c r="U175" s="802"/>
      <c r="V175" s="802"/>
      <c r="W175" s="802"/>
      <c r="X175" s="802"/>
      <c r="Y175" s="802"/>
      <c r="Z175" s="802"/>
      <c r="AA175" s="802"/>
      <c r="AB175" s="802"/>
      <c r="AC175" s="802"/>
      <c r="AD175" s="802"/>
      <c r="AE175" s="802"/>
      <c r="AF175" s="802"/>
      <c r="AG175" s="802"/>
    </row>
    <row r="176" spans="2:33" ht="15" customHeight="1">
      <c r="B176" s="802"/>
      <c r="C176" s="802"/>
      <c r="D176" s="802"/>
      <c r="E176" s="802"/>
      <c r="F176" s="802"/>
      <c r="G176" s="802"/>
      <c r="H176" s="802"/>
      <c r="I176" s="802"/>
      <c r="J176" s="802"/>
      <c r="K176" s="802"/>
      <c r="L176" s="802"/>
      <c r="M176" s="802"/>
      <c r="N176" s="802"/>
      <c r="O176" s="802"/>
      <c r="P176" s="802"/>
      <c r="Q176" s="802"/>
      <c r="R176" s="802"/>
      <c r="S176" s="802"/>
      <c r="T176" s="802"/>
      <c r="U176" s="802"/>
      <c r="V176" s="802"/>
      <c r="W176" s="802"/>
      <c r="X176" s="802"/>
      <c r="Y176" s="802"/>
      <c r="Z176" s="802"/>
      <c r="AA176" s="802"/>
      <c r="AB176" s="802"/>
      <c r="AC176" s="802"/>
      <c r="AD176" s="802"/>
      <c r="AE176" s="802"/>
      <c r="AF176" s="802"/>
      <c r="AG176" s="802"/>
    </row>
    <row r="177" spans="2:33" ht="15" customHeight="1">
      <c r="B177" s="802"/>
      <c r="C177" s="802"/>
      <c r="D177" s="802"/>
      <c r="E177" s="802"/>
      <c r="F177" s="802"/>
      <c r="G177" s="802"/>
      <c r="H177" s="802"/>
      <c r="I177" s="802"/>
      <c r="J177" s="802"/>
      <c r="K177" s="802"/>
      <c r="L177" s="802"/>
      <c r="M177" s="802"/>
      <c r="N177" s="802"/>
      <c r="O177" s="802"/>
      <c r="P177" s="802"/>
      <c r="Q177" s="802"/>
      <c r="R177" s="802"/>
      <c r="S177" s="802"/>
      <c r="T177" s="802"/>
      <c r="U177" s="802"/>
      <c r="V177" s="802"/>
      <c r="W177" s="802"/>
      <c r="X177" s="802"/>
      <c r="Y177" s="802"/>
      <c r="Z177" s="802"/>
      <c r="AA177" s="802"/>
      <c r="AB177" s="802"/>
      <c r="AC177" s="802"/>
      <c r="AD177" s="802"/>
      <c r="AE177" s="802"/>
      <c r="AF177" s="802"/>
      <c r="AG177" s="802"/>
    </row>
    <row r="178" spans="2:33" ht="15" customHeight="1">
      <c r="B178" s="802"/>
      <c r="C178" s="802"/>
      <c r="D178" s="802"/>
      <c r="E178" s="802"/>
      <c r="F178" s="802"/>
      <c r="G178" s="802"/>
      <c r="H178" s="802"/>
      <c r="I178" s="802"/>
      <c r="J178" s="802"/>
      <c r="K178" s="802"/>
      <c r="L178" s="802"/>
      <c r="M178" s="802"/>
      <c r="N178" s="802"/>
      <c r="O178" s="802"/>
      <c r="P178" s="802"/>
      <c r="Q178" s="802"/>
      <c r="R178" s="802"/>
      <c r="S178" s="802"/>
      <c r="T178" s="802"/>
      <c r="U178" s="802"/>
      <c r="V178" s="802"/>
      <c r="W178" s="802"/>
      <c r="X178" s="802"/>
      <c r="Y178" s="802"/>
      <c r="Z178" s="802"/>
      <c r="AA178" s="802"/>
      <c r="AB178" s="802"/>
      <c r="AC178" s="802"/>
      <c r="AD178" s="802"/>
      <c r="AE178" s="802"/>
      <c r="AF178" s="802"/>
      <c r="AG178" s="802"/>
    </row>
    <row r="179" spans="2:33" ht="15" customHeight="1">
      <c r="B179" s="802"/>
      <c r="C179" s="802"/>
      <c r="D179" s="802"/>
      <c r="E179" s="802"/>
      <c r="F179" s="802"/>
      <c r="G179" s="802"/>
      <c r="H179" s="802"/>
      <c r="I179" s="802"/>
      <c r="J179" s="802"/>
      <c r="K179" s="802"/>
      <c r="L179" s="802"/>
      <c r="M179" s="802"/>
      <c r="N179" s="802"/>
      <c r="O179" s="802"/>
      <c r="P179" s="802"/>
      <c r="Q179" s="802"/>
      <c r="R179" s="802"/>
      <c r="S179" s="802"/>
      <c r="T179" s="802"/>
      <c r="U179" s="802"/>
      <c r="V179" s="802"/>
      <c r="W179" s="802"/>
      <c r="X179" s="802"/>
      <c r="Y179" s="802"/>
      <c r="Z179" s="802"/>
      <c r="AA179" s="802"/>
      <c r="AB179" s="802"/>
      <c r="AC179" s="802"/>
      <c r="AD179" s="802"/>
      <c r="AE179" s="802"/>
      <c r="AF179" s="802"/>
      <c r="AG179" s="802"/>
    </row>
    <row r="180" spans="2:33" ht="12" customHeight="1">
      <c r="B180" s="802"/>
      <c r="C180" s="802"/>
      <c r="D180" s="802"/>
      <c r="E180" s="802"/>
      <c r="F180" s="802"/>
      <c r="G180" s="802"/>
      <c r="H180" s="802"/>
      <c r="I180" s="802"/>
      <c r="J180" s="802"/>
      <c r="K180" s="802"/>
      <c r="L180" s="802"/>
      <c r="M180" s="802"/>
      <c r="N180" s="802"/>
      <c r="O180" s="802"/>
      <c r="P180" s="802"/>
      <c r="Q180" s="802"/>
      <c r="R180" s="802"/>
      <c r="S180" s="802"/>
      <c r="T180" s="802"/>
      <c r="U180" s="802"/>
      <c r="V180" s="802"/>
      <c r="W180" s="802"/>
      <c r="X180" s="802"/>
      <c r="Y180" s="802"/>
      <c r="Z180" s="802"/>
      <c r="AA180" s="802"/>
      <c r="AB180" s="802"/>
      <c r="AC180" s="802"/>
      <c r="AD180" s="802"/>
      <c r="AE180" s="802"/>
      <c r="AF180" s="802"/>
      <c r="AG180" s="802"/>
    </row>
    <row r="181" spans="2:33" ht="15" customHeight="1">
      <c r="B181" s="802"/>
      <c r="C181" s="802"/>
      <c r="D181" s="802"/>
      <c r="E181" s="802"/>
      <c r="F181" s="802"/>
      <c r="G181" s="802"/>
      <c r="H181" s="802"/>
      <c r="I181" s="802"/>
      <c r="J181" s="802"/>
      <c r="K181" s="802"/>
      <c r="L181" s="802"/>
      <c r="M181" s="802"/>
      <c r="N181" s="802"/>
      <c r="O181" s="802"/>
      <c r="P181" s="802"/>
      <c r="Q181" s="802"/>
      <c r="R181" s="802"/>
      <c r="S181" s="802"/>
      <c r="T181" s="802"/>
      <c r="U181" s="802"/>
      <c r="V181" s="802"/>
      <c r="W181" s="802"/>
      <c r="X181" s="802"/>
      <c r="Y181" s="802"/>
      <c r="Z181" s="802"/>
      <c r="AA181" s="802"/>
      <c r="AB181" s="802"/>
      <c r="AC181" s="802"/>
      <c r="AD181" s="802"/>
      <c r="AE181" s="802"/>
      <c r="AF181" s="802"/>
      <c r="AG181" s="802"/>
    </row>
    <row r="182" spans="2:33" ht="15" customHeight="1">
      <c r="B182" s="802"/>
      <c r="C182" s="802"/>
      <c r="D182" s="802"/>
      <c r="E182" s="802"/>
      <c r="F182" s="802"/>
      <c r="G182" s="802"/>
      <c r="H182" s="802"/>
      <c r="I182" s="802"/>
      <c r="J182" s="802"/>
      <c r="K182" s="802"/>
      <c r="L182" s="802"/>
      <c r="M182" s="802"/>
      <c r="N182" s="802"/>
      <c r="O182" s="802"/>
      <c r="P182" s="802"/>
      <c r="Q182" s="802"/>
      <c r="R182" s="802"/>
      <c r="S182" s="802"/>
      <c r="T182" s="802"/>
      <c r="U182" s="802"/>
      <c r="V182" s="802"/>
      <c r="W182" s="802"/>
      <c r="X182" s="802"/>
      <c r="Y182" s="802"/>
      <c r="Z182" s="802"/>
      <c r="AA182" s="802"/>
      <c r="AB182" s="802"/>
      <c r="AC182" s="802"/>
      <c r="AD182" s="802"/>
      <c r="AE182" s="802"/>
      <c r="AF182" s="802"/>
      <c r="AG182" s="802"/>
    </row>
    <row r="183" spans="2:33" ht="15" customHeight="1">
      <c r="B183" s="802"/>
      <c r="C183" s="802"/>
      <c r="D183" s="802"/>
      <c r="E183" s="802"/>
      <c r="F183" s="802"/>
      <c r="G183" s="802"/>
      <c r="H183" s="802"/>
      <c r="I183" s="802"/>
      <c r="J183" s="802"/>
      <c r="K183" s="802"/>
      <c r="L183" s="802"/>
      <c r="M183" s="802"/>
      <c r="N183" s="802"/>
      <c r="O183" s="802"/>
      <c r="P183" s="802"/>
      <c r="Q183" s="802"/>
      <c r="R183" s="802"/>
      <c r="S183" s="802"/>
      <c r="T183" s="802"/>
      <c r="U183" s="802"/>
      <c r="V183" s="802"/>
      <c r="W183" s="802"/>
      <c r="X183" s="802"/>
      <c r="Y183" s="802"/>
      <c r="Z183" s="802"/>
      <c r="AA183" s="802"/>
      <c r="AB183" s="802"/>
      <c r="AC183" s="802"/>
      <c r="AD183" s="802"/>
      <c r="AE183" s="802"/>
      <c r="AF183" s="802"/>
      <c r="AG183" s="802"/>
    </row>
    <row r="184" spans="2:33" ht="15" customHeight="1">
      <c r="B184" s="802"/>
      <c r="C184" s="802"/>
      <c r="D184" s="802"/>
      <c r="E184" s="802"/>
      <c r="F184" s="802"/>
      <c r="G184" s="802"/>
      <c r="H184" s="802"/>
      <c r="I184" s="802"/>
      <c r="J184" s="802"/>
      <c r="K184" s="802"/>
      <c r="L184" s="802"/>
      <c r="M184" s="802"/>
      <c r="N184" s="802"/>
      <c r="O184" s="802"/>
      <c r="P184" s="802"/>
      <c r="Q184" s="802"/>
      <c r="R184" s="802"/>
      <c r="S184" s="802"/>
      <c r="T184" s="802"/>
      <c r="U184" s="802"/>
      <c r="V184" s="802"/>
      <c r="W184" s="802"/>
      <c r="X184" s="802"/>
      <c r="Y184" s="802"/>
      <c r="Z184" s="802"/>
      <c r="AA184" s="802"/>
      <c r="AB184" s="802"/>
      <c r="AC184" s="802"/>
      <c r="AD184" s="802"/>
      <c r="AE184" s="802"/>
      <c r="AF184" s="802"/>
      <c r="AG184" s="802"/>
    </row>
    <row r="185" spans="2:33" ht="15" customHeight="1">
      <c r="B185" s="802"/>
      <c r="C185" s="802"/>
      <c r="D185" s="802"/>
      <c r="E185" s="802"/>
      <c r="F185" s="802"/>
      <c r="G185" s="802"/>
      <c r="H185" s="802"/>
      <c r="I185" s="802"/>
      <c r="J185" s="802"/>
      <c r="K185" s="802"/>
      <c r="L185" s="802"/>
      <c r="M185" s="802"/>
      <c r="N185" s="802"/>
      <c r="O185" s="802"/>
      <c r="P185" s="802"/>
      <c r="Q185" s="802"/>
      <c r="R185" s="802"/>
      <c r="S185" s="802"/>
      <c r="T185" s="802"/>
      <c r="U185" s="802"/>
      <c r="V185" s="802"/>
      <c r="W185" s="802"/>
      <c r="X185" s="802"/>
      <c r="Y185" s="802"/>
      <c r="Z185" s="802"/>
      <c r="AA185" s="802"/>
      <c r="AB185" s="802"/>
      <c r="AC185" s="802"/>
      <c r="AD185" s="802"/>
      <c r="AE185" s="802"/>
      <c r="AF185" s="802"/>
      <c r="AG185" s="802"/>
    </row>
    <row r="186" spans="2:33" ht="15" customHeight="1">
      <c r="B186" s="802"/>
      <c r="C186" s="802"/>
      <c r="D186" s="802"/>
      <c r="E186" s="802"/>
      <c r="F186" s="802"/>
      <c r="G186" s="802"/>
      <c r="H186" s="802"/>
      <c r="I186" s="802"/>
      <c r="J186" s="802"/>
      <c r="K186" s="802"/>
      <c r="L186" s="802"/>
      <c r="M186" s="802"/>
      <c r="N186" s="802"/>
      <c r="O186" s="802"/>
      <c r="P186" s="802"/>
      <c r="Q186" s="802"/>
      <c r="R186" s="802"/>
      <c r="S186" s="802"/>
      <c r="T186" s="802"/>
      <c r="U186" s="802"/>
      <c r="V186" s="802"/>
      <c r="W186" s="802"/>
      <c r="X186" s="802"/>
      <c r="Y186" s="802"/>
      <c r="Z186" s="802"/>
      <c r="AA186" s="802"/>
      <c r="AB186" s="802"/>
      <c r="AC186" s="802"/>
      <c r="AD186" s="802"/>
      <c r="AE186" s="802"/>
      <c r="AF186" s="802"/>
      <c r="AG186" s="802"/>
    </row>
    <row r="187" spans="2:33" ht="15" customHeight="1">
      <c r="B187" s="802"/>
      <c r="C187" s="802"/>
      <c r="D187" s="802"/>
      <c r="E187" s="802"/>
      <c r="F187" s="802"/>
      <c r="G187" s="802"/>
      <c r="H187" s="802"/>
      <c r="I187" s="802"/>
      <c r="J187" s="802"/>
      <c r="K187" s="802"/>
      <c r="L187" s="802"/>
      <c r="M187" s="802"/>
      <c r="N187" s="802"/>
      <c r="O187" s="802"/>
      <c r="P187" s="802"/>
      <c r="Q187" s="802"/>
      <c r="R187" s="802"/>
      <c r="S187" s="802"/>
      <c r="T187" s="802"/>
      <c r="U187" s="802"/>
      <c r="V187" s="802"/>
      <c r="W187" s="802"/>
      <c r="X187" s="802"/>
      <c r="Y187" s="802"/>
      <c r="Z187" s="802"/>
      <c r="AA187" s="802"/>
      <c r="AB187" s="802"/>
      <c r="AC187" s="802"/>
      <c r="AD187" s="802"/>
      <c r="AE187" s="802"/>
      <c r="AF187" s="802"/>
      <c r="AG187" s="802"/>
    </row>
    <row r="188" spans="2:33" ht="15" customHeight="1">
      <c r="B188" s="802"/>
      <c r="C188" s="802"/>
      <c r="D188" s="802"/>
      <c r="E188" s="802"/>
      <c r="F188" s="802"/>
      <c r="G188" s="802"/>
      <c r="H188" s="802"/>
      <c r="I188" s="802"/>
      <c r="J188" s="802"/>
      <c r="K188" s="802"/>
      <c r="L188" s="802"/>
      <c r="M188" s="802"/>
      <c r="N188" s="802"/>
      <c r="O188" s="802"/>
      <c r="P188" s="802"/>
      <c r="Q188" s="802"/>
      <c r="R188" s="802"/>
      <c r="S188" s="802"/>
      <c r="T188" s="802"/>
      <c r="U188" s="802"/>
      <c r="V188" s="802"/>
      <c r="W188" s="802"/>
      <c r="X188" s="802"/>
      <c r="Y188" s="802"/>
      <c r="Z188" s="802"/>
      <c r="AA188" s="802"/>
      <c r="AB188" s="802"/>
      <c r="AC188" s="802"/>
      <c r="AD188" s="802"/>
      <c r="AE188" s="802"/>
      <c r="AF188" s="802"/>
      <c r="AG188" s="802"/>
    </row>
    <row r="189" spans="2:33" ht="15" customHeight="1">
      <c r="B189" s="802"/>
      <c r="C189" s="802"/>
      <c r="D189" s="802"/>
      <c r="E189" s="802"/>
      <c r="F189" s="802"/>
      <c r="G189" s="802"/>
      <c r="H189" s="802"/>
      <c r="I189" s="802"/>
      <c r="J189" s="802"/>
      <c r="K189" s="802"/>
      <c r="L189" s="802"/>
      <c r="M189" s="802"/>
      <c r="N189" s="802"/>
      <c r="O189" s="802"/>
      <c r="P189" s="802"/>
      <c r="Q189" s="802"/>
      <c r="R189" s="802"/>
      <c r="S189" s="802"/>
      <c r="T189" s="802"/>
      <c r="U189" s="802"/>
      <c r="V189" s="802"/>
      <c r="W189" s="802"/>
      <c r="X189" s="802"/>
      <c r="Y189" s="802"/>
      <c r="Z189" s="802"/>
      <c r="AA189" s="802"/>
      <c r="AB189" s="802"/>
      <c r="AC189" s="802"/>
      <c r="AD189" s="802"/>
      <c r="AE189" s="802"/>
      <c r="AF189" s="802"/>
      <c r="AG189" s="802"/>
    </row>
    <row r="190" spans="2:33" ht="15" customHeight="1">
      <c r="B190" s="802"/>
      <c r="C190" s="802"/>
      <c r="D190" s="802"/>
      <c r="E190" s="802"/>
      <c r="F190" s="802"/>
      <c r="G190" s="802"/>
      <c r="H190" s="802"/>
      <c r="I190" s="802"/>
      <c r="J190" s="802"/>
      <c r="K190" s="802"/>
      <c r="L190" s="802"/>
      <c r="M190" s="802"/>
      <c r="N190" s="802"/>
      <c r="O190" s="802"/>
      <c r="P190" s="802"/>
      <c r="Q190" s="802"/>
      <c r="R190" s="802"/>
      <c r="S190" s="802"/>
      <c r="T190" s="802"/>
      <c r="U190" s="802"/>
      <c r="V190" s="802"/>
      <c r="W190" s="802"/>
      <c r="X190" s="802"/>
      <c r="Y190" s="802"/>
      <c r="Z190" s="802"/>
      <c r="AA190" s="802"/>
      <c r="AB190" s="802"/>
      <c r="AC190" s="802"/>
      <c r="AD190" s="802"/>
      <c r="AE190" s="802"/>
      <c r="AF190" s="802"/>
      <c r="AG190" s="802"/>
    </row>
    <row r="191" spans="2:33" ht="15" customHeight="1">
      <c r="B191" s="802"/>
      <c r="C191" s="802"/>
      <c r="D191" s="802"/>
      <c r="E191" s="802"/>
      <c r="F191" s="802"/>
      <c r="G191" s="802"/>
      <c r="H191" s="802"/>
      <c r="I191" s="802"/>
      <c r="J191" s="802"/>
      <c r="K191" s="802"/>
      <c r="L191" s="802"/>
      <c r="M191" s="802"/>
      <c r="N191" s="802"/>
      <c r="O191" s="802"/>
      <c r="P191" s="802"/>
      <c r="Q191" s="802"/>
      <c r="R191" s="802"/>
      <c r="S191" s="802"/>
      <c r="T191" s="802"/>
      <c r="U191" s="802"/>
      <c r="V191" s="802"/>
      <c r="W191" s="802"/>
      <c r="X191" s="802"/>
      <c r="Y191" s="802"/>
      <c r="Z191" s="802"/>
      <c r="AA191" s="802"/>
      <c r="AB191" s="802"/>
      <c r="AC191" s="802"/>
      <c r="AD191" s="802"/>
      <c r="AE191" s="802"/>
      <c r="AF191" s="802"/>
      <c r="AG191" s="802"/>
    </row>
    <row r="192" spans="2:33" ht="15" customHeight="1">
      <c r="B192" s="802"/>
      <c r="C192" s="802"/>
      <c r="D192" s="802"/>
      <c r="E192" s="802"/>
      <c r="F192" s="802"/>
      <c r="G192" s="802"/>
      <c r="H192" s="802"/>
      <c r="I192" s="802"/>
      <c r="J192" s="802"/>
      <c r="K192" s="802"/>
      <c r="L192" s="802"/>
      <c r="M192" s="802"/>
      <c r="N192" s="802"/>
      <c r="O192" s="802"/>
      <c r="P192" s="802"/>
      <c r="Q192" s="802"/>
      <c r="R192" s="802"/>
      <c r="S192" s="802"/>
      <c r="T192" s="802"/>
      <c r="U192" s="802"/>
      <c r="V192" s="802"/>
      <c r="W192" s="802"/>
      <c r="X192" s="802"/>
      <c r="Y192" s="802"/>
      <c r="Z192" s="802"/>
      <c r="AA192" s="802"/>
      <c r="AB192" s="802"/>
      <c r="AC192" s="802"/>
      <c r="AD192" s="802"/>
      <c r="AE192" s="802"/>
      <c r="AF192" s="802"/>
      <c r="AG192" s="802"/>
    </row>
    <row r="193" spans="2:33" ht="15" customHeight="1">
      <c r="B193" s="802"/>
      <c r="C193" s="802"/>
      <c r="D193" s="802"/>
      <c r="E193" s="802"/>
      <c r="F193" s="802"/>
      <c r="G193" s="802"/>
      <c r="H193" s="802"/>
      <c r="I193" s="802"/>
      <c r="J193" s="802"/>
      <c r="K193" s="802"/>
      <c r="L193" s="802"/>
      <c r="M193" s="802"/>
      <c r="N193" s="802"/>
      <c r="O193" s="802"/>
      <c r="P193" s="802"/>
      <c r="Q193" s="802"/>
      <c r="R193" s="802"/>
      <c r="S193" s="802"/>
      <c r="T193" s="802"/>
      <c r="U193" s="802"/>
      <c r="V193" s="802"/>
      <c r="W193" s="802"/>
      <c r="X193" s="802"/>
      <c r="Y193" s="802"/>
      <c r="Z193" s="802"/>
      <c r="AA193" s="802"/>
      <c r="AB193" s="802"/>
      <c r="AC193" s="802"/>
      <c r="AD193" s="802"/>
      <c r="AE193" s="802"/>
      <c r="AF193" s="802"/>
      <c r="AG193" s="802"/>
    </row>
    <row r="194" spans="2:33" ht="15" customHeight="1">
      <c r="B194" s="802"/>
      <c r="C194" s="802"/>
      <c r="D194" s="802"/>
      <c r="E194" s="802"/>
      <c r="F194" s="802"/>
      <c r="G194" s="802"/>
      <c r="H194" s="802"/>
      <c r="I194" s="802"/>
      <c r="J194" s="802"/>
      <c r="K194" s="802"/>
      <c r="L194" s="802"/>
      <c r="M194" s="802"/>
      <c r="N194" s="802"/>
      <c r="O194" s="802"/>
      <c r="P194" s="802"/>
      <c r="Q194" s="802"/>
      <c r="R194" s="802"/>
      <c r="S194" s="802"/>
      <c r="T194" s="802"/>
      <c r="U194" s="802"/>
      <c r="V194" s="802"/>
      <c r="W194" s="802"/>
      <c r="X194" s="802"/>
      <c r="Y194" s="802"/>
      <c r="Z194" s="802"/>
      <c r="AA194" s="802"/>
      <c r="AB194" s="802"/>
      <c r="AC194" s="802"/>
      <c r="AD194" s="802"/>
      <c r="AE194" s="802"/>
      <c r="AF194" s="802"/>
      <c r="AG194" s="802"/>
    </row>
    <row r="195" spans="2:33" ht="15" customHeight="1">
      <c r="B195" s="802"/>
      <c r="C195" s="802"/>
      <c r="D195" s="802"/>
      <c r="E195" s="802"/>
      <c r="F195" s="802"/>
      <c r="G195" s="802"/>
      <c r="H195" s="802"/>
      <c r="I195" s="802"/>
      <c r="J195" s="802"/>
      <c r="K195" s="802"/>
      <c r="L195" s="802"/>
      <c r="M195" s="802"/>
      <c r="N195" s="802"/>
      <c r="O195" s="802"/>
      <c r="P195" s="802"/>
      <c r="Q195" s="802"/>
      <c r="R195" s="802"/>
      <c r="S195" s="802"/>
      <c r="T195" s="802"/>
      <c r="U195" s="802"/>
      <c r="V195" s="802"/>
      <c r="W195" s="802"/>
      <c r="X195" s="802"/>
      <c r="Y195" s="802"/>
      <c r="Z195" s="802"/>
      <c r="AA195" s="802"/>
      <c r="AB195" s="802"/>
      <c r="AC195" s="802"/>
      <c r="AD195" s="802"/>
      <c r="AE195" s="802"/>
      <c r="AF195" s="802"/>
      <c r="AG195" s="802"/>
    </row>
    <row r="196" spans="2:33" ht="15" customHeight="1">
      <c r="B196" s="802"/>
      <c r="C196" s="802"/>
      <c r="D196" s="802"/>
      <c r="E196" s="802"/>
      <c r="F196" s="802"/>
      <c r="G196" s="802"/>
      <c r="H196" s="802"/>
      <c r="I196" s="802"/>
      <c r="J196" s="802"/>
      <c r="K196" s="802"/>
      <c r="L196" s="802"/>
      <c r="M196" s="802"/>
      <c r="N196" s="802"/>
      <c r="O196" s="802"/>
      <c r="P196" s="802"/>
      <c r="Q196" s="802"/>
      <c r="R196" s="802"/>
      <c r="S196" s="802"/>
      <c r="T196" s="802"/>
      <c r="U196" s="802"/>
      <c r="V196" s="802"/>
      <c r="W196" s="802"/>
      <c r="X196" s="802"/>
      <c r="Y196" s="802"/>
      <c r="Z196" s="802"/>
      <c r="AA196" s="802"/>
      <c r="AB196" s="802"/>
      <c r="AC196" s="802"/>
      <c r="AD196" s="802"/>
      <c r="AE196" s="802"/>
      <c r="AF196" s="802"/>
      <c r="AG196" s="802"/>
    </row>
    <row r="197" spans="2:33" ht="15" customHeight="1">
      <c r="B197" s="802"/>
      <c r="C197" s="802"/>
      <c r="D197" s="802"/>
      <c r="E197" s="802"/>
      <c r="F197" s="802"/>
      <c r="G197" s="802"/>
      <c r="H197" s="802"/>
      <c r="I197" s="802"/>
      <c r="J197" s="802"/>
      <c r="K197" s="802"/>
      <c r="L197" s="802"/>
      <c r="M197" s="802"/>
      <c r="N197" s="802"/>
      <c r="O197" s="802"/>
      <c r="P197" s="802"/>
      <c r="Q197" s="802"/>
      <c r="R197" s="802"/>
      <c r="S197" s="802"/>
      <c r="T197" s="802"/>
      <c r="U197" s="802"/>
      <c r="V197" s="802"/>
      <c r="W197" s="802"/>
      <c r="X197" s="802"/>
      <c r="Y197" s="802"/>
      <c r="Z197" s="802"/>
      <c r="AA197" s="802"/>
      <c r="AB197" s="802"/>
      <c r="AC197" s="802"/>
      <c r="AD197" s="802"/>
      <c r="AE197" s="802"/>
      <c r="AF197" s="802"/>
      <c r="AG197" s="802"/>
    </row>
    <row r="198" spans="2:33" ht="15" customHeight="1">
      <c r="B198" s="802"/>
      <c r="C198" s="802"/>
      <c r="D198" s="802"/>
      <c r="E198" s="802"/>
      <c r="F198" s="802"/>
      <c r="G198" s="802"/>
      <c r="H198" s="802"/>
      <c r="I198" s="802"/>
      <c r="J198" s="802"/>
      <c r="K198" s="802"/>
      <c r="L198" s="802"/>
      <c r="M198" s="802"/>
      <c r="N198" s="802"/>
      <c r="O198" s="802"/>
      <c r="P198" s="802"/>
      <c r="Q198" s="802"/>
      <c r="R198" s="802"/>
      <c r="S198" s="802"/>
      <c r="T198" s="802"/>
      <c r="U198" s="802"/>
      <c r="V198" s="802"/>
      <c r="W198" s="802"/>
      <c r="X198" s="802"/>
      <c r="Y198" s="802"/>
      <c r="Z198" s="802"/>
      <c r="AA198" s="802"/>
      <c r="AB198" s="802"/>
      <c r="AC198" s="802"/>
      <c r="AD198" s="802"/>
      <c r="AE198" s="802"/>
      <c r="AF198" s="802"/>
      <c r="AG198" s="802"/>
    </row>
    <row r="199" spans="2:33" ht="15" customHeight="1">
      <c r="B199" s="802"/>
      <c r="C199" s="802"/>
      <c r="D199" s="802"/>
      <c r="E199" s="802"/>
      <c r="F199" s="802"/>
      <c r="G199" s="802"/>
      <c r="H199" s="802"/>
      <c r="I199" s="802"/>
      <c r="J199" s="802"/>
      <c r="K199" s="802"/>
      <c r="L199" s="802"/>
      <c r="M199" s="802"/>
      <c r="N199" s="802"/>
      <c r="O199" s="802"/>
      <c r="P199" s="802"/>
      <c r="Q199" s="802"/>
      <c r="R199" s="802"/>
      <c r="S199" s="802"/>
      <c r="T199" s="802"/>
      <c r="U199" s="802"/>
      <c r="V199" s="802"/>
      <c r="W199" s="802"/>
      <c r="X199" s="802"/>
      <c r="Y199" s="802"/>
      <c r="Z199" s="802"/>
      <c r="AA199" s="802"/>
      <c r="AB199" s="802"/>
      <c r="AC199" s="802"/>
      <c r="AD199" s="802"/>
      <c r="AE199" s="802"/>
      <c r="AF199" s="802"/>
      <c r="AG199" s="802"/>
    </row>
    <row r="200" spans="2:33" ht="15" customHeight="1">
      <c r="B200" s="802"/>
      <c r="C200" s="802"/>
      <c r="D200" s="802"/>
      <c r="E200" s="802"/>
      <c r="F200" s="802"/>
      <c r="G200" s="802"/>
      <c r="H200" s="802"/>
      <c r="I200" s="802"/>
      <c r="J200" s="802"/>
      <c r="K200" s="802"/>
      <c r="L200" s="802"/>
      <c r="M200" s="802"/>
      <c r="N200" s="802"/>
      <c r="O200" s="802"/>
      <c r="P200" s="802"/>
      <c r="Q200" s="802"/>
      <c r="R200" s="802"/>
      <c r="S200" s="802"/>
      <c r="T200" s="802"/>
      <c r="U200" s="802"/>
      <c r="V200" s="802"/>
      <c r="W200" s="802"/>
      <c r="X200" s="802"/>
      <c r="Y200" s="802"/>
      <c r="Z200" s="802"/>
      <c r="AA200" s="802"/>
      <c r="AB200" s="802"/>
      <c r="AC200" s="802"/>
      <c r="AD200" s="802"/>
      <c r="AE200" s="802"/>
      <c r="AF200" s="802"/>
      <c r="AG200" s="802"/>
    </row>
    <row r="201" spans="2:33" ht="15" customHeight="1">
      <c r="B201" s="802"/>
      <c r="C201" s="802"/>
      <c r="D201" s="802"/>
      <c r="E201" s="802"/>
      <c r="F201" s="802"/>
      <c r="G201" s="802"/>
      <c r="H201" s="802"/>
      <c r="I201" s="802"/>
      <c r="J201" s="802"/>
      <c r="K201" s="802"/>
      <c r="L201" s="802"/>
      <c r="M201" s="802"/>
      <c r="N201" s="802"/>
      <c r="O201" s="802"/>
      <c r="P201" s="802"/>
      <c r="Q201" s="802"/>
      <c r="R201" s="802"/>
      <c r="S201" s="802"/>
      <c r="T201" s="802"/>
      <c r="U201" s="802"/>
      <c r="V201" s="802"/>
      <c r="W201" s="802"/>
      <c r="X201" s="802"/>
      <c r="Y201" s="802"/>
      <c r="Z201" s="802"/>
      <c r="AA201" s="802"/>
      <c r="AB201" s="802"/>
      <c r="AC201" s="802"/>
      <c r="AD201" s="802"/>
      <c r="AE201" s="802"/>
      <c r="AF201" s="802"/>
      <c r="AG201" s="802"/>
    </row>
    <row r="202" spans="2:33" ht="15" customHeight="1">
      <c r="B202" s="802"/>
      <c r="C202" s="802"/>
      <c r="D202" s="802"/>
      <c r="E202" s="802"/>
      <c r="F202" s="802"/>
      <c r="G202" s="802"/>
      <c r="H202" s="802"/>
      <c r="I202" s="802"/>
      <c r="J202" s="802"/>
      <c r="K202" s="802"/>
      <c r="L202" s="802"/>
      <c r="M202" s="802"/>
      <c r="N202" s="802"/>
      <c r="O202" s="802"/>
      <c r="P202" s="802"/>
      <c r="Q202" s="802"/>
      <c r="R202" s="802"/>
      <c r="S202" s="802"/>
      <c r="T202" s="802"/>
      <c r="U202" s="802"/>
      <c r="V202" s="802"/>
      <c r="W202" s="802"/>
      <c r="X202" s="802"/>
      <c r="Y202" s="802"/>
      <c r="Z202" s="802"/>
      <c r="AA202" s="802"/>
      <c r="AB202" s="802"/>
      <c r="AC202" s="802"/>
      <c r="AD202" s="802"/>
      <c r="AE202" s="802"/>
      <c r="AF202" s="802"/>
      <c r="AG202" s="802"/>
    </row>
    <row r="203" spans="2:33" ht="15" customHeight="1">
      <c r="B203" s="802"/>
      <c r="C203" s="802"/>
      <c r="D203" s="802"/>
      <c r="E203" s="802"/>
      <c r="F203" s="802"/>
      <c r="G203" s="802"/>
      <c r="H203" s="802"/>
      <c r="I203" s="802"/>
      <c r="J203" s="802"/>
      <c r="K203" s="802"/>
      <c r="L203" s="802"/>
      <c r="M203" s="802"/>
      <c r="N203" s="802"/>
      <c r="O203" s="802"/>
      <c r="P203" s="802"/>
      <c r="Q203" s="802"/>
      <c r="R203" s="802"/>
      <c r="S203" s="802"/>
      <c r="T203" s="802"/>
      <c r="U203" s="802"/>
      <c r="V203" s="802"/>
      <c r="W203" s="802"/>
      <c r="X203" s="802"/>
      <c r="Y203" s="802"/>
      <c r="Z203" s="802"/>
      <c r="AA203" s="802"/>
      <c r="AB203" s="802"/>
      <c r="AC203" s="802"/>
      <c r="AD203" s="802"/>
      <c r="AE203" s="802"/>
      <c r="AF203" s="802"/>
      <c r="AG203" s="802"/>
    </row>
    <row r="204" spans="2:33" ht="12" customHeight="1">
      <c r="B204" s="802"/>
      <c r="C204" s="802"/>
      <c r="D204" s="802"/>
      <c r="E204" s="802"/>
      <c r="F204" s="802"/>
      <c r="G204" s="802"/>
      <c r="H204" s="802"/>
      <c r="I204" s="802"/>
      <c r="J204" s="802"/>
      <c r="K204" s="802"/>
      <c r="L204" s="802"/>
      <c r="M204" s="802"/>
      <c r="N204" s="802"/>
      <c r="O204" s="802"/>
      <c r="P204" s="802"/>
      <c r="Q204" s="802"/>
      <c r="R204" s="802"/>
      <c r="S204" s="802"/>
      <c r="T204" s="802"/>
      <c r="U204" s="802"/>
      <c r="V204" s="802"/>
      <c r="W204" s="802"/>
      <c r="X204" s="802"/>
      <c r="Y204" s="802"/>
      <c r="Z204" s="802"/>
      <c r="AA204" s="802"/>
      <c r="AB204" s="802"/>
      <c r="AC204" s="802"/>
      <c r="AD204" s="802"/>
      <c r="AE204" s="802"/>
      <c r="AF204" s="802"/>
      <c r="AG204" s="802"/>
    </row>
    <row r="205" spans="2:33" ht="12" customHeight="1">
      <c r="B205" s="802"/>
      <c r="C205" s="802"/>
      <c r="D205" s="802"/>
      <c r="E205" s="802"/>
      <c r="F205" s="802"/>
      <c r="G205" s="802"/>
      <c r="H205" s="802"/>
      <c r="I205" s="802"/>
      <c r="J205" s="802"/>
      <c r="K205" s="802"/>
      <c r="L205" s="802"/>
      <c r="M205" s="802"/>
      <c r="N205" s="802"/>
      <c r="O205" s="802"/>
      <c r="P205" s="802"/>
      <c r="Q205" s="802"/>
      <c r="R205" s="802"/>
      <c r="S205" s="802"/>
      <c r="T205" s="802"/>
      <c r="U205" s="802"/>
      <c r="V205" s="802"/>
      <c r="W205" s="802"/>
      <c r="X205" s="802"/>
      <c r="Y205" s="802"/>
      <c r="Z205" s="802"/>
      <c r="AA205" s="802"/>
      <c r="AB205" s="802"/>
      <c r="AC205" s="802"/>
      <c r="AD205" s="802"/>
      <c r="AE205" s="802"/>
      <c r="AF205" s="802"/>
      <c r="AG205" s="802"/>
    </row>
    <row r="206" spans="2:33" ht="15" customHeight="1">
      <c r="B206" s="802"/>
      <c r="C206" s="802"/>
      <c r="D206" s="802"/>
      <c r="E206" s="802"/>
      <c r="F206" s="802"/>
      <c r="G206" s="802"/>
      <c r="H206" s="802"/>
      <c r="I206" s="802"/>
      <c r="J206" s="802"/>
      <c r="K206" s="802"/>
      <c r="L206" s="802"/>
      <c r="M206" s="802"/>
      <c r="N206" s="802"/>
      <c r="O206" s="802"/>
      <c r="P206" s="802"/>
      <c r="Q206" s="802"/>
      <c r="R206" s="802"/>
      <c r="S206" s="802"/>
      <c r="T206" s="802"/>
      <c r="U206" s="802"/>
      <c r="V206" s="802"/>
      <c r="W206" s="802"/>
      <c r="X206" s="802"/>
      <c r="Y206" s="802"/>
      <c r="Z206" s="802"/>
      <c r="AA206" s="802"/>
      <c r="AB206" s="802"/>
      <c r="AC206" s="802"/>
      <c r="AD206" s="802"/>
      <c r="AE206" s="802"/>
      <c r="AF206" s="802"/>
      <c r="AG206" s="802"/>
    </row>
    <row r="207" spans="2:33" ht="15" customHeight="1">
      <c r="B207" s="802"/>
      <c r="C207" s="802"/>
      <c r="D207" s="802"/>
      <c r="E207" s="802"/>
      <c r="F207" s="802"/>
      <c r="G207" s="802"/>
      <c r="H207" s="802"/>
      <c r="I207" s="802"/>
      <c r="J207" s="802"/>
      <c r="K207" s="802"/>
      <c r="L207" s="802"/>
      <c r="M207" s="802"/>
      <c r="N207" s="802"/>
      <c r="O207" s="802"/>
      <c r="P207" s="802"/>
      <c r="Q207" s="802"/>
      <c r="R207" s="802"/>
      <c r="S207" s="802"/>
      <c r="T207" s="802"/>
      <c r="U207" s="802"/>
      <c r="V207" s="802"/>
      <c r="W207" s="802"/>
      <c r="X207" s="802"/>
      <c r="Y207" s="802"/>
      <c r="Z207" s="802"/>
      <c r="AA207" s="802"/>
      <c r="AB207" s="802"/>
      <c r="AC207" s="802"/>
      <c r="AD207" s="802"/>
      <c r="AE207" s="802"/>
      <c r="AF207" s="802"/>
      <c r="AG207" s="802"/>
    </row>
    <row r="208" spans="2:33" ht="15" customHeight="1">
      <c r="B208" s="802"/>
      <c r="C208" s="802"/>
      <c r="D208" s="802"/>
      <c r="E208" s="802"/>
      <c r="F208" s="802"/>
      <c r="G208" s="802"/>
      <c r="H208" s="802"/>
      <c r="I208" s="802"/>
      <c r="J208" s="802"/>
      <c r="K208" s="802"/>
      <c r="L208" s="802"/>
      <c r="M208" s="802"/>
      <c r="N208" s="802"/>
      <c r="O208" s="802"/>
      <c r="P208" s="802"/>
      <c r="Q208" s="802"/>
      <c r="R208" s="802"/>
      <c r="S208" s="802"/>
      <c r="T208" s="802"/>
      <c r="U208" s="802"/>
      <c r="V208" s="802"/>
      <c r="W208" s="802"/>
      <c r="X208" s="802"/>
      <c r="Y208" s="802"/>
      <c r="Z208" s="802"/>
      <c r="AA208" s="802"/>
      <c r="AB208" s="802"/>
      <c r="AC208" s="802"/>
      <c r="AD208" s="802"/>
      <c r="AE208" s="802"/>
      <c r="AF208" s="802"/>
      <c r="AG208" s="802"/>
    </row>
    <row r="209" spans="2:33" ht="15" customHeight="1">
      <c r="B209" s="802"/>
      <c r="C209" s="802"/>
      <c r="D209" s="802"/>
      <c r="E209" s="802"/>
      <c r="F209" s="802"/>
      <c r="G209" s="802"/>
      <c r="H209" s="802"/>
      <c r="I209" s="802"/>
      <c r="J209" s="802"/>
      <c r="K209" s="802"/>
      <c r="L209" s="802"/>
      <c r="M209" s="802"/>
      <c r="N209" s="802"/>
      <c r="O209" s="802"/>
      <c r="P209" s="802"/>
      <c r="Q209" s="802"/>
      <c r="R209" s="802"/>
      <c r="S209" s="802"/>
      <c r="T209" s="802"/>
      <c r="U209" s="802"/>
      <c r="V209" s="802"/>
      <c r="W209" s="802"/>
      <c r="X209" s="802"/>
      <c r="Y209" s="802"/>
      <c r="Z209" s="802"/>
      <c r="AA209" s="802"/>
      <c r="AB209" s="802"/>
      <c r="AC209" s="802"/>
      <c r="AD209" s="802"/>
      <c r="AE209" s="802"/>
      <c r="AF209" s="802"/>
      <c r="AG209" s="802"/>
    </row>
    <row r="223" spans="2:33" ht="12" customHeight="1"/>
    <row r="226" ht="12" customHeight="1"/>
    <row r="256" ht="12" customHeight="1"/>
    <row r="257" ht="12" customHeight="1"/>
    <row r="269" ht="12" customHeight="1"/>
    <row r="299" ht="12" customHeight="1"/>
    <row r="308" spans="2:32" ht="15" customHeight="1">
      <c r="B308" s="1260"/>
      <c r="C308" s="1260"/>
      <c r="D308" s="1260"/>
      <c r="E308" s="1260"/>
      <c r="F308" s="1260"/>
      <c r="G308" s="1260"/>
      <c r="H308" s="1260"/>
      <c r="I308" s="1260"/>
      <c r="J308" s="1260"/>
      <c r="K308" s="1260"/>
      <c r="L308" s="1260"/>
      <c r="M308" s="1260"/>
      <c r="N308" s="1260"/>
      <c r="O308" s="1260"/>
      <c r="P308" s="1260"/>
      <c r="Q308" s="1260"/>
      <c r="R308" s="1260"/>
      <c r="S308" s="1260"/>
      <c r="T308" s="1260"/>
      <c r="U308" s="1260"/>
      <c r="V308" s="1260"/>
      <c r="W308" s="1260"/>
      <c r="X308" s="1260"/>
      <c r="Y308" s="1260"/>
      <c r="Z308" s="1260"/>
      <c r="AA308" s="1260"/>
      <c r="AB308" s="1260"/>
      <c r="AC308" s="1260"/>
      <c r="AD308" s="1260"/>
      <c r="AE308" s="1260"/>
      <c r="AF308" s="126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1260"/>
      <c r="C511" s="1260"/>
      <c r="D511" s="1260"/>
      <c r="E511" s="1260"/>
      <c r="F511" s="1260"/>
      <c r="G511" s="1260"/>
      <c r="H511" s="1260"/>
      <c r="I511" s="1260"/>
      <c r="J511" s="1260"/>
      <c r="K511" s="1260"/>
      <c r="L511" s="1260"/>
      <c r="M511" s="1260"/>
      <c r="N511" s="1260"/>
      <c r="O511" s="1260"/>
      <c r="P511" s="1260"/>
      <c r="Q511" s="1260"/>
      <c r="R511" s="1260"/>
      <c r="S511" s="1260"/>
      <c r="T511" s="1260"/>
      <c r="U511" s="1260"/>
      <c r="V511" s="1260"/>
      <c r="W511" s="1260"/>
      <c r="X511" s="1260"/>
      <c r="Y511" s="1260"/>
      <c r="Z511" s="1260"/>
      <c r="AA511" s="1260"/>
      <c r="AB511" s="1260"/>
      <c r="AC511" s="1260"/>
      <c r="AD511" s="1260"/>
      <c r="AE511" s="1260"/>
      <c r="AF511" s="126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1260"/>
      <c r="C712" s="1260"/>
      <c r="D712" s="1260"/>
      <c r="E712" s="1260"/>
      <c r="F712" s="1260"/>
      <c r="G712" s="1260"/>
      <c r="H712" s="1260"/>
      <c r="I712" s="1260"/>
      <c r="J712" s="1260"/>
      <c r="K712" s="1260"/>
      <c r="L712" s="1260"/>
      <c r="M712" s="1260"/>
      <c r="N712" s="1260"/>
      <c r="O712" s="1260"/>
      <c r="P712" s="1260"/>
      <c r="Q712" s="1260"/>
      <c r="R712" s="1260"/>
      <c r="S712" s="1260"/>
      <c r="T712" s="1260"/>
      <c r="U712" s="1260"/>
      <c r="V712" s="1260"/>
      <c r="W712" s="1260"/>
      <c r="X712" s="1260"/>
      <c r="Y712" s="1260"/>
      <c r="Z712" s="1260"/>
      <c r="AA712" s="1260"/>
      <c r="AB712" s="1260"/>
      <c r="AC712" s="1260"/>
      <c r="AD712" s="1260"/>
      <c r="AE712" s="1260"/>
      <c r="AF712" s="126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1260"/>
      <c r="C887" s="1260"/>
      <c r="D887" s="1260"/>
      <c r="E887" s="1260"/>
      <c r="F887" s="1260"/>
      <c r="G887" s="1260"/>
      <c r="H887" s="1260"/>
      <c r="I887" s="1260"/>
      <c r="J887" s="1260"/>
      <c r="K887" s="1260"/>
      <c r="L887" s="1260"/>
      <c r="M887" s="1260"/>
      <c r="N887" s="1260"/>
      <c r="O887" s="1260"/>
      <c r="P887" s="1260"/>
      <c r="Q887" s="1260"/>
      <c r="R887" s="1260"/>
      <c r="S887" s="1260"/>
      <c r="T887" s="1260"/>
      <c r="U887" s="1260"/>
      <c r="V887" s="1260"/>
      <c r="W887" s="1260"/>
      <c r="X887" s="1260"/>
      <c r="Y887" s="1260"/>
      <c r="Z887" s="1260"/>
      <c r="AA887" s="1260"/>
      <c r="AB887" s="1260"/>
      <c r="AC887" s="1260"/>
      <c r="AD887" s="1260"/>
      <c r="AE887" s="1260"/>
      <c r="AF887" s="126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1260"/>
      <c r="C1101" s="1260"/>
      <c r="D1101" s="1260"/>
      <c r="E1101" s="1260"/>
      <c r="F1101" s="1260"/>
      <c r="G1101" s="1260"/>
      <c r="H1101" s="1260"/>
      <c r="I1101" s="1260"/>
      <c r="J1101" s="1260"/>
      <c r="K1101" s="1260"/>
      <c r="L1101" s="1260"/>
      <c r="M1101" s="1260"/>
      <c r="N1101" s="1260"/>
      <c r="O1101" s="1260"/>
      <c r="P1101" s="1260"/>
      <c r="Q1101" s="1260"/>
      <c r="R1101" s="1260"/>
      <c r="S1101" s="1260"/>
      <c r="T1101" s="1260"/>
      <c r="U1101" s="1260"/>
      <c r="V1101" s="1260"/>
      <c r="W1101" s="1260"/>
      <c r="X1101" s="1260"/>
      <c r="Y1101" s="1260"/>
      <c r="Z1101" s="1260"/>
      <c r="AA1101" s="1260"/>
      <c r="AB1101" s="1260"/>
      <c r="AC1101" s="1260"/>
      <c r="AD1101" s="1260"/>
      <c r="AE1101" s="1260"/>
      <c r="AF1101" s="126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1260"/>
      <c r="C1229" s="1260"/>
      <c r="D1229" s="1260"/>
      <c r="E1229" s="1260"/>
      <c r="F1229" s="1260"/>
      <c r="G1229" s="1260"/>
      <c r="H1229" s="1260"/>
      <c r="I1229" s="1260"/>
      <c r="J1229" s="1260"/>
      <c r="K1229" s="1260"/>
      <c r="L1229" s="1260"/>
      <c r="M1229" s="1260"/>
      <c r="N1229" s="1260"/>
      <c r="O1229" s="1260"/>
      <c r="P1229" s="1260"/>
      <c r="Q1229" s="1260"/>
      <c r="R1229" s="1260"/>
      <c r="S1229" s="1260"/>
      <c r="T1229" s="1260"/>
      <c r="U1229" s="1260"/>
      <c r="V1229" s="1260"/>
      <c r="W1229" s="1260"/>
      <c r="X1229" s="1260"/>
      <c r="Y1229" s="1260"/>
      <c r="Z1229" s="1260"/>
      <c r="AA1229" s="1260"/>
      <c r="AB1229" s="1260"/>
      <c r="AC1229" s="1260"/>
      <c r="AD1229" s="1260"/>
      <c r="AE1229" s="1260"/>
      <c r="AF1229" s="126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1260"/>
      <c r="C1390" s="1260"/>
      <c r="D1390" s="1260"/>
      <c r="E1390" s="1260"/>
      <c r="F1390" s="1260"/>
      <c r="G1390" s="1260"/>
      <c r="H1390" s="1260"/>
      <c r="I1390" s="1260"/>
      <c r="J1390" s="1260"/>
      <c r="K1390" s="1260"/>
      <c r="L1390" s="1260"/>
      <c r="M1390" s="1260"/>
      <c r="N1390" s="1260"/>
      <c r="O1390" s="1260"/>
      <c r="P1390" s="1260"/>
      <c r="Q1390" s="1260"/>
      <c r="R1390" s="1260"/>
      <c r="S1390" s="1260"/>
      <c r="T1390" s="1260"/>
      <c r="U1390" s="1260"/>
      <c r="V1390" s="1260"/>
      <c r="W1390" s="1260"/>
      <c r="X1390" s="1260"/>
      <c r="Y1390" s="1260"/>
      <c r="Z1390" s="1260"/>
      <c r="AA1390" s="1260"/>
      <c r="AB1390" s="1260"/>
      <c r="AC1390" s="1260"/>
      <c r="AD1390" s="1260"/>
      <c r="AE1390" s="1260"/>
      <c r="AF1390" s="126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1260"/>
      <c r="C1502" s="1260"/>
      <c r="D1502" s="1260"/>
      <c r="E1502" s="1260"/>
      <c r="F1502" s="1260"/>
      <c r="G1502" s="1260"/>
      <c r="H1502" s="1260"/>
      <c r="I1502" s="1260"/>
      <c r="J1502" s="1260"/>
      <c r="K1502" s="1260"/>
      <c r="L1502" s="1260"/>
      <c r="M1502" s="1260"/>
      <c r="N1502" s="1260"/>
      <c r="O1502" s="1260"/>
      <c r="P1502" s="1260"/>
      <c r="Q1502" s="1260"/>
      <c r="R1502" s="1260"/>
      <c r="S1502" s="1260"/>
      <c r="T1502" s="1260"/>
      <c r="U1502" s="1260"/>
      <c r="V1502" s="1260"/>
      <c r="W1502" s="1260"/>
      <c r="X1502" s="1260"/>
      <c r="Y1502" s="1260"/>
      <c r="Z1502" s="1260"/>
      <c r="AA1502" s="1260"/>
      <c r="AB1502" s="1260"/>
      <c r="AC1502" s="1260"/>
      <c r="AD1502" s="1260"/>
      <c r="AE1502" s="1260"/>
      <c r="AF1502" s="126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1260"/>
      <c r="C1604" s="1260"/>
      <c r="D1604" s="1260"/>
      <c r="E1604" s="1260"/>
      <c r="F1604" s="1260"/>
      <c r="G1604" s="1260"/>
      <c r="H1604" s="1260"/>
      <c r="I1604" s="1260"/>
      <c r="J1604" s="1260"/>
      <c r="K1604" s="1260"/>
      <c r="L1604" s="1260"/>
      <c r="M1604" s="1260"/>
      <c r="N1604" s="1260"/>
      <c r="O1604" s="1260"/>
      <c r="P1604" s="1260"/>
      <c r="Q1604" s="1260"/>
      <c r="R1604" s="1260"/>
      <c r="S1604" s="1260"/>
      <c r="T1604" s="1260"/>
      <c r="U1604" s="1260"/>
      <c r="V1604" s="1260"/>
      <c r="W1604" s="1260"/>
      <c r="X1604" s="1260"/>
      <c r="Y1604" s="1260"/>
      <c r="Z1604" s="1260"/>
      <c r="AA1604" s="1260"/>
      <c r="AB1604" s="1260"/>
      <c r="AC1604" s="1260"/>
      <c r="AD1604" s="1260"/>
      <c r="AE1604" s="1260"/>
      <c r="AF1604" s="126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1260"/>
      <c r="C1699" s="1260"/>
      <c r="D1699" s="1260"/>
      <c r="E1699" s="1260"/>
      <c r="F1699" s="1260"/>
      <c r="G1699" s="1260"/>
      <c r="H1699" s="1260"/>
      <c r="I1699" s="1260"/>
      <c r="J1699" s="1260"/>
      <c r="K1699" s="1260"/>
      <c r="L1699" s="1260"/>
      <c r="M1699" s="1260"/>
      <c r="N1699" s="1260"/>
      <c r="O1699" s="1260"/>
      <c r="P1699" s="1260"/>
      <c r="Q1699" s="1260"/>
      <c r="R1699" s="1260"/>
      <c r="S1699" s="1260"/>
      <c r="T1699" s="1260"/>
      <c r="U1699" s="1260"/>
      <c r="V1699" s="1260"/>
      <c r="W1699" s="1260"/>
      <c r="X1699" s="1260"/>
      <c r="Y1699" s="1260"/>
      <c r="Z1699" s="1260"/>
      <c r="AA1699" s="1260"/>
      <c r="AB1699" s="1260"/>
      <c r="AC1699" s="1260"/>
      <c r="AD1699" s="1260"/>
      <c r="AE1699" s="1260"/>
      <c r="AF1699" s="126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1260"/>
      <c r="C1945" s="1260"/>
      <c r="D1945" s="1260"/>
      <c r="E1945" s="1260"/>
      <c r="F1945" s="1260"/>
      <c r="G1945" s="1260"/>
      <c r="H1945" s="1260"/>
      <c r="I1945" s="1260"/>
      <c r="J1945" s="1260"/>
      <c r="K1945" s="1260"/>
      <c r="L1945" s="1260"/>
      <c r="M1945" s="1260"/>
      <c r="N1945" s="1260"/>
      <c r="O1945" s="1260"/>
      <c r="P1945" s="1260"/>
      <c r="Q1945" s="1260"/>
      <c r="R1945" s="1260"/>
      <c r="S1945" s="1260"/>
      <c r="T1945" s="1260"/>
      <c r="U1945" s="1260"/>
      <c r="V1945" s="1260"/>
      <c r="W1945" s="1260"/>
      <c r="X1945" s="1260"/>
      <c r="Y1945" s="1260"/>
      <c r="Z1945" s="1260"/>
      <c r="AA1945" s="1260"/>
      <c r="AB1945" s="1260"/>
      <c r="AC1945" s="1260"/>
      <c r="AD1945" s="1260"/>
      <c r="AE1945" s="1260"/>
      <c r="AF1945" s="126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1260"/>
      <c r="C2031" s="1260"/>
      <c r="D2031" s="1260"/>
      <c r="E2031" s="1260"/>
      <c r="F2031" s="1260"/>
      <c r="G2031" s="1260"/>
      <c r="H2031" s="1260"/>
      <c r="I2031" s="1260"/>
      <c r="J2031" s="1260"/>
      <c r="K2031" s="1260"/>
      <c r="L2031" s="1260"/>
      <c r="M2031" s="1260"/>
      <c r="N2031" s="1260"/>
      <c r="O2031" s="1260"/>
      <c r="P2031" s="1260"/>
      <c r="Q2031" s="1260"/>
      <c r="R2031" s="1260"/>
      <c r="S2031" s="1260"/>
      <c r="T2031" s="1260"/>
      <c r="U2031" s="1260"/>
      <c r="V2031" s="1260"/>
      <c r="W2031" s="1260"/>
      <c r="X2031" s="1260"/>
      <c r="Y2031" s="1260"/>
      <c r="Z2031" s="1260"/>
      <c r="AA2031" s="1260"/>
      <c r="AB2031" s="1260"/>
      <c r="AC2031" s="1260"/>
      <c r="AD2031" s="1260"/>
      <c r="AE2031" s="1260"/>
      <c r="AF2031" s="126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1260"/>
      <c r="C2153" s="1260"/>
      <c r="D2153" s="1260"/>
      <c r="E2153" s="1260"/>
      <c r="F2153" s="1260"/>
      <c r="G2153" s="1260"/>
      <c r="H2153" s="1260"/>
      <c r="I2153" s="1260"/>
      <c r="J2153" s="1260"/>
      <c r="K2153" s="1260"/>
      <c r="L2153" s="1260"/>
      <c r="M2153" s="1260"/>
      <c r="N2153" s="1260"/>
      <c r="O2153" s="1260"/>
      <c r="P2153" s="1260"/>
      <c r="Q2153" s="1260"/>
      <c r="R2153" s="1260"/>
      <c r="S2153" s="1260"/>
      <c r="T2153" s="1260"/>
      <c r="U2153" s="1260"/>
      <c r="V2153" s="1260"/>
      <c r="W2153" s="1260"/>
      <c r="X2153" s="1260"/>
      <c r="Y2153" s="1260"/>
      <c r="Z2153" s="1260"/>
      <c r="AA2153" s="1260"/>
      <c r="AB2153" s="1260"/>
      <c r="AC2153" s="1260"/>
      <c r="AD2153" s="1260"/>
      <c r="AE2153" s="1260"/>
      <c r="AF2153" s="126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1260"/>
      <c r="C2317" s="1260"/>
      <c r="D2317" s="1260"/>
      <c r="E2317" s="1260"/>
      <c r="F2317" s="1260"/>
      <c r="G2317" s="1260"/>
      <c r="H2317" s="1260"/>
      <c r="I2317" s="1260"/>
      <c r="J2317" s="1260"/>
      <c r="K2317" s="1260"/>
      <c r="L2317" s="1260"/>
      <c r="M2317" s="1260"/>
      <c r="N2317" s="1260"/>
      <c r="O2317" s="1260"/>
      <c r="P2317" s="1260"/>
      <c r="Q2317" s="1260"/>
      <c r="R2317" s="1260"/>
      <c r="S2317" s="1260"/>
      <c r="T2317" s="1260"/>
      <c r="U2317" s="1260"/>
      <c r="V2317" s="1260"/>
      <c r="W2317" s="1260"/>
      <c r="X2317" s="1260"/>
      <c r="Y2317" s="1260"/>
      <c r="Z2317" s="1260"/>
      <c r="AA2317" s="1260"/>
      <c r="AB2317" s="1260"/>
      <c r="AC2317" s="1260"/>
      <c r="AD2317" s="1260"/>
      <c r="AE2317" s="1260"/>
      <c r="AF2317" s="126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1260"/>
      <c r="C2419" s="1260"/>
      <c r="D2419" s="1260"/>
      <c r="E2419" s="1260"/>
      <c r="F2419" s="1260"/>
      <c r="G2419" s="1260"/>
      <c r="H2419" s="1260"/>
      <c r="I2419" s="1260"/>
      <c r="J2419" s="1260"/>
      <c r="K2419" s="1260"/>
      <c r="L2419" s="1260"/>
      <c r="M2419" s="1260"/>
      <c r="N2419" s="1260"/>
      <c r="O2419" s="1260"/>
      <c r="P2419" s="1260"/>
      <c r="Q2419" s="1260"/>
      <c r="R2419" s="1260"/>
      <c r="S2419" s="1260"/>
      <c r="T2419" s="1260"/>
      <c r="U2419" s="1260"/>
      <c r="V2419" s="1260"/>
      <c r="W2419" s="1260"/>
      <c r="X2419" s="1260"/>
      <c r="Y2419" s="1260"/>
      <c r="Z2419" s="1260"/>
      <c r="AA2419" s="1260"/>
      <c r="AB2419" s="1260"/>
      <c r="AC2419" s="1260"/>
      <c r="AD2419" s="1260"/>
      <c r="AE2419" s="1260"/>
      <c r="AF2419" s="126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1260"/>
      <c r="C2509" s="1260"/>
      <c r="D2509" s="1260"/>
      <c r="E2509" s="1260"/>
      <c r="F2509" s="1260"/>
      <c r="G2509" s="1260"/>
      <c r="H2509" s="1260"/>
      <c r="I2509" s="1260"/>
      <c r="J2509" s="1260"/>
      <c r="K2509" s="1260"/>
      <c r="L2509" s="1260"/>
      <c r="M2509" s="1260"/>
      <c r="N2509" s="1260"/>
      <c r="O2509" s="1260"/>
      <c r="P2509" s="1260"/>
      <c r="Q2509" s="1260"/>
      <c r="R2509" s="1260"/>
      <c r="S2509" s="1260"/>
      <c r="T2509" s="1260"/>
      <c r="U2509" s="1260"/>
      <c r="V2509" s="1260"/>
      <c r="W2509" s="1260"/>
      <c r="X2509" s="1260"/>
      <c r="Y2509" s="1260"/>
      <c r="Z2509" s="1260"/>
      <c r="AA2509" s="1260"/>
      <c r="AB2509" s="1260"/>
      <c r="AC2509" s="1260"/>
      <c r="AD2509" s="1260"/>
      <c r="AE2509" s="1260"/>
      <c r="AF2509"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1260"/>
      <c r="C2598" s="1260"/>
      <c r="D2598" s="1260"/>
      <c r="E2598" s="1260"/>
      <c r="F2598" s="1260"/>
      <c r="G2598" s="1260"/>
      <c r="H2598" s="1260"/>
      <c r="I2598" s="1260"/>
      <c r="J2598" s="1260"/>
      <c r="K2598" s="1260"/>
      <c r="L2598" s="1260"/>
      <c r="M2598" s="1260"/>
      <c r="N2598" s="1260"/>
      <c r="O2598" s="1260"/>
      <c r="P2598" s="1260"/>
      <c r="Q2598" s="1260"/>
      <c r="R2598" s="1260"/>
      <c r="S2598" s="1260"/>
      <c r="T2598" s="1260"/>
      <c r="U2598" s="1260"/>
      <c r="V2598" s="1260"/>
      <c r="W2598" s="1260"/>
      <c r="X2598" s="1260"/>
      <c r="Y2598" s="1260"/>
      <c r="Z2598" s="1260"/>
      <c r="AA2598" s="1260"/>
      <c r="AB2598" s="1260"/>
      <c r="AC2598" s="1260"/>
      <c r="AD2598" s="1260"/>
      <c r="AE2598" s="1260"/>
      <c r="AF2598" s="126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1260"/>
      <c r="C2719" s="1260"/>
      <c r="D2719" s="1260"/>
      <c r="E2719" s="1260"/>
      <c r="F2719" s="1260"/>
      <c r="G2719" s="1260"/>
      <c r="H2719" s="1260"/>
      <c r="I2719" s="1260"/>
      <c r="J2719" s="1260"/>
      <c r="K2719" s="1260"/>
      <c r="L2719" s="1260"/>
      <c r="M2719" s="1260"/>
      <c r="N2719" s="1260"/>
      <c r="O2719" s="1260"/>
      <c r="P2719" s="1260"/>
      <c r="Q2719" s="1260"/>
      <c r="R2719" s="1260"/>
      <c r="S2719" s="1260"/>
      <c r="T2719" s="1260"/>
      <c r="U2719" s="1260"/>
      <c r="V2719" s="1260"/>
      <c r="W2719" s="1260"/>
      <c r="X2719" s="1260"/>
      <c r="Y2719" s="1260"/>
      <c r="Z2719" s="1260"/>
      <c r="AA2719" s="1260"/>
      <c r="AB2719" s="1260"/>
      <c r="AC2719" s="1260"/>
      <c r="AD2719" s="1260"/>
      <c r="AE2719" s="1260"/>
      <c r="AF2719" s="126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1260"/>
      <c r="C2837" s="1260"/>
      <c r="D2837" s="1260"/>
      <c r="E2837" s="1260"/>
      <c r="F2837" s="1260"/>
      <c r="G2837" s="1260"/>
      <c r="H2837" s="1260"/>
      <c r="I2837" s="1260"/>
      <c r="J2837" s="1260"/>
      <c r="K2837" s="1260"/>
      <c r="L2837" s="1260"/>
      <c r="M2837" s="1260"/>
      <c r="N2837" s="1260"/>
      <c r="O2837" s="1260"/>
      <c r="P2837" s="1260"/>
      <c r="Q2837" s="1260"/>
      <c r="R2837" s="1260"/>
      <c r="S2837" s="1260"/>
      <c r="T2837" s="1260"/>
      <c r="U2837" s="1260"/>
      <c r="V2837" s="1260"/>
      <c r="W2837" s="1260"/>
      <c r="X2837" s="1260"/>
      <c r="Y2837" s="1260"/>
      <c r="Z2837" s="1260"/>
      <c r="AA2837" s="1260"/>
      <c r="AB2837" s="1260"/>
      <c r="AC2837" s="1260"/>
      <c r="AD2837" s="1260"/>
      <c r="AE2837" s="1260"/>
      <c r="AF2837" s="1260"/>
    </row>
  </sheetData>
  <mergeCells count="20">
    <mergeCell ref="B146:AG146"/>
    <mergeCell ref="B1945:AF1945"/>
    <mergeCell ref="B308:AF308"/>
    <mergeCell ref="B511:AF511"/>
    <mergeCell ref="B712:AF712"/>
    <mergeCell ref="B887:AF887"/>
    <mergeCell ref="B1101:AF1101"/>
    <mergeCell ref="B1229:AF1229"/>
    <mergeCell ref="B1390:AF1390"/>
    <mergeCell ref="B1502:AF1502"/>
    <mergeCell ref="B1604:AF1604"/>
    <mergeCell ref="B1699:AF1699"/>
    <mergeCell ref="B2719:AF2719"/>
    <mergeCell ref="B2837:AF2837"/>
    <mergeCell ref="B2031:AF2031"/>
    <mergeCell ref="B2153:AF2153"/>
    <mergeCell ref="B2317:AF2317"/>
    <mergeCell ref="B2419:AF2419"/>
    <mergeCell ref="B2509:AF2509"/>
    <mergeCell ref="B2598:AF2598"/>
  </mergeCells>
  <pageMargins left="0.75" right="0.75" top="1" bottom="1" header="0.5" footer="0.5"/>
  <pageSetup orientation="portrait"/>
  <headerFooter>
    <oddFooter>&amp;R_x000D_&amp;1#&amp;"Aptos"&amp;10&amp;K000000 Official Use 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8F634-3BC8-40FE-B4B6-F77F27C54C03}">
  <dimension ref="A1:AH2837"/>
  <sheetViews>
    <sheetView workbookViewId="0">
      <pane xSplit="2" ySplit="1" topLeftCell="K7" activePane="bottomRight" state="frozen"/>
      <selection pane="bottomRight" activeCell="Z48" sqref="Z48"/>
      <selection pane="bottomLeft" activeCell="A2" sqref="A2"/>
      <selection pane="topRight" activeCell="C1" sqref="C1"/>
    </sheetView>
  </sheetViews>
  <sheetFormatPr defaultColWidth="9.140625" defaultRowHeight="15" customHeight="1"/>
  <cols>
    <col min="1" max="1" width="20.85546875" style="795" hidden="1" customWidth="1"/>
    <col min="2" max="2" width="45.7109375" style="795" customWidth="1"/>
    <col min="3" max="16384" width="9.140625" style="795"/>
  </cols>
  <sheetData>
    <row r="1" spans="1:33" ht="15" customHeight="1" thickBot="1">
      <c r="B1" s="796" t="s">
        <v>4228</v>
      </c>
      <c r="C1" s="797">
        <v>2022</v>
      </c>
      <c r="D1" s="797">
        <v>2023</v>
      </c>
      <c r="E1" s="797">
        <v>2024</v>
      </c>
      <c r="F1" s="797">
        <v>2025</v>
      </c>
      <c r="G1" s="797">
        <v>2026</v>
      </c>
      <c r="H1" s="797">
        <v>2027</v>
      </c>
      <c r="I1" s="797">
        <v>2028</v>
      </c>
      <c r="J1" s="797">
        <v>2029</v>
      </c>
      <c r="K1" s="797">
        <v>2030</v>
      </c>
      <c r="L1" s="797">
        <v>2031</v>
      </c>
      <c r="M1" s="797">
        <v>2032</v>
      </c>
      <c r="N1" s="797">
        <v>2033</v>
      </c>
      <c r="O1" s="797">
        <v>2034</v>
      </c>
      <c r="P1" s="797">
        <v>2035</v>
      </c>
      <c r="Q1" s="797">
        <v>2036</v>
      </c>
      <c r="R1" s="797">
        <v>2037</v>
      </c>
      <c r="S1" s="797">
        <v>2038</v>
      </c>
      <c r="T1" s="797">
        <v>2039</v>
      </c>
      <c r="U1" s="797">
        <v>2040</v>
      </c>
      <c r="V1" s="797">
        <v>2041</v>
      </c>
      <c r="W1" s="797">
        <v>2042</v>
      </c>
      <c r="X1" s="797">
        <v>2043</v>
      </c>
      <c r="Y1" s="797">
        <v>2044</v>
      </c>
      <c r="Z1" s="797">
        <v>2045</v>
      </c>
      <c r="AA1" s="797">
        <v>2046</v>
      </c>
      <c r="AB1" s="797">
        <v>2047</v>
      </c>
      <c r="AC1" s="797">
        <v>2048</v>
      </c>
      <c r="AD1" s="797">
        <v>2049</v>
      </c>
      <c r="AE1" s="797">
        <v>2050</v>
      </c>
    </row>
    <row r="2" spans="1:33" ht="15" customHeight="1" thickTop="1"/>
    <row r="3" spans="1:33" ht="15" customHeight="1">
      <c r="C3" s="798" t="s">
        <v>4229</v>
      </c>
      <c r="D3" s="798" t="s">
        <v>874</v>
      </c>
      <c r="E3" s="799"/>
      <c r="F3" s="799"/>
      <c r="G3" s="799"/>
    </row>
    <row r="4" spans="1:33" ht="15" customHeight="1">
      <c r="C4" s="798" t="s">
        <v>1289</v>
      </c>
      <c r="D4" s="798" t="s">
        <v>4230</v>
      </c>
      <c r="E4" s="799"/>
      <c r="F4" s="799"/>
      <c r="G4" s="798" t="s">
        <v>1443</v>
      </c>
    </row>
    <row r="5" spans="1:33" ht="15" customHeight="1">
      <c r="C5" s="798" t="s">
        <v>4231</v>
      </c>
      <c r="D5" s="798" t="s">
        <v>4232</v>
      </c>
      <c r="E5" s="799"/>
      <c r="F5" s="799"/>
      <c r="G5" s="799"/>
    </row>
    <row r="6" spans="1:33" ht="15" customHeight="1">
      <c r="C6" s="798" t="s">
        <v>4233</v>
      </c>
      <c r="D6" s="799"/>
      <c r="E6" s="798" t="s">
        <v>4234</v>
      </c>
      <c r="F6" s="799"/>
      <c r="G6" s="799"/>
    </row>
    <row r="7" spans="1:33" ht="12" customHeight="1"/>
    <row r="8" spans="1:33" ht="12" customHeight="1"/>
    <row r="9" spans="1:33" ht="12" customHeight="1">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802"/>
      <c r="AF9" s="802"/>
      <c r="AG9" s="802"/>
    </row>
    <row r="10" spans="1:33" ht="15" customHeight="1">
      <c r="A10" s="800" t="s">
        <v>5021</v>
      </c>
      <c r="B10" s="801" t="s">
        <v>5022</v>
      </c>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3" t="s">
        <v>1505</v>
      </c>
      <c r="AG10" s="802"/>
    </row>
    <row r="11" spans="1:33" ht="15" customHeight="1">
      <c r="B11" s="804" t="s">
        <v>5023</v>
      </c>
      <c r="C11" s="802"/>
      <c r="D11" s="802"/>
      <c r="E11" s="802"/>
      <c r="F11" s="802"/>
      <c r="G11" s="80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3" t="s">
        <v>4237</v>
      </c>
      <c r="AG11" s="802"/>
    </row>
    <row r="12" spans="1:33" ht="15" customHeight="1">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3" t="s">
        <v>4238</v>
      </c>
      <c r="AG12" s="802"/>
    </row>
    <row r="13" spans="1:33" ht="15" customHeight="1" thickBot="1">
      <c r="B13" s="806" t="s">
        <v>5024</v>
      </c>
      <c r="C13" s="806">
        <v>2022</v>
      </c>
      <c r="D13" s="806">
        <v>2023</v>
      </c>
      <c r="E13" s="806">
        <v>2024</v>
      </c>
      <c r="F13" s="806">
        <v>2025</v>
      </c>
      <c r="G13" s="806">
        <v>2026</v>
      </c>
      <c r="H13" s="806">
        <v>2027</v>
      </c>
      <c r="I13" s="806">
        <v>2028</v>
      </c>
      <c r="J13" s="806">
        <v>2029</v>
      </c>
      <c r="K13" s="806">
        <v>2030</v>
      </c>
      <c r="L13" s="806">
        <v>2031</v>
      </c>
      <c r="M13" s="806">
        <v>2032</v>
      </c>
      <c r="N13" s="806">
        <v>2033</v>
      </c>
      <c r="O13" s="806">
        <v>2034</v>
      </c>
      <c r="P13" s="806">
        <v>2035</v>
      </c>
      <c r="Q13" s="806">
        <v>2036</v>
      </c>
      <c r="R13" s="806">
        <v>2037</v>
      </c>
      <c r="S13" s="806">
        <v>2038</v>
      </c>
      <c r="T13" s="806">
        <v>2039</v>
      </c>
      <c r="U13" s="806">
        <v>2040</v>
      </c>
      <c r="V13" s="806">
        <v>2041</v>
      </c>
      <c r="W13" s="806">
        <v>2042</v>
      </c>
      <c r="X13" s="806">
        <v>2043</v>
      </c>
      <c r="Y13" s="806">
        <v>2044</v>
      </c>
      <c r="Z13" s="806">
        <v>2045</v>
      </c>
      <c r="AA13" s="806">
        <v>2046</v>
      </c>
      <c r="AB13" s="806">
        <v>2047</v>
      </c>
      <c r="AC13" s="806">
        <v>2048</v>
      </c>
      <c r="AD13" s="806">
        <v>2049</v>
      </c>
      <c r="AE13" s="806">
        <v>2050</v>
      </c>
      <c r="AF13" s="807" t="s">
        <v>4239</v>
      </c>
      <c r="AG13" s="802"/>
    </row>
    <row r="14" spans="1:33" ht="15" customHeight="1" thickTop="1">
      <c r="B14" s="802"/>
      <c r="C14" s="802"/>
      <c r="D14" s="802"/>
      <c r="E14" s="802"/>
      <c r="F14" s="802"/>
      <c r="G14" s="80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ht="15" customHeight="1">
      <c r="B15" s="808" t="s">
        <v>5025</v>
      </c>
      <c r="C15" s="802"/>
      <c r="D15" s="802"/>
      <c r="E15" s="802"/>
      <c r="F15" s="802"/>
      <c r="G15" s="802"/>
      <c r="H15" s="802"/>
      <c r="I15" s="802"/>
      <c r="J15" s="802"/>
      <c r="K15" s="802"/>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ht="15" customHeight="1">
      <c r="B16" s="802"/>
      <c r="C16" s="802"/>
      <c r="D16" s="802"/>
      <c r="E16" s="802"/>
      <c r="F16" s="802"/>
      <c r="G16" s="80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ht="15" customHeight="1">
      <c r="B17" s="808" t="s">
        <v>5026</v>
      </c>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ht="15" customHeight="1">
      <c r="B18" s="808" t="s">
        <v>5027</v>
      </c>
      <c r="C18" s="802"/>
      <c r="D18" s="802"/>
      <c r="E18" s="802"/>
      <c r="F18" s="802"/>
      <c r="G18" s="802"/>
      <c r="H18" s="802"/>
      <c r="I18" s="802"/>
      <c r="J18" s="802"/>
      <c r="K18" s="802"/>
      <c r="L18" s="802"/>
      <c r="M18" s="802"/>
      <c r="N18" s="802"/>
      <c r="O18" s="802"/>
      <c r="P18" s="802"/>
      <c r="Q18" s="802"/>
      <c r="R18" s="802"/>
      <c r="S18" s="802"/>
      <c r="T18" s="802"/>
      <c r="U18" s="802"/>
      <c r="V18" s="802"/>
      <c r="W18" s="802"/>
      <c r="X18" s="802"/>
      <c r="Y18" s="802"/>
      <c r="Z18" s="802"/>
      <c r="AA18" s="802"/>
      <c r="AB18" s="802"/>
      <c r="AC18" s="802"/>
      <c r="AD18" s="802"/>
      <c r="AE18" s="802"/>
      <c r="AF18" s="802"/>
      <c r="AG18" s="802"/>
    </row>
    <row r="19" spans="1:33" ht="15" customHeight="1">
      <c r="A19" s="800" t="s">
        <v>5028</v>
      </c>
      <c r="B19" s="812" t="s">
        <v>4326</v>
      </c>
      <c r="C19" s="820">
        <v>832.22631799999999</v>
      </c>
      <c r="D19" s="820">
        <v>783.51873799999998</v>
      </c>
      <c r="E19" s="820">
        <v>824.05676300000005</v>
      </c>
      <c r="F19" s="820">
        <v>754.55761700000005</v>
      </c>
      <c r="G19" s="820">
        <v>646.98290999999995</v>
      </c>
      <c r="H19" s="820">
        <v>548.90808100000004</v>
      </c>
      <c r="I19" s="820">
        <v>453.32052599999997</v>
      </c>
      <c r="J19" s="820">
        <v>383.88156099999998</v>
      </c>
      <c r="K19" s="820">
        <v>344.67388899999997</v>
      </c>
      <c r="L19" s="820">
        <v>336.42291299999999</v>
      </c>
      <c r="M19" s="820">
        <v>332.679596</v>
      </c>
      <c r="N19" s="820">
        <v>341.92962599999998</v>
      </c>
      <c r="O19" s="820">
        <v>339.71804800000001</v>
      </c>
      <c r="P19" s="820">
        <v>340.08657799999997</v>
      </c>
      <c r="Q19" s="820">
        <v>336.70202599999999</v>
      </c>
      <c r="R19" s="820">
        <v>328.44534299999998</v>
      </c>
      <c r="S19" s="820">
        <v>316.24642899999998</v>
      </c>
      <c r="T19" s="820">
        <v>308.52734400000003</v>
      </c>
      <c r="U19" s="820">
        <v>300.465149</v>
      </c>
      <c r="V19" s="820">
        <v>302.17205799999999</v>
      </c>
      <c r="W19" s="820">
        <v>301.89288299999998</v>
      </c>
      <c r="X19" s="820">
        <v>298.36657700000001</v>
      </c>
      <c r="Y19" s="820">
        <v>286.82672100000002</v>
      </c>
      <c r="Z19" s="820">
        <v>278.50741599999998</v>
      </c>
      <c r="AA19" s="820">
        <v>268.90802000000002</v>
      </c>
      <c r="AB19" s="820">
        <v>264.177795</v>
      </c>
      <c r="AC19" s="820">
        <v>254.06308000000001</v>
      </c>
      <c r="AD19" s="820">
        <v>252.43649300000001</v>
      </c>
      <c r="AE19" s="820">
        <v>242.82354699999999</v>
      </c>
      <c r="AF19" s="814">
        <v>-4.3038E-2</v>
      </c>
      <c r="AG19" s="802"/>
    </row>
    <row r="20" spans="1:33" ht="15" customHeight="1">
      <c r="A20" s="800" t="s">
        <v>5029</v>
      </c>
      <c r="B20" s="812" t="s">
        <v>4323</v>
      </c>
      <c r="C20" s="820">
        <v>10.012233999999999</v>
      </c>
      <c r="D20" s="820">
        <v>9.5081570000000006</v>
      </c>
      <c r="E20" s="820">
        <v>9.5879399999999997</v>
      </c>
      <c r="F20" s="820">
        <v>9.2670560000000002</v>
      </c>
      <c r="G20" s="820">
        <v>8.5621480000000005</v>
      </c>
      <c r="H20" s="820">
        <v>7.868519</v>
      </c>
      <c r="I20" s="820">
        <v>7.1793659999999999</v>
      </c>
      <c r="J20" s="820">
        <v>6.7758539999999998</v>
      </c>
      <c r="K20" s="820">
        <v>6.4861849999999999</v>
      </c>
      <c r="L20" s="820">
        <v>6.2037129999999996</v>
      </c>
      <c r="M20" s="820">
        <v>6.1673489999999997</v>
      </c>
      <c r="N20" s="820">
        <v>6.1629240000000003</v>
      </c>
      <c r="O20" s="820">
        <v>6.1347639999999997</v>
      </c>
      <c r="P20" s="820">
        <v>6.1178660000000002</v>
      </c>
      <c r="Q20" s="820">
        <v>6.030214</v>
      </c>
      <c r="R20" s="820">
        <v>5.846374</v>
      </c>
      <c r="S20" s="820">
        <v>5.5758270000000003</v>
      </c>
      <c r="T20" s="820">
        <v>5.4650049999999997</v>
      </c>
      <c r="U20" s="820">
        <v>5.3707089999999997</v>
      </c>
      <c r="V20" s="820">
        <v>5.097988</v>
      </c>
      <c r="W20" s="820">
        <v>4.7791790000000001</v>
      </c>
      <c r="X20" s="820">
        <v>4.4546349999999997</v>
      </c>
      <c r="Y20" s="820">
        <v>4.106789</v>
      </c>
      <c r="Z20" s="820">
        <v>3.7438880000000001</v>
      </c>
      <c r="AA20" s="820">
        <v>3.7051370000000001</v>
      </c>
      <c r="AB20" s="820">
        <v>3.7114029999999998</v>
      </c>
      <c r="AC20" s="820">
        <v>3.688313</v>
      </c>
      <c r="AD20" s="820">
        <v>3.7027950000000001</v>
      </c>
      <c r="AE20" s="820">
        <v>3.687182</v>
      </c>
      <c r="AF20" s="814">
        <v>-3.5048000000000003E-2</v>
      </c>
      <c r="AG20" s="802"/>
    </row>
    <row r="21" spans="1:33" ht="15" customHeight="1">
      <c r="A21" s="800" t="s">
        <v>5030</v>
      </c>
      <c r="B21" s="812" t="s">
        <v>5031</v>
      </c>
      <c r="C21" s="820">
        <v>1451.6611330000001</v>
      </c>
      <c r="D21" s="820">
        <v>1354.2910159999999</v>
      </c>
      <c r="E21" s="820">
        <v>1260.048096</v>
      </c>
      <c r="F21" s="820">
        <v>1195.330933</v>
      </c>
      <c r="G21" s="820">
        <v>1141.2430420000001</v>
      </c>
      <c r="H21" s="820">
        <v>1055.9729</v>
      </c>
      <c r="I21" s="820">
        <v>1012.561707</v>
      </c>
      <c r="J21" s="820">
        <v>976.55212400000005</v>
      </c>
      <c r="K21" s="820">
        <v>931.62261999999998</v>
      </c>
      <c r="L21" s="820">
        <v>886.70178199999998</v>
      </c>
      <c r="M21" s="820">
        <v>853.36431900000002</v>
      </c>
      <c r="N21" s="820">
        <v>828.168091</v>
      </c>
      <c r="O21" s="820">
        <v>803.13696300000004</v>
      </c>
      <c r="P21" s="820">
        <v>793.34411599999999</v>
      </c>
      <c r="Q21" s="820">
        <v>794.537598</v>
      </c>
      <c r="R21" s="820">
        <v>805.12658699999997</v>
      </c>
      <c r="S21" s="820">
        <v>827.58831799999996</v>
      </c>
      <c r="T21" s="820">
        <v>839.38970900000004</v>
      </c>
      <c r="U21" s="820">
        <v>861.87487799999997</v>
      </c>
      <c r="V21" s="820">
        <v>870.91137700000002</v>
      </c>
      <c r="W21" s="820">
        <v>884.54205300000001</v>
      </c>
      <c r="X21" s="820">
        <v>893.38915999999995</v>
      </c>
      <c r="Y21" s="820">
        <v>894.65850799999998</v>
      </c>
      <c r="Z21" s="820">
        <v>903.08007799999996</v>
      </c>
      <c r="AA21" s="820">
        <v>900.81451400000003</v>
      </c>
      <c r="AB21" s="820">
        <v>903.86340299999995</v>
      </c>
      <c r="AC21" s="820">
        <v>914.66229199999998</v>
      </c>
      <c r="AD21" s="820">
        <v>918.518372</v>
      </c>
      <c r="AE21" s="820">
        <v>930.68591300000003</v>
      </c>
      <c r="AF21" s="814">
        <v>-1.5751000000000001E-2</v>
      </c>
      <c r="AG21" s="802"/>
    </row>
    <row r="22" spans="1:33" ht="15" customHeight="1">
      <c r="A22" s="800" t="s">
        <v>5032</v>
      </c>
      <c r="B22" s="812" t="s">
        <v>5033</v>
      </c>
      <c r="C22" s="820">
        <v>771.984375</v>
      </c>
      <c r="D22" s="820">
        <v>783.71594200000004</v>
      </c>
      <c r="E22" s="820">
        <v>789.40368699999999</v>
      </c>
      <c r="F22" s="820">
        <v>782.25647000000004</v>
      </c>
      <c r="G22" s="820">
        <v>774.68408199999999</v>
      </c>
      <c r="H22" s="820">
        <v>774.67089799999997</v>
      </c>
      <c r="I22" s="820">
        <v>765.55304000000001</v>
      </c>
      <c r="J22" s="820">
        <v>765.54077099999995</v>
      </c>
      <c r="K22" s="820">
        <v>758.01715100000001</v>
      </c>
      <c r="L22" s="820">
        <v>758.02221699999996</v>
      </c>
      <c r="M22" s="820">
        <v>758.03063999999995</v>
      </c>
      <c r="N22" s="820">
        <v>715.33032200000002</v>
      </c>
      <c r="O22" s="820">
        <v>708.66870100000006</v>
      </c>
      <c r="P22" s="820">
        <v>700.12188700000002</v>
      </c>
      <c r="Q22" s="820">
        <v>684.02917500000001</v>
      </c>
      <c r="R22" s="820">
        <v>673.099243</v>
      </c>
      <c r="S22" s="820">
        <v>654.48669400000006</v>
      </c>
      <c r="T22" s="820">
        <v>644.63195800000005</v>
      </c>
      <c r="U22" s="820">
        <v>625.42901600000005</v>
      </c>
      <c r="V22" s="820">
        <v>625.59808299999997</v>
      </c>
      <c r="W22" s="820">
        <v>625.89691200000004</v>
      </c>
      <c r="X22" s="820">
        <v>626.152649</v>
      </c>
      <c r="Y22" s="820">
        <v>626.43640100000005</v>
      </c>
      <c r="Z22" s="820">
        <v>626.43884300000002</v>
      </c>
      <c r="AA22" s="820">
        <v>626.196777</v>
      </c>
      <c r="AB22" s="820">
        <v>626.00213599999995</v>
      </c>
      <c r="AC22" s="820">
        <v>625.14129600000001</v>
      </c>
      <c r="AD22" s="820">
        <v>625.25939900000003</v>
      </c>
      <c r="AE22" s="820">
        <v>624.86090100000001</v>
      </c>
      <c r="AF22" s="814">
        <v>-7.5230000000000002E-3</v>
      </c>
      <c r="AG22" s="802"/>
    </row>
    <row r="23" spans="1:33" ht="15" customHeight="1">
      <c r="A23" s="800" t="s">
        <v>5034</v>
      </c>
      <c r="B23" s="812" t="s">
        <v>5035</v>
      </c>
      <c r="C23" s="820">
        <v>0.55476400000000003</v>
      </c>
      <c r="D23" s="820">
        <v>-8.1639000000000003E-2</v>
      </c>
      <c r="E23" s="820">
        <v>-1.123405</v>
      </c>
      <c r="F23" s="820">
        <v>-1.9092709999999999</v>
      </c>
      <c r="G23" s="820">
        <v>-2.4858929999999999</v>
      </c>
      <c r="H23" s="820">
        <v>-2.9139560000000002</v>
      </c>
      <c r="I23" s="820">
        <v>-4.2850299999999999</v>
      </c>
      <c r="J23" s="820">
        <v>-4.9817809999999998</v>
      </c>
      <c r="K23" s="820">
        <v>-5.6707020000000004</v>
      </c>
      <c r="L23" s="820">
        <v>-6.5043220000000002</v>
      </c>
      <c r="M23" s="820">
        <v>-7.7092239999999999</v>
      </c>
      <c r="N23" s="820">
        <v>-9.1685890000000008</v>
      </c>
      <c r="O23" s="820">
        <v>-10.592758999999999</v>
      </c>
      <c r="P23" s="820">
        <v>-11.908464</v>
      </c>
      <c r="Q23" s="820">
        <v>-13.402108</v>
      </c>
      <c r="R23" s="820">
        <v>-15.528079999999999</v>
      </c>
      <c r="S23" s="820">
        <v>-17.882428999999998</v>
      </c>
      <c r="T23" s="820">
        <v>-20.471281000000001</v>
      </c>
      <c r="U23" s="820">
        <v>-22.979378000000001</v>
      </c>
      <c r="V23" s="820">
        <v>-25.068142000000002</v>
      </c>
      <c r="W23" s="820">
        <v>-26.707905</v>
      </c>
      <c r="X23" s="820">
        <v>-28.283214999999998</v>
      </c>
      <c r="Y23" s="820">
        <v>-30.580137000000001</v>
      </c>
      <c r="Z23" s="820">
        <v>-32.549838999999999</v>
      </c>
      <c r="AA23" s="820">
        <v>-33.796047000000002</v>
      </c>
      <c r="AB23" s="820">
        <v>-35.146495999999999</v>
      </c>
      <c r="AC23" s="820">
        <v>-36.587879000000001</v>
      </c>
      <c r="AD23" s="820">
        <v>-38.203732000000002</v>
      </c>
      <c r="AE23" s="820">
        <v>-39.922955000000002</v>
      </c>
      <c r="AF23" s="814" t="s">
        <v>2805</v>
      </c>
      <c r="AG23" s="802"/>
    </row>
    <row r="24" spans="1:33" ht="15" customHeight="1">
      <c r="A24" s="800" t="s">
        <v>5036</v>
      </c>
      <c r="B24" s="812" t="s">
        <v>5037</v>
      </c>
      <c r="C24" s="820">
        <v>884.92919900000004</v>
      </c>
      <c r="D24" s="820">
        <v>961.45910600000002</v>
      </c>
      <c r="E24" s="820">
        <v>1051.532837</v>
      </c>
      <c r="F24" s="820">
        <v>1219.0980219999999</v>
      </c>
      <c r="G24" s="820">
        <v>1425.474121</v>
      </c>
      <c r="H24" s="820">
        <v>1638.205811</v>
      </c>
      <c r="I24" s="820">
        <v>1823.229736</v>
      </c>
      <c r="J24" s="820">
        <v>1963.2510990000001</v>
      </c>
      <c r="K24" s="820">
        <v>2082.2614749999998</v>
      </c>
      <c r="L24" s="820">
        <v>2166.423828</v>
      </c>
      <c r="M24" s="820">
        <v>2239.3549800000001</v>
      </c>
      <c r="N24" s="820">
        <v>2324.4648440000001</v>
      </c>
      <c r="O24" s="820">
        <v>2389.7634280000002</v>
      </c>
      <c r="P24" s="820">
        <v>2442.6357419999999</v>
      </c>
      <c r="Q24" s="820">
        <v>2496.030518</v>
      </c>
      <c r="R24" s="820">
        <v>2538.811279</v>
      </c>
      <c r="S24" s="820">
        <v>2579.8964839999999</v>
      </c>
      <c r="T24" s="820">
        <v>2615.169922</v>
      </c>
      <c r="U24" s="820">
        <v>2652.873047</v>
      </c>
      <c r="V24" s="820">
        <v>2680.0114749999998</v>
      </c>
      <c r="W24" s="820">
        <v>2705.7783199999999</v>
      </c>
      <c r="X24" s="820">
        <v>2740.4643550000001</v>
      </c>
      <c r="Y24" s="820">
        <v>2791.2124020000001</v>
      </c>
      <c r="Z24" s="820">
        <v>2836.367432</v>
      </c>
      <c r="AA24" s="820">
        <v>2890.9724120000001</v>
      </c>
      <c r="AB24" s="820">
        <v>2939.0747070000002</v>
      </c>
      <c r="AC24" s="820">
        <v>2983.045654</v>
      </c>
      <c r="AD24" s="820">
        <v>3026.3388669999999</v>
      </c>
      <c r="AE24" s="820">
        <v>3076.7624510000001</v>
      </c>
      <c r="AF24" s="814">
        <v>4.5510000000000002E-2</v>
      </c>
      <c r="AG24" s="802"/>
    </row>
    <row r="25" spans="1:33" ht="15" customHeight="1">
      <c r="A25" s="800" t="s">
        <v>5038</v>
      </c>
      <c r="B25" s="812" t="s">
        <v>5039</v>
      </c>
      <c r="C25" s="820">
        <v>0</v>
      </c>
      <c r="D25" s="820">
        <v>0</v>
      </c>
      <c r="E25" s="820">
        <v>0.20539499999999999</v>
      </c>
      <c r="F25" s="820">
        <v>0.260878</v>
      </c>
      <c r="G25" s="820">
        <v>0.31893700000000003</v>
      </c>
      <c r="H25" s="820">
        <v>0.40227400000000002</v>
      </c>
      <c r="I25" s="820">
        <v>0.561052</v>
      </c>
      <c r="J25" s="820">
        <v>0.73606099999999997</v>
      </c>
      <c r="K25" s="820">
        <v>0.94242199999999998</v>
      </c>
      <c r="L25" s="820">
        <v>1.174811</v>
      </c>
      <c r="M25" s="820">
        <v>1.4213480000000001</v>
      </c>
      <c r="N25" s="820">
        <v>1.6911620000000001</v>
      </c>
      <c r="O25" s="820">
        <v>1.984645</v>
      </c>
      <c r="P25" s="820">
        <v>2.3304360000000002</v>
      </c>
      <c r="Q25" s="820">
        <v>2.672148</v>
      </c>
      <c r="R25" s="820">
        <v>3.1055229999999998</v>
      </c>
      <c r="S25" s="820">
        <v>3.5882010000000002</v>
      </c>
      <c r="T25" s="820">
        <v>3.9917400000000001</v>
      </c>
      <c r="U25" s="820">
        <v>4.4289949999999996</v>
      </c>
      <c r="V25" s="820">
        <v>4.9772210000000001</v>
      </c>
      <c r="W25" s="820">
        <v>5.5124120000000003</v>
      </c>
      <c r="X25" s="820">
        <v>6.1170020000000003</v>
      </c>
      <c r="Y25" s="820">
        <v>6.7812950000000001</v>
      </c>
      <c r="Z25" s="820">
        <v>7.5515840000000001</v>
      </c>
      <c r="AA25" s="820">
        <v>8.3358419999999995</v>
      </c>
      <c r="AB25" s="820">
        <v>9.1501999999999999</v>
      </c>
      <c r="AC25" s="820">
        <v>9.9523679999999999</v>
      </c>
      <c r="AD25" s="820">
        <v>10.818008000000001</v>
      </c>
      <c r="AE25" s="820">
        <v>11.722452000000001</v>
      </c>
      <c r="AF25" s="814" t="s">
        <v>2805</v>
      </c>
      <c r="AG25" s="802"/>
    </row>
    <row r="26" spans="1:33" ht="15" customHeight="1">
      <c r="A26" s="800" t="s">
        <v>5040</v>
      </c>
      <c r="B26" s="808" t="s">
        <v>4303</v>
      </c>
      <c r="C26" s="809">
        <v>3951.3679200000001</v>
      </c>
      <c r="D26" s="809">
        <v>3892.4111330000001</v>
      </c>
      <c r="E26" s="809">
        <v>3933.7116700000001</v>
      </c>
      <c r="F26" s="809">
        <v>3958.8620609999998</v>
      </c>
      <c r="G26" s="809">
        <v>3994.779297</v>
      </c>
      <c r="H26" s="809">
        <v>4023.1145019999999</v>
      </c>
      <c r="I26" s="809">
        <v>4058.1203609999998</v>
      </c>
      <c r="J26" s="809">
        <v>4091.755615</v>
      </c>
      <c r="K26" s="809">
        <v>4118.3330079999996</v>
      </c>
      <c r="L26" s="809">
        <v>4148.4448240000002</v>
      </c>
      <c r="M26" s="809">
        <v>4183.3090819999998</v>
      </c>
      <c r="N26" s="809">
        <v>4208.5786129999997</v>
      </c>
      <c r="O26" s="809">
        <v>4238.8139650000003</v>
      </c>
      <c r="P26" s="809">
        <v>4272.7280270000001</v>
      </c>
      <c r="Q26" s="809">
        <v>4306.5996089999999</v>
      </c>
      <c r="R26" s="809">
        <v>4338.90625</v>
      </c>
      <c r="S26" s="809">
        <v>4369.4995120000003</v>
      </c>
      <c r="T26" s="809">
        <v>4396.7045900000003</v>
      </c>
      <c r="U26" s="809">
        <v>4427.4624020000001</v>
      </c>
      <c r="V26" s="809">
        <v>4463.6997069999998</v>
      </c>
      <c r="W26" s="809">
        <v>4501.6938479999999</v>
      </c>
      <c r="X26" s="809">
        <v>4540.6611329999996</v>
      </c>
      <c r="Y26" s="809">
        <v>4579.4418949999999</v>
      </c>
      <c r="Z26" s="809">
        <v>4623.1396480000003</v>
      </c>
      <c r="AA26" s="809">
        <v>4665.1367190000001</v>
      </c>
      <c r="AB26" s="809">
        <v>4710.8330079999996</v>
      </c>
      <c r="AC26" s="809">
        <v>4753.9648440000001</v>
      </c>
      <c r="AD26" s="809">
        <v>4798.8701170000004</v>
      </c>
      <c r="AE26" s="809">
        <v>4850.6196289999998</v>
      </c>
      <c r="AF26" s="810">
        <v>7.3499999999999998E-3</v>
      </c>
      <c r="AG26" s="802"/>
    </row>
    <row r="27" spans="1:33" ht="15" customHeight="1">
      <c r="B27" s="808" t="s">
        <v>5041</v>
      </c>
      <c r="C27" s="802"/>
      <c r="D27" s="802"/>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c r="AE27" s="802"/>
      <c r="AF27" s="802"/>
      <c r="AG27" s="802"/>
    </row>
    <row r="28" spans="1:33" ht="15" customHeight="1">
      <c r="A28" s="800" t="s">
        <v>5042</v>
      </c>
      <c r="B28" s="812" t="s">
        <v>4326</v>
      </c>
      <c r="C28" s="820">
        <v>9.9263359999999992</v>
      </c>
      <c r="D28" s="820">
        <v>9.9495050000000003</v>
      </c>
      <c r="E28" s="820">
        <v>9.2386569999999999</v>
      </c>
      <c r="F28" s="820">
        <v>8.7888889999999993</v>
      </c>
      <c r="G28" s="820">
        <v>8.3916649999999997</v>
      </c>
      <c r="H28" s="820">
        <v>8.4107690000000002</v>
      </c>
      <c r="I28" s="820">
        <v>8.3975989999999996</v>
      </c>
      <c r="J28" s="820">
        <v>8.3829440000000002</v>
      </c>
      <c r="K28" s="820">
        <v>8.3943770000000004</v>
      </c>
      <c r="L28" s="820">
        <v>8.3716299999999997</v>
      </c>
      <c r="M28" s="820">
        <v>8.4007120000000004</v>
      </c>
      <c r="N28" s="820">
        <v>8.3601899999999993</v>
      </c>
      <c r="O28" s="820">
        <v>8.3820259999999998</v>
      </c>
      <c r="P28" s="820">
        <v>8.3820379999999997</v>
      </c>
      <c r="Q28" s="820">
        <v>8.3820329999999998</v>
      </c>
      <c r="R28" s="820">
        <v>8.3820370000000004</v>
      </c>
      <c r="S28" s="820">
        <v>8.3820139999999999</v>
      </c>
      <c r="T28" s="820">
        <v>8.3820359999999994</v>
      </c>
      <c r="U28" s="820">
        <v>8.3820370000000004</v>
      </c>
      <c r="V28" s="820">
        <v>8.3820350000000001</v>
      </c>
      <c r="W28" s="820">
        <v>8.3820350000000001</v>
      </c>
      <c r="X28" s="820">
        <v>8.3820340000000009</v>
      </c>
      <c r="Y28" s="820">
        <v>8.3820329999999998</v>
      </c>
      <c r="Z28" s="820">
        <v>8.3820320000000006</v>
      </c>
      <c r="AA28" s="820">
        <v>8.3820320000000006</v>
      </c>
      <c r="AB28" s="820">
        <v>8.3820320000000006</v>
      </c>
      <c r="AC28" s="820">
        <v>8.3820309999999996</v>
      </c>
      <c r="AD28" s="820">
        <v>8.3820300000000003</v>
      </c>
      <c r="AE28" s="820">
        <v>8.3820300000000003</v>
      </c>
      <c r="AF28" s="814">
        <v>-6.0210000000000003E-3</v>
      </c>
      <c r="AG28" s="802"/>
    </row>
    <row r="29" spans="1:33" ht="15" customHeight="1">
      <c r="A29" s="800" t="s">
        <v>5043</v>
      </c>
      <c r="B29" s="812" t="s">
        <v>4323</v>
      </c>
      <c r="C29" s="820">
        <v>0.54831399999999997</v>
      </c>
      <c r="D29" s="820">
        <v>0.54840699999999998</v>
      </c>
      <c r="E29" s="820">
        <v>0.54556800000000005</v>
      </c>
      <c r="F29" s="820">
        <v>0.54376500000000005</v>
      </c>
      <c r="G29" s="820">
        <v>0.54217300000000002</v>
      </c>
      <c r="H29" s="820">
        <v>0.54217300000000002</v>
      </c>
      <c r="I29" s="820">
        <v>0.54217300000000002</v>
      </c>
      <c r="J29" s="820">
        <v>0.54217300000000002</v>
      </c>
      <c r="K29" s="820">
        <v>0.54217300000000002</v>
      </c>
      <c r="L29" s="820">
        <v>0.54217300000000002</v>
      </c>
      <c r="M29" s="820">
        <v>0.54217300000000002</v>
      </c>
      <c r="N29" s="820">
        <v>0.54217300000000002</v>
      </c>
      <c r="O29" s="820">
        <v>0.54217300000000002</v>
      </c>
      <c r="P29" s="820">
        <v>0.54217300000000002</v>
      </c>
      <c r="Q29" s="820">
        <v>0.54217300000000002</v>
      </c>
      <c r="R29" s="820">
        <v>0.54217300000000002</v>
      </c>
      <c r="S29" s="820">
        <v>0.54217300000000002</v>
      </c>
      <c r="T29" s="820">
        <v>0.54217300000000002</v>
      </c>
      <c r="U29" s="820">
        <v>0.54217300000000002</v>
      </c>
      <c r="V29" s="820">
        <v>0.54217300000000002</v>
      </c>
      <c r="W29" s="820">
        <v>0.54217300000000002</v>
      </c>
      <c r="X29" s="820">
        <v>0.54217300000000002</v>
      </c>
      <c r="Y29" s="820">
        <v>0.54217300000000002</v>
      </c>
      <c r="Z29" s="820">
        <v>0.54217300000000002</v>
      </c>
      <c r="AA29" s="820">
        <v>0.54217300000000002</v>
      </c>
      <c r="AB29" s="820">
        <v>0.54217300000000002</v>
      </c>
      <c r="AC29" s="820">
        <v>0.54217300000000002</v>
      </c>
      <c r="AD29" s="820">
        <v>0.54217300000000002</v>
      </c>
      <c r="AE29" s="820">
        <v>0.54217300000000002</v>
      </c>
      <c r="AF29" s="814">
        <v>-4.0200000000000001E-4</v>
      </c>
      <c r="AG29" s="802"/>
    </row>
    <row r="30" spans="1:33" ht="15" customHeight="1">
      <c r="A30" s="800" t="s">
        <v>5044</v>
      </c>
      <c r="B30" s="812" t="s">
        <v>4297</v>
      </c>
      <c r="C30" s="820">
        <v>122.817505</v>
      </c>
      <c r="D30" s="820">
        <v>119.97487599999999</v>
      </c>
      <c r="E30" s="820">
        <v>119.169571</v>
      </c>
      <c r="F30" s="820">
        <v>119.244591</v>
      </c>
      <c r="G30" s="820">
        <v>116.667732</v>
      </c>
      <c r="H30" s="820">
        <v>116.666534</v>
      </c>
      <c r="I30" s="820">
        <v>116.66600800000001</v>
      </c>
      <c r="J30" s="820">
        <v>116.66727400000001</v>
      </c>
      <c r="K30" s="820">
        <v>115.235268</v>
      </c>
      <c r="L30" s="820">
        <v>114.117638</v>
      </c>
      <c r="M30" s="820">
        <v>113.766518</v>
      </c>
      <c r="N30" s="820">
        <v>113.76393899999999</v>
      </c>
      <c r="O30" s="820">
        <v>113.763908</v>
      </c>
      <c r="P30" s="820">
        <v>113.764061</v>
      </c>
      <c r="Q30" s="820">
        <v>113.777458</v>
      </c>
      <c r="R30" s="820">
        <v>113.791382</v>
      </c>
      <c r="S30" s="820">
        <v>113.763481</v>
      </c>
      <c r="T30" s="820">
        <v>113.76383199999999</v>
      </c>
      <c r="U30" s="820">
        <v>113.90773799999999</v>
      </c>
      <c r="V30" s="820">
        <v>114.16223100000001</v>
      </c>
      <c r="W30" s="820">
        <v>114.162437</v>
      </c>
      <c r="X30" s="820">
        <v>114.16490899999999</v>
      </c>
      <c r="Y30" s="820">
        <v>114.176376</v>
      </c>
      <c r="Z30" s="820">
        <v>114.17585800000001</v>
      </c>
      <c r="AA30" s="820">
        <v>114.100418</v>
      </c>
      <c r="AB30" s="820">
        <v>113.934082</v>
      </c>
      <c r="AC30" s="820">
        <v>113.884727</v>
      </c>
      <c r="AD30" s="820">
        <v>113.884094</v>
      </c>
      <c r="AE30" s="820">
        <v>113.87455</v>
      </c>
      <c r="AF30" s="814">
        <v>-2.696E-3</v>
      </c>
      <c r="AG30" s="802"/>
    </row>
    <row r="31" spans="1:33" ht="12" customHeight="1">
      <c r="A31" s="800" t="s">
        <v>5045</v>
      </c>
      <c r="B31" s="812" t="s">
        <v>5046</v>
      </c>
      <c r="C31" s="820">
        <v>3.520349</v>
      </c>
      <c r="D31" s="820">
        <v>3.5696690000000002</v>
      </c>
      <c r="E31" s="820">
        <v>3.5653320000000002</v>
      </c>
      <c r="F31" s="820">
        <v>3.570071</v>
      </c>
      <c r="G31" s="820">
        <v>3.5873740000000001</v>
      </c>
      <c r="H31" s="820">
        <v>3.5683349999999998</v>
      </c>
      <c r="I31" s="820">
        <v>3.5806580000000001</v>
      </c>
      <c r="J31" s="820">
        <v>3.597604</v>
      </c>
      <c r="K31" s="820">
        <v>3.5883250000000002</v>
      </c>
      <c r="L31" s="820">
        <v>3.6024829999999999</v>
      </c>
      <c r="M31" s="820">
        <v>3.573909</v>
      </c>
      <c r="N31" s="820">
        <v>3.6210580000000001</v>
      </c>
      <c r="O31" s="820">
        <v>3.5961280000000002</v>
      </c>
      <c r="P31" s="820">
        <v>3.6014539999999999</v>
      </c>
      <c r="Q31" s="820">
        <v>3.6070359999999999</v>
      </c>
      <c r="R31" s="820">
        <v>3.612136</v>
      </c>
      <c r="S31" s="820">
        <v>3.615227</v>
      </c>
      <c r="T31" s="820">
        <v>3.6245660000000002</v>
      </c>
      <c r="U31" s="820">
        <v>3.6231900000000001</v>
      </c>
      <c r="V31" s="820">
        <v>3.6251310000000001</v>
      </c>
      <c r="W31" s="820">
        <v>3.6261570000000001</v>
      </c>
      <c r="X31" s="820">
        <v>3.6262150000000002</v>
      </c>
      <c r="Y31" s="820">
        <v>3.626903</v>
      </c>
      <c r="Z31" s="820">
        <v>3.6273900000000001</v>
      </c>
      <c r="AA31" s="820">
        <v>3.6272820000000001</v>
      </c>
      <c r="AB31" s="820">
        <v>3.628072</v>
      </c>
      <c r="AC31" s="820">
        <v>3.6289579999999999</v>
      </c>
      <c r="AD31" s="820">
        <v>3.629664</v>
      </c>
      <c r="AE31" s="820">
        <v>3.630665</v>
      </c>
      <c r="AF31" s="814">
        <v>1.103E-3</v>
      </c>
      <c r="AG31" s="802"/>
    </row>
    <row r="32" spans="1:33" ht="12" customHeight="1">
      <c r="A32" s="800" t="s">
        <v>5047</v>
      </c>
      <c r="B32" s="812" t="s">
        <v>5048</v>
      </c>
      <c r="C32" s="820">
        <v>0.48208800000000002</v>
      </c>
      <c r="D32" s="820">
        <v>0.47476699999999999</v>
      </c>
      <c r="E32" s="820">
        <v>0.47235300000000002</v>
      </c>
      <c r="F32" s="820">
        <v>0.47203899999999999</v>
      </c>
      <c r="G32" s="820">
        <v>0.47102699999999997</v>
      </c>
      <c r="H32" s="820">
        <v>0.46887200000000001</v>
      </c>
      <c r="I32" s="820">
        <v>0.46775699999999998</v>
      </c>
      <c r="J32" s="820">
        <v>0.46497899999999998</v>
      </c>
      <c r="K32" s="820">
        <v>0.46259699999999998</v>
      </c>
      <c r="L32" s="820">
        <v>0.45934199999999997</v>
      </c>
      <c r="M32" s="820">
        <v>0.45719100000000001</v>
      </c>
      <c r="N32" s="820">
        <v>0.45389400000000002</v>
      </c>
      <c r="O32" s="820">
        <v>0.45230599999999999</v>
      </c>
      <c r="P32" s="820">
        <v>0.450021</v>
      </c>
      <c r="Q32" s="820">
        <v>0.447519</v>
      </c>
      <c r="R32" s="820">
        <v>0.44519399999999998</v>
      </c>
      <c r="S32" s="820">
        <v>0.44183899999999998</v>
      </c>
      <c r="T32" s="820">
        <v>0.43955</v>
      </c>
      <c r="U32" s="820">
        <v>0.43778099999999998</v>
      </c>
      <c r="V32" s="820">
        <v>0.43600899999999998</v>
      </c>
      <c r="W32" s="820">
        <v>0.43419099999999999</v>
      </c>
      <c r="X32" s="820">
        <v>0.43235000000000001</v>
      </c>
      <c r="Y32" s="820">
        <v>0.43063200000000001</v>
      </c>
      <c r="Z32" s="820">
        <v>0.428811</v>
      </c>
      <c r="AA32" s="820">
        <v>0.427589</v>
      </c>
      <c r="AB32" s="820">
        <v>0.42643199999999998</v>
      </c>
      <c r="AC32" s="820">
        <v>0.42527599999999999</v>
      </c>
      <c r="AD32" s="820">
        <v>0.42455900000000002</v>
      </c>
      <c r="AE32" s="820">
        <v>0.42339100000000002</v>
      </c>
      <c r="AF32" s="814">
        <v>-4.6259999999999999E-3</v>
      </c>
      <c r="AG32" s="802"/>
    </row>
    <row r="33" spans="1:33" ht="12" customHeight="1">
      <c r="A33" s="800" t="s">
        <v>5049</v>
      </c>
      <c r="B33" s="808" t="s">
        <v>4303</v>
      </c>
      <c r="C33" s="809">
        <v>137.294601</v>
      </c>
      <c r="D33" s="809">
        <v>134.51722699999999</v>
      </c>
      <c r="E33" s="809">
        <v>132.99148600000001</v>
      </c>
      <c r="F33" s="809">
        <v>132.61935399999999</v>
      </c>
      <c r="G33" s="809">
        <v>129.65997300000001</v>
      </c>
      <c r="H33" s="809">
        <v>129.656677</v>
      </c>
      <c r="I33" s="809">
        <v>129.65420499999999</v>
      </c>
      <c r="J33" s="809">
        <v>129.65498400000001</v>
      </c>
      <c r="K33" s="809">
        <v>128.22273300000001</v>
      </c>
      <c r="L33" s="809">
        <v>127.09326900000001</v>
      </c>
      <c r="M33" s="809">
        <v>126.74050099999999</v>
      </c>
      <c r="N33" s="809">
        <v>126.741257</v>
      </c>
      <c r="O33" s="809">
        <v>126.736549</v>
      </c>
      <c r="P33" s="809">
        <v>126.739746</v>
      </c>
      <c r="Q33" s="809">
        <v>126.756218</v>
      </c>
      <c r="R33" s="809">
        <v>126.772919</v>
      </c>
      <c r="S33" s="809">
        <v>126.744736</v>
      </c>
      <c r="T33" s="809">
        <v>126.75215900000001</v>
      </c>
      <c r="U33" s="809">
        <v>126.892921</v>
      </c>
      <c r="V33" s="809">
        <v>127.147583</v>
      </c>
      <c r="W33" s="809">
        <v>127.146996</v>
      </c>
      <c r="X33" s="809">
        <v>127.147682</v>
      </c>
      <c r="Y33" s="809">
        <v>127.158119</v>
      </c>
      <c r="Z33" s="809">
        <v>127.156265</v>
      </c>
      <c r="AA33" s="809">
        <v>127.079498</v>
      </c>
      <c r="AB33" s="809">
        <v>126.912796</v>
      </c>
      <c r="AC33" s="809">
        <v>126.863167</v>
      </c>
      <c r="AD33" s="809">
        <v>126.86251799999999</v>
      </c>
      <c r="AE33" s="809">
        <v>126.852806</v>
      </c>
      <c r="AF33" s="810">
        <v>-2.8210000000000002E-3</v>
      </c>
      <c r="AG33" s="802"/>
    </row>
    <row r="34" spans="1:33" ht="12" customHeight="1">
      <c r="A34" s="800" t="s">
        <v>5050</v>
      </c>
      <c r="B34" s="808" t="s">
        <v>5051</v>
      </c>
      <c r="C34" s="809">
        <v>4088.6625979999999</v>
      </c>
      <c r="D34" s="809">
        <v>4026.9284670000002</v>
      </c>
      <c r="E34" s="809">
        <v>4066.703125</v>
      </c>
      <c r="F34" s="809">
        <v>4091.4814449999999</v>
      </c>
      <c r="G34" s="809">
        <v>4124.439453</v>
      </c>
      <c r="H34" s="809">
        <v>4152.7709960000002</v>
      </c>
      <c r="I34" s="809">
        <v>4187.7744140000004</v>
      </c>
      <c r="J34" s="809">
        <v>4221.4106449999999</v>
      </c>
      <c r="K34" s="809">
        <v>4246.5556640000004</v>
      </c>
      <c r="L34" s="809">
        <v>4275.5380859999996</v>
      </c>
      <c r="M34" s="809">
        <v>4310.0498049999997</v>
      </c>
      <c r="N34" s="809">
        <v>4335.3198240000002</v>
      </c>
      <c r="O34" s="809">
        <v>4365.5502930000002</v>
      </c>
      <c r="P34" s="809">
        <v>4399.4677730000003</v>
      </c>
      <c r="Q34" s="809">
        <v>4433.3559569999998</v>
      </c>
      <c r="R34" s="809">
        <v>4465.6791990000002</v>
      </c>
      <c r="S34" s="809">
        <v>4496.2441410000001</v>
      </c>
      <c r="T34" s="809">
        <v>4523.4565430000002</v>
      </c>
      <c r="U34" s="809">
        <v>4554.3554690000001</v>
      </c>
      <c r="V34" s="809">
        <v>4590.8471680000002</v>
      </c>
      <c r="W34" s="809">
        <v>4628.8408200000003</v>
      </c>
      <c r="X34" s="809">
        <v>4667.8085940000001</v>
      </c>
      <c r="Y34" s="809">
        <v>4706.6000979999999</v>
      </c>
      <c r="Z34" s="809">
        <v>4750.2958980000003</v>
      </c>
      <c r="AA34" s="809">
        <v>4792.2163090000004</v>
      </c>
      <c r="AB34" s="809">
        <v>4837.7456050000001</v>
      </c>
      <c r="AC34" s="809">
        <v>4880.828125</v>
      </c>
      <c r="AD34" s="809">
        <v>4925.732422</v>
      </c>
      <c r="AE34" s="809">
        <v>4977.4726559999999</v>
      </c>
      <c r="AF34" s="810">
        <v>7.0499999999999998E-3</v>
      </c>
      <c r="AG34" s="802"/>
    </row>
    <row r="35" spans="1:33" ht="12" customHeight="1">
      <c r="A35" s="800" t="s">
        <v>5052</v>
      </c>
      <c r="B35" s="812" t="s">
        <v>5053</v>
      </c>
      <c r="C35" s="820">
        <v>17.237857999999999</v>
      </c>
      <c r="D35" s="820">
        <v>16.757368</v>
      </c>
      <c r="E35" s="820">
        <v>16.663492000000002</v>
      </c>
      <c r="F35" s="820">
        <v>16.595973999999998</v>
      </c>
      <c r="G35" s="820">
        <v>16.577276000000001</v>
      </c>
      <c r="H35" s="820">
        <v>16.577276000000001</v>
      </c>
      <c r="I35" s="820">
        <v>16.576129999999999</v>
      </c>
      <c r="J35" s="820">
        <v>16.576129999999999</v>
      </c>
      <c r="K35" s="820">
        <v>16.576129999999999</v>
      </c>
      <c r="L35" s="820">
        <v>16.554311999999999</v>
      </c>
      <c r="M35" s="820">
        <v>16.554311999999999</v>
      </c>
      <c r="N35" s="820">
        <v>16.553688000000001</v>
      </c>
      <c r="O35" s="820">
        <v>16.553688000000001</v>
      </c>
      <c r="P35" s="820">
        <v>16.553608000000001</v>
      </c>
      <c r="Q35" s="820">
        <v>16.553608000000001</v>
      </c>
      <c r="R35" s="820">
        <v>16.551003000000001</v>
      </c>
      <c r="S35" s="820">
        <v>16.551003000000001</v>
      </c>
      <c r="T35" s="820">
        <v>16.551003000000001</v>
      </c>
      <c r="U35" s="820">
        <v>16.551003000000001</v>
      </c>
      <c r="V35" s="820">
        <v>16.551003000000001</v>
      </c>
      <c r="W35" s="820">
        <v>16.551003000000001</v>
      </c>
      <c r="X35" s="820">
        <v>16.550709000000001</v>
      </c>
      <c r="Y35" s="820">
        <v>16.550709000000001</v>
      </c>
      <c r="Z35" s="820">
        <v>16.550709000000001</v>
      </c>
      <c r="AA35" s="820">
        <v>16.550709000000001</v>
      </c>
      <c r="AB35" s="820">
        <v>16.550709000000001</v>
      </c>
      <c r="AC35" s="820">
        <v>16.550709000000001</v>
      </c>
      <c r="AD35" s="820">
        <v>16.550709000000001</v>
      </c>
      <c r="AE35" s="820">
        <v>16.550709000000001</v>
      </c>
      <c r="AF35" s="814">
        <v>-1.4519999999999999E-3</v>
      </c>
      <c r="AG35" s="802"/>
    </row>
    <row r="36" spans="1:33" ht="12" customHeight="1">
      <c r="B36" s="802"/>
      <c r="C36" s="802"/>
      <c r="D36" s="802"/>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row>
    <row r="37" spans="1:33" ht="12" customHeight="1">
      <c r="A37" s="800" t="s">
        <v>5054</v>
      </c>
      <c r="B37" s="808" t="s">
        <v>5055</v>
      </c>
      <c r="C37" s="809">
        <v>4071.4248050000001</v>
      </c>
      <c r="D37" s="809">
        <v>4010.171143</v>
      </c>
      <c r="E37" s="809">
        <v>4050.0395509999998</v>
      </c>
      <c r="F37" s="809">
        <v>4074.8854980000001</v>
      </c>
      <c r="G37" s="809">
        <v>4107.8623049999997</v>
      </c>
      <c r="H37" s="809">
        <v>4136.1938479999999</v>
      </c>
      <c r="I37" s="809">
        <v>4171.1982420000004</v>
      </c>
      <c r="J37" s="809">
        <v>4204.8344729999999</v>
      </c>
      <c r="K37" s="809">
        <v>4229.9794920000004</v>
      </c>
      <c r="L37" s="809">
        <v>4258.9838870000003</v>
      </c>
      <c r="M37" s="809">
        <v>4293.4956050000001</v>
      </c>
      <c r="N37" s="809">
        <v>4318.7661129999997</v>
      </c>
      <c r="O37" s="809">
        <v>4348.9965819999998</v>
      </c>
      <c r="P37" s="809">
        <v>4382.9140619999998</v>
      </c>
      <c r="Q37" s="809">
        <v>4416.8022460000002</v>
      </c>
      <c r="R37" s="809">
        <v>4449.1284180000002</v>
      </c>
      <c r="S37" s="809">
        <v>4479.6933589999999</v>
      </c>
      <c r="T37" s="809">
        <v>4506.9057620000003</v>
      </c>
      <c r="U37" s="809">
        <v>4537.8046880000002</v>
      </c>
      <c r="V37" s="809">
        <v>4574.2963870000003</v>
      </c>
      <c r="W37" s="809">
        <v>4612.2900390000004</v>
      </c>
      <c r="X37" s="809">
        <v>4651.2578119999998</v>
      </c>
      <c r="Y37" s="809">
        <v>4690.0493159999996</v>
      </c>
      <c r="Z37" s="809">
        <v>4733.7451170000004</v>
      </c>
      <c r="AA37" s="809">
        <v>4775.6655270000001</v>
      </c>
      <c r="AB37" s="809">
        <v>4821.1948240000002</v>
      </c>
      <c r="AC37" s="809">
        <v>4864.2773440000001</v>
      </c>
      <c r="AD37" s="809">
        <v>4909.1816410000001</v>
      </c>
      <c r="AE37" s="809">
        <v>4960.921875</v>
      </c>
      <c r="AF37" s="810">
        <v>7.0819999999999998E-3</v>
      </c>
      <c r="AG37" s="802"/>
    </row>
    <row r="38" spans="1:33" ht="12" customHeight="1">
      <c r="B38" s="802"/>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row>
    <row r="39" spans="1:33" ht="12" customHeight="1">
      <c r="B39" s="808" t="s">
        <v>5056</v>
      </c>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row>
    <row r="40" spans="1:33" ht="12" customHeight="1">
      <c r="A40" s="800" t="s">
        <v>5057</v>
      </c>
      <c r="B40" s="812" t="s">
        <v>4326</v>
      </c>
      <c r="C40" s="820">
        <v>6.4199299999999999</v>
      </c>
      <c r="D40" s="820">
        <v>6.3415350000000004</v>
      </c>
      <c r="E40" s="820">
        <v>6.2558259999999999</v>
      </c>
      <c r="F40" s="820">
        <v>6.1831019999999999</v>
      </c>
      <c r="G40" s="820">
        <v>6.1453990000000003</v>
      </c>
      <c r="H40" s="820">
        <v>6.1072110000000004</v>
      </c>
      <c r="I40" s="820">
        <v>6.0673329999999996</v>
      </c>
      <c r="J40" s="820">
        <v>6.0266739999999999</v>
      </c>
      <c r="K40" s="820">
        <v>5.9840739999999997</v>
      </c>
      <c r="L40" s="820">
        <v>5.9450159999999999</v>
      </c>
      <c r="M40" s="820">
        <v>5.90862</v>
      </c>
      <c r="N40" s="820">
        <v>5.8692849999999996</v>
      </c>
      <c r="O40" s="820">
        <v>5.8313790000000001</v>
      </c>
      <c r="P40" s="820">
        <v>5.7949539999999997</v>
      </c>
      <c r="Q40" s="820">
        <v>5.7562119999999997</v>
      </c>
      <c r="R40" s="820">
        <v>5.7192259999999999</v>
      </c>
      <c r="S40" s="820">
        <v>5.6811210000000001</v>
      </c>
      <c r="T40" s="820">
        <v>5.6422610000000004</v>
      </c>
      <c r="U40" s="820">
        <v>5.6061909999999999</v>
      </c>
      <c r="V40" s="820">
        <v>5.5704989999999999</v>
      </c>
      <c r="W40" s="820">
        <v>5.535927</v>
      </c>
      <c r="X40" s="820">
        <v>5.5001179999999996</v>
      </c>
      <c r="Y40" s="820">
        <v>5.4632569999999996</v>
      </c>
      <c r="Z40" s="820">
        <v>5.4260780000000004</v>
      </c>
      <c r="AA40" s="820">
        <v>5.3908550000000002</v>
      </c>
      <c r="AB40" s="820">
        <v>5.3577320000000004</v>
      </c>
      <c r="AC40" s="820">
        <v>5.3216219999999996</v>
      </c>
      <c r="AD40" s="820">
        <v>5.2868769999999996</v>
      </c>
      <c r="AE40" s="820">
        <v>5.2554069999999999</v>
      </c>
      <c r="AF40" s="814">
        <v>-7.123E-3</v>
      </c>
      <c r="AG40" s="802"/>
    </row>
    <row r="41" spans="1:33" ht="12" customHeight="1">
      <c r="A41" s="800" t="s">
        <v>5058</v>
      </c>
      <c r="B41" s="812" t="s">
        <v>4323</v>
      </c>
      <c r="C41" s="820">
        <v>0.75842299999999996</v>
      </c>
      <c r="D41" s="820">
        <v>0.75539400000000001</v>
      </c>
      <c r="E41" s="820">
        <v>0.46853299999999998</v>
      </c>
      <c r="F41" s="820">
        <v>0.46553499999999998</v>
      </c>
      <c r="G41" s="820">
        <v>0.465584</v>
      </c>
      <c r="H41" s="820">
        <v>0.46553299999999997</v>
      </c>
      <c r="I41" s="820">
        <v>0.46529300000000001</v>
      </c>
      <c r="J41" s="820">
        <v>0.46496599999999999</v>
      </c>
      <c r="K41" s="820">
        <v>0.464391</v>
      </c>
      <c r="L41" s="820">
        <v>0.46412999999999999</v>
      </c>
      <c r="M41" s="820">
        <v>0.464169</v>
      </c>
      <c r="N41" s="820">
        <v>0.46385100000000001</v>
      </c>
      <c r="O41" s="820">
        <v>0.463673</v>
      </c>
      <c r="P41" s="820">
        <v>0.46365200000000001</v>
      </c>
      <c r="Q41" s="820">
        <v>0.46337600000000001</v>
      </c>
      <c r="R41" s="820">
        <v>0.46329199999999998</v>
      </c>
      <c r="S41" s="820">
        <v>0.46302500000000002</v>
      </c>
      <c r="T41" s="820">
        <v>0.46263100000000001</v>
      </c>
      <c r="U41" s="820">
        <v>0.46257599999999999</v>
      </c>
      <c r="V41" s="820">
        <v>0.46258899999999997</v>
      </c>
      <c r="W41" s="820">
        <v>0.46275899999999998</v>
      </c>
      <c r="X41" s="820">
        <v>0.46274799999999999</v>
      </c>
      <c r="Y41" s="820">
        <v>0.46256599999999998</v>
      </c>
      <c r="Z41" s="820">
        <v>0.462308</v>
      </c>
      <c r="AA41" s="820">
        <v>0.462343</v>
      </c>
      <c r="AB41" s="820">
        <v>0.46273500000000001</v>
      </c>
      <c r="AC41" s="820">
        <v>0.462621</v>
      </c>
      <c r="AD41" s="820">
        <v>0.46275300000000003</v>
      </c>
      <c r="AE41" s="820">
        <v>0.46354800000000002</v>
      </c>
      <c r="AF41" s="814">
        <v>-1.7430000000000001E-2</v>
      </c>
      <c r="AG41" s="802"/>
    </row>
    <row r="42" spans="1:33" ht="12" customHeight="1">
      <c r="A42" s="800" t="s">
        <v>5059</v>
      </c>
      <c r="B42" s="812" t="s">
        <v>4297</v>
      </c>
      <c r="C42" s="820">
        <v>110.904663</v>
      </c>
      <c r="D42" s="820">
        <v>112.063866</v>
      </c>
      <c r="E42" s="820">
        <v>115.074921</v>
      </c>
      <c r="F42" s="820">
        <v>115.737877</v>
      </c>
      <c r="G42" s="820">
        <v>117.073486</v>
      </c>
      <c r="H42" s="820">
        <v>118.032089</v>
      </c>
      <c r="I42" s="820">
        <v>118.99503300000001</v>
      </c>
      <c r="J42" s="820">
        <v>119.97281599999999</v>
      </c>
      <c r="K42" s="820">
        <v>120.97473100000001</v>
      </c>
      <c r="L42" s="820">
        <v>122.04821800000001</v>
      </c>
      <c r="M42" s="820">
        <v>123.209785</v>
      </c>
      <c r="N42" s="820">
        <v>124.393883</v>
      </c>
      <c r="O42" s="820">
        <v>125.66469600000001</v>
      </c>
      <c r="P42" s="820">
        <v>127.00679</v>
      </c>
      <c r="Q42" s="820">
        <v>128.37536600000001</v>
      </c>
      <c r="R42" s="820">
        <v>129.82170099999999</v>
      </c>
      <c r="S42" s="820">
        <v>131.33123800000001</v>
      </c>
      <c r="T42" s="820">
        <v>132.914017</v>
      </c>
      <c r="U42" s="820">
        <v>134.58850100000001</v>
      </c>
      <c r="V42" s="820">
        <v>136.34385700000001</v>
      </c>
      <c r="W42" s="820">
        <v>138.18336500000001</v>
      </c>
      <c r="X42" s="820">
        <v>140.07849100000001</v>
      </c>
      <c r="Y42" s="820">
        <v>142.009872</v>
      </c>
      <c r="Z42" s="820">
        <v>143.96772799999999</v>
      </c>
      <c r="AA42" s="820">
        <v>144.80242899999999</v>
      </c>
      <c r="AB42" s="820">
        <v>146.65562399999999</v>
      </c>
      <c r="AC42" s="820">
        <v>148.86570699999999</v>
      </c>
      <c r="AD42" s="820">
        <v>150.869202</v>
      </c>
      <c r="AE42" s="820">
        <v>152.87919600000001</v>
      </c>
      <c r="AF42" s="814">
        <v>1.1528999999999999E-2</v>
      </c>
      <c r="AG42" s="802"/>
    </row>
    <row r="43" spans="1:33" ht="12" customHeight="1">
      <c r="A43" s="800" t="s">
        <v>5060</v>
      </c>
      <c r="B43" s="812" t="s">
        <v>5061</v>
      </c>
      <c r="C43" s="820">
        <v>10.509938</v>
      </c>
      <c r="D43" s="820">
        <v>10.645227</v>
      </c>
      <c r="E43" s="820">
        <v>12.165609999999999</v>
      </c>
      <c r="F43" s="820">
        <v>12.281819</v>
      </c>
      <c r="G43" s="820">
        <v>12.281819</v>
      </c>
      <c r="H43" s="820">
        <v>12.281819</v>
      </c>
      <c r="I43" s="820">
        <v>12.281819</v>
      </c>
      <c r="J43" s="820">
        <v>12.281819</v>
      </c>
      <c r="K43" s="820">
        <v>12.281819</v>
      </c>
      <c r="L43" s="820">
        <v>12.281819</v>
      </c>
      <c r="M43" s="820">
        <v>12.281819</v>
      </c>
      <c r="N43" s="820">
        <v>12.281819</v>
      </c>
      <c r="O43" s="820">
        <v>12.281819</v>
      </c>
      <c r="P43" s="820">
        <v>12.281819</v>
      </c>
      <c r="Q43" s="820">
        <v>12.281819</v>
      </c>
      <c r="R43" s="820">
        <v>12.281819</v>
      </c>
      <c r="S43" s="820">
        <v>12.281819</v>
      </c>
      <c r="T43" s="820">
        <v>12.281819</v>
      </c>
      <c r="U43" s="820">
        <v>12.281819</v>
      </c>
      <c r="V43" s="820">
        <v>12.281819</v>
      </c>
      <c r="W43" s="820">
        <v>12.281819</v>
      </c>
      <c r="X43" s="820">
        <v>12.281819</v>
      </c>
      <c r="Y43" s="820">
        <v>12.281819</v>
      </c>
      <c r="Z43" s="820">
        <v>12.281819</v>
      </c>
      <c r="AA43" s="820">
        <v>12.029291000000001</v>
      </c>
      <c r="AB43" s="820">
        <v>12.004455999999999</v>
      </c>
      <c r="AC43" s="820">
        <v>12.066053</v>
      </c>
      <c r="AD43" s="820">
        <v>12.053805000000001</v>
      </c>
      <c r="AE43" s="820">
        <v>11.999513</v>
      </c>
      <c r="AF43" s="814">
        <v>4.7450000000000001E-3</v>
      </c>
      <c r="AG43" s="802"/>
    </row>
    <row r="44" spans="1:33" ht="12" customHeight="1">
      <c r="A44" s="800" t="s">
        <v>5062</v>
      </c>
      <c r="B44" s="812" t="s">
        <v>5063</v>
      </c>
      <c r="C44" s="820">
        <v>101.924057</v>
      </c>
      <c r="D44" s="820">
        <v>111.49603999999999</v>
      </c>
      <c r="E44" s="820">
        <v>120.813164</v>
      </c>
      <c r="F44" s="820">
        <v>129.69979900000001</v>
      </c>
      <c r="G44" s="820">
        <v>136.93699599999999</v>
      </c>
      <c r="H44" s="820">
        <v>144.681747</v>
      </c>
      <c r="I44" s="820">
        <v>152.19091800000001</v>
      </c>
      <c r="J44" s="820">
        <v>161.057739</v>
      </c>
      <c r="K44" s="820">
        <v>169.08909600000001</v>
      </c>
      <c r="L44" s="820">
        <v>177.42253099999999</v>
      </c>
      <c r="M44" s="820">
        <v>185.85311899999999</v>
      </c>
      <c r="N44" s="820">
        <v>195.30084199999999</v>
      </c>
      <c r="O44" s="820">
        <v>205.071777</v>
      </c>
      <c r="P44" s="820">
        <v>212.727417</v>
      </c>
      <c r="Q44" s="820">
        <v>222.24558999999999</v>
      </c>
      <c r="R44" s="820">
        <v>230.54827900000001</v>
      </c>
      <c r="S44" s="820">
        <v>240.08265700000001</v>
      </c>
      <c r="T44" s="820">
        <v>249.91828899999999</v>
      </c>
      <c r="U44" s="820">
        <v>259.80996699999997</v>
      </c>
      <c r="V44" s="820">
        <v>269.79595899999998</v>
      </c>
      <c r="W44" s="820">
        <v>279.88192700000002</v>
      </c>
      <c r="X44" s="820">
        <v>290.217468</v>
      </c>
      <c r="Y44" s="820">
        <v>300.67962599999998</v>
      </c>
      <c r="Z44" s="820">
        <v>311.51861600000001</v>
      </c>
      <c r="AA44" s="820">
        <v>323.80166600000001</v>
      </c>
      <c r="AB44" s="820">
        <v>334.81521600000002</v>
      </c>
      <c r="AC44" s="820">
        <v>346.80365</v>
      </c>
      <c r="AD44" s="820">
        <v>358.34973100000002</v>
      </c>
      <c r="AE44" s="820">
        <v>370.104218</v>
      </c>
      <c r="AF44" s="814">
        <v>4.7133000000000001E-2</v>
      </c>
      <c r="AG44" s="802"/>
    </row>
    <row r="45" spans="1:33" ht="12" customHeight="1">
      <c r="A45" s="800" t="s">
        <v>5064</v>
      </c>
      <c r="B45" s="812" t="s">
        <v>5065</v>
      </c>
      <c r="C45" s="820">
        <v>1.62704</v>
      </c>
      <c r="D45" s="820">
        <v>1.62704</v>
      </c>
      <c r="E45" s="820">
        <v>1.62704</v>
      </c>
      <c r="F45" s="820">
        <v>1.62704</v>
      </c>
      <c r="G45" s="820">
        <v>1.91612</v>
      </c>
      <c r="H45" s="820">
        <v>1.91612</v>
      </c>
      <c r="I45" s="820">
        <v>1.91612</v>
      </c>
      <c r="J45" s="820">
        <v>1.91612</v>
      </c>
      <c r="K45" s="820">
        <v>1.91612</v>
      </c>
      <c r="L45" s="820">
        <v>1.91612</v>
      </c>
      <c r="M45" s="820">
        <v>1.91612</v>
      </c>
      <c r="N45" s="820">
        <v>1.91612</v>
      </c>
      <c r="O45" s="820">
        <v>1.91612</v>
      </c>
      <c r="P45" s="820">
        <v>1.91612</v>
      </c>
      <c r="Q45" s="820">
        <v>1.91612</v>
      </c>
      <c r="R45" s="820">
        <v>1.91612</v>
      </c>
      <c r="S45" s="820">
        <v>1.91612</v>
      </c>
      <c r="T45" s="820">
        <v>1.91612</v>
      </c>
      <c r="U45" s="820">
        <v>1.91612</v>
      </c>
      <c r="V45" s="820">
        <v>1.91612</v>
      </c>
      <c r="W45" s="820">
        <v>1.91612</v>
      </c>
      <c r="X45" s="820">
        <v>1.91612</v>
      </c>
      <c r="Y45" s="820">
        <v>1.91612</v>
      </c>
      <c r="Z45" s="820">
        <v>1.91612</v>
      </c>
      <c r="AA45" s="820">
        <v>1.91612</v>
      </c>
      <c r="AB45" s="820">
        <v>1.91612</v>
      </c>
      <c r="AC45" s="820">
        <v>1.91612</v>
      </c>
      <c r="AD45" s="820">
        <v>1.91612</v>
      </c>
      <c r="AE45" s="820">
        <v>1.91612</v>
      </c>
      <c r="AF45" s="814">
        <v>5.8580000000000004E-3</v>
      </c>
      <c r="AG45" s="802"/>
    </row>
    <row r="46" spans="1:33" ht="12" customHeight="1">
      <c r="A46" s="800" t="s">
        <v>5066</v>
      </c>
      <c r="B46" s="808" t="s">
        <v>5067</v>
      </c>
      <c r="C46" s="809">
        <v>232.144058</v>
      </c>
      <c r="D46" s="809">
        <v>242.92910800000001</v>
      </c>
      <c r="E46" s="809">
        <v>256.40508999999997</v>
      </c>
      <c r="F46" s="809">
        <v>265.99517800000001</v>
      </c>
      <c r="G46" s="809">
        <v>274.81942700000002</v>
      </c>
      <c r="H46" s="809">
        <v>283.48452800000001</v>
      </c>
      <c r="I46" s="809">
        <v>291.91653400000001</v>
      </c>
      <c r="J46" s="809">
        <v>301.720123</v>
      </c>
      <c r="K46" s="809">
        <v>310.71023600000001</v>
      </c>
      <c r="L46" s="809">
        <v>320.07781999999997</v>
      </c>
      <c r="M46" s="809">
        <v>329.63363600000002</v>
      </c>
      <c r="N46" s="809">
        <v>340.22579999999999</v>
      </c>
      <c r="O46" s="809">
        <v>351.22946200000001</v>
      </c>
      <c r="P46" s="809">
        <v>360.19073500000002</v>
      </c>
      <c r="Q46" s="809">
        <v>371.03848299999999</v>
      </c>
      <c r="R46" s="809">
        <v>380.750427</v>
      </c>
      <c r="S46" s="809">
        <v>391.75598100000002</v>
      </c>
      <c r="T46" s="809">
        <v>403.135132</v>
      </c>
      <c r="U46" s="809">
        <v>414.66516100000001</v>
      </c>
      <c r="V46" s="809">
        <v>426.37081899999998</v>
      </c>
      <c r="W46" s="809">
        <v>438.26190200000002</v>
      </c>
      <c r="X46" s="809">
        <v>450.45675699999998</v>
      </c>
      <c r="Y46" s="809">
        <v>462.81329299999999</v>
      </c>
      <c r="Z46" s="809">
        <v>475.57269300000002</v>
      </c>
      <c r="AA46" s="809">
        <v>488.40271000000001</v>
      </c>
      <c r="AB46" s="809">
        <v>501.21185300000002</v>
      </c>
      <c r="AC46" s="809">
        <v>515.43579099999999</v>
      </c>
      <c r="AD46" s="809">
        <v>528.93847700000003</v>
      </c>
      <c r="AE46" s="809">
        <v>542.61798099999999</v>
      </c>
      <c r="AF46" s="810">
        <v>3.0787999999999999E-2</v>
      </c>
      <c r="AG46" s="802"/>
    </row>
    <row r="47" spans="1:33" ht="12" customHeight="1">
      <c r="A47" s="800" t="s">
        <v>5068</v>
      </c>
      <c r="B47" s="812" t="s">
        <v>5069</v>
      </c>
      <c r="C47" s="820">
        <v>181.11088599999999</v>
      </c>
      <c r="D47" s="820">
        <v>190.62063599999999</v>
      </c>
      <c r="E47" s="820">
        <v>210.67314099999999</v>
      </c>
      <c r="F47" s="820">
        <v>219.02018699999999</v>
      </c>
      <c r="G47" s="820">
        <v>226.43895000000001</v>
      </c>
      <c r="H47" s="820">
        <v>233.806702</v>
      </c>
      <c r="I47" s="820">
        <v>240.91570999999999</v>
      </c>
      <c r="J47" s="820">
        <v>249.31706199999999</v>
      </c>
      <c r="K47" s="820">
        <v>256.861786</v>
      </c>
      <c r="L47" s="820">
        <v>264.67620799999997</v>
      </c>
      <c r="M47" s="820">
        <v>272.551422</v>
      </c>
      <c r="N47" s="820">
        <v>281.454498</v>
      </c>
      <c r="O47" s="820">
        <v>290.69879200000003</v>
      </c>
      <c r="P47" s="820">
        <v>298.08367900000002</v>
      </c>
      <c r="Q47" s="820">
        <v>307.26489299999997</v>
      </c>
      <c r="R47" s="820">
        <v>315.26034499999997</v>
      </c>
      <c r="S47" s="820">
        <v>324.42819200000002</v>
      </c>
      <c r="T47" s="820">
        <v>333.85717799999998</v>
      </c>
      <c r="U47" s="820">
        <v>343.297729</v>
      </c>
      <c r="V47" s="820">
        <v>352.80676299999999</v>
      </c>
      <c r="W47" s="820">
        <v>362.39596599999999</v>
      </c>
      <c r="X47" s="820">
        <v>372.13952599999999</v>
      </c>
      <c r="Y47" s="820">
        <v>381.96148699999998</v>
      </c>
      <c r="Z47" s="820">
        <v>392.09750400000001</v>
      </c>
      <c r="AA47" s="820">
        <v>401.80764799999997</v>
      </c>
      <c r="AB47" s="820">
        <v>411.96237200000002</v>
      </c>
      <c r="AC47" s="820">
        <v>423.423248</v>
      </c>
      <c r="AD47" s="820">
        <v>434.12606799999998</v>
      </c>
      <c r="AE47" s="820">
        <v>444.91101099999997</v>
      </c>
      <c r="AF47" s="814">
        <v>3.2619000000000002E-2</v>
      </c>
      <c r="AG47" s="802"/>
    </row>
    <row r="48" spans="1:33" ht="12" customHeight="1">
      <c r="A48" s="800" t="s">
        <v>5070</v>
      </c>
      <c r="B48" s="808" t="s">
        <v>5071</v>
      </c>
      <c r="C48" s="809">
        <v>51.033164999999997</v>
      </c>
      <c r="D48" s="809">
        <v>52.308464000000001</v>
      </c>
      <c r="E48" s="809">
        <v>45.731968000000002</v>
      </c>
      <c r="F48" s="809">
        <v>46.974986999999999</v>
      </c>
      <c r="G48" s="809">
        <v>48.380462999999999</v>
      </c>
      <c r="H48" s="809">
        <v>49.677826000000003</v>
      </c>
      <c r="I48" s="809">
        <v>51.000835000000002</v>
      </c>
      <c r="J48" s="809">
        <v>52.403038000000002</v>
      </c>
      <c r="K48" s="809">
        <v>53.848433999999997</v>
      </c>
      <c r="L48" s="809">
        <v>55.401608000000003</v>
      </c>
      <c r="M48" s="809">
        <v>57.082248999999997</v>
      </c>
      <c r="N48" s="809">
        <v>58.771317000000003</v>
      </c>
      <c r="O48" s="809">
        <v>60.530642999999998</v>
      </c>
      <c r="P48" s="809">
        <v>62.107093999999996</v>
      </c>
      <c r="Q48" s="809">
        <v>63.773631999999999</v>
      </c>
      <c r="R48" s="809">
        <v>65.490105</v>
      </c>
      <c r="S48" s="809">
        <v>67.327751000000006</v>
      </c>
      <c r="T48" s="809">
        <v>69.277962000000002</v>
      </c>
      <c r="U48" s="809">
        <v>71.367439000000005</v>
      </c>
      <c r="V48" s="809">
        <v>73.564071999999996</v>
      </c>
      <c r="W48" s="809">
        <v>75.865936000000005</v>
      </c>
      <c r="X48" s="809">
        <v>78.317215000000004</v>
      </c>
      <c r="Y48" s="809">
        <v>80.851723000000007</v>
      </c>
      <c r="Z48" s="809">
        <v>83.475066999999996</v>
      </c>
      <c r="AA48" s="809">
        <v>86.595009000000005</v>
      </c>
      <c r="AB48" s="809">
        <v>89.249435000000005</v>
      </c>
      <c r="AC48" s="809">
        <v>92.012512000000001</v>
      </c>
      <c r="AD48" s="809">
        <v>94.812340000000006</v>
      </c>
      <c r="AE48" s="809">
        <v>97.706871000000007</v>
      </c>
      <c r="AF48" s="810">
        <v>2.3466999999999998E-2</v>
      </c>
      <c r="AG48" s="802"/>
    </row>
    <row r="49" spans="1:33" ht="12" customHeight="1">
      <c r="B49" s="802"/>
      <c r="C49" s="802"/>
      <c r="D49" s="802"/>
      <c r="E49" s="802"/>
      <c r="F49" s="802"/>
      <c r="G49" s="802"/>
      <c r="H49" s="802"/>
      <c r="I49" s="802"/>
      <c r="J49" s="802"/>
      <c r="K49" s="802"/>
      <c r="L49" s="802"/>
      <c r="M49" s="802"/>
      <c r="N49" s="802"/>
      <c r="O49" s="802"/>
      <c r="P49" s="802"/>
      <c r="Q49" s="802"/>
      <c r="R49" s="802"/>
      <c r="S49" s="802"/>
      <c r="T49" s="802"/>
      <c r="U49" s="802"/>
      <c r="V49" s="802"/>
      <c r="W49" s="802"/>
      <c r="X49" s="802"/>
      <c r="Y49" s="802"/>
      <c r="Z49" s="802"/>
      <c r="AA49" s="802"/>
      <c r="AB49" s="802"/>
      <c r="AC49" s="802"/>
      <c r="AD49" s="802"/>
      <c r="AE49" s="802"/>
      <c r="AF49" s="802"/>
      <c r="AG49" s="802"/>
    </row>
    <row r="50" spans="1:33" ht="15" customHeight="1">
      <c r="B50" s="808" t="s">
        <v>5072</v>
      </c>
      <c r="C50" s="802"/>
      <c r="D50" s="802"/>
      <c r="E50" s="802"/>
      <c r="F50" s="802"/>
      <c r="G50" s="802"/>
      <c r="H50" s="802"/>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2"/>
      <c r="AF50" s="802"/>
      <c r="AG50" s="802"/>
    </row>
    <row r="51" spans="1:33" ht="15" customHeight="1">
      <c r="A51" s="800" t="s">
        <v>5073</v>
      </c>
      <c r="B51" s="812" t="s">
        <v>4326</v>
      </c>
      <c r="C51" s="820">
        <v>848.57257100000004</v>
      </c>
      <c r="D51" s="820">
        <v>799.80981399999996</v>
      </c>
      <c r="E51" s="820">
        <v>839.55120799999997</v>
      </c>
      <c r="F51" s="820">
        <v>769.52960199999995</v>
      </c>
      <c r="G51" s="820">
        <v>661.51995799999997</v>
      </c>
      <c r="H51" s="820">
        <v>563.42608600000005</v>
      </c>
      <c r="I51" s="820">
        <v>467.785461</v>
      </c>
      <c r="J51" s="820">
        <v>398.29116800000003</v>
      </c>
      <c r="K51" s="820">
        <v>359.05233800000002</v>
      </c>
      <c r="L51" s="820">
        <v>350.73956299999998</v>
      </c>
      <c r="M51" s="820">
        <v>346.98895299999998</v>
      </c>
      <c r="N51" s="820">
        <v>356.15911899999998</v>
      </c>
      <c r="O51" s="820">
        <v>353.93145800000002</v>
      </c>
      <c r="P51" s="820">
        <v>354.26357999999999</v>
      </c>
      <c r="Q51" s="820">
        <v>350.84027099999997</v>
      </c>
      <c r="R51" s="820">
        <v>342.54663099999999</v>
      </c>
      <c r="S51" s="820">
        <v>330.30957000000001</v>
      </c>
      <c r="T51" s="820">
        <v>322.55166600000001</v>
      </c>
      <c r="U51" s="820">
        <v>314.45339999999999</v>
      </c>
      <c r="V51" s="820">
        <v>316.12460299999998</v>
      </c>
      <c r="W51" s="820">
        <v>315.81085200000001</v>
      </c>
      <c r="X51" s="820">
        <v>312.248718</v>
      </c>
      <c r="Y51" s="820">
        <v>300.67199699999998</v>
      </c>
      <c r="Z51" s="820">
        <v>292.31552099999999</v>
      </c>
      <c r="AA51" s="820">
        <v>282.68090799999999</v>
      </c>
      <c r="AB51" s="820">
        <v>277.91754200000003</v>
      </c>
      <c r="AC51" s="820">
        <v>267.76672400000001</v>
      </c>
      <c r="AD51" s="820">
        <v>266.10537699999998</v>
      </c>
      <c r="AE51" s="820">
        <v>256.46099900000002</v>
      </c>
      <c r="AF51" s="814">
        <v>-4.1834999999999997E-2</v>
      </c>
      <c r="AG51" s="802"/>
    </row>
    <row r="52" spans="1:33" ht="15" customHeight="1">
      <c r="A52" s="800" t="s">
        <v>5074</v>
      </c>
      <c r="B52" s="812" t="s">
        <v>4323</v>
      </c>
      <c r="C52" s="820">
        <v>11.318970999999999</v>
      </c>
      <c r="D52" s="820">
        <v>10.811957</v>
      </c>
      <c r="E52" s="820">
        <v>10.602041</v>
      </c>
      <c r="F52" s="820">
        <v>10.276357000000001</v>
      </c>
      <c r="G52" s="820">
        <v>9.5699050000000003</v>
      </c>
      <c r="H52" s="820">
        <v>8.8762249999999998</v>
      </c>
      <c r="I52" s="820">
        <v>8.1868309999999997</v>
      </c>
      <c r="J52" s="820">
        <v>7.7829940000000004</v>
      </c>
      <c r="K52" s="820">
        <v>7.49275</v>
      </c>
      <c r="L52" s="820">
        <v>7.2100169999999997</v>
      </c>
      <c r="M52" s="820">
        <v>7.1736909999999998</v>
      </c>
      <c r="N52" s="820">
        <v>7.1689489999999996</v>
      </c>
      <c r="O52" s="820">
        <v>7.1406099999999997</v>
      </c>
      <c r="P52" s="820">
        <v>7.1236920000000001</v>
      </c>
      <c r="Q52" s="820">
        <v>7.0357640000000004</v>
      </c>
      <c r="R52" s="820">
        <v>6.851839</v>
      </c>
      <c r="S52" s="820">
        <v>6.5810259999999996</v>
      </c>
      <c r="T52" s="820">
        <v>6.4698099999999998</v>
      </c>
      <c r="U52" s="820">
        <v>6.3754590000000002</v>
      </c>
      <c r="V52" s="820">
        <v>6.1027500000000003</v>
      </c>
      <c r="W52" s="820">
        <v>5.7841110000000002</v>
      </c>
      <c r="X52" s="820">
        <v>5.4595560000000001</v>
      </c>
      <c r="Y52" s="820">
        <v>5.1115279999999998</v>
      </c>
      <c r="Z52" s="820">
        <v>4.7483690000000003</v>
      </c>
      <c r="AA52" s="820">
        <v>4.7096530000000003</v>
      </c>
      <c r="AB52" s="820">
        <v>4.7163110000000001</v>
      </c>
      <c r="AC52" s="820">
        <v>4.6931079999999996</v>
      </c>
      <c r="AD52" s="820">
        <v>4.7077210000000003</v>
      </c>
      <c r="AE52" s="820">
        <v>4.6929040000000004</v>
      </c>
      <c r="AF52" s="814">
        <v>-3.0955E-2</v>
      </c>
      <c r="AG52" s="802"/>
    </row>
    <row r="53" spans="1:33" ht="15" customHeight="1">
      <c r="A53" s="800" t="s">
        <v>5075</v>
      </c>
      <c r="B53" s="812" t="s">
        <v>4297</v>
      </c>
      <c r="C53" s="820">
        <v>1685.3833010000001</v>
      </c>
      <c r="D53" s="820">
        <v>1586.329712</v>
      </c>
      <c r="E53" s="820">
        <v>1494.498047</v>
      </c>
      <c r="F53" s="820">
        <v>1430.574341</v>
      </c>
      <c r="G53" s="820">
        <v>1375.3032229999999</v>
      </c>
      <c r="H53" s="820">
        <v>1291.0737300000001</v>
      </c>
      <c r="I53" s="820">
        <v>1248.7836910000001</v>
      </c>
      <c r="J53" s="820">
        <v>1213.9282229999999</v>
      </c>
      <c r="K53" s="820">
        <v>1168.775024</v>
      </c>
      <c r="L53" s="820">
        <v>1124.0424800000001</v>
      </c>
      <c r="M53" s="820">
        <v>1091.7619629999999</v>
      </c>
      <c r="N53" s="820">
        <v>1068.0170900000001</v>
      </c>
      <c r="O53" s="820">
        <v>1044.5501710000001</v>
      </c>
      <c r="P53" s="820">
        <v>1036.4454350000001</v>
      </c>
      <c r="Q53" s="820">
        <v>1039.3625489999999</v>
      </c>
      <c r="R53" s="820">
        <v>1051.8452150000001</v>
      </c>
      <c r="S53" s="820">
        <v>1076.27124</v>
      </c>
      <c r="T53" s="820">
        <v>1090.0593260000001</v>
      </c>
      <c r="U53" s="820">
        <v>1114.8000489999999</v>
      </c>
      <c r="V53" s="820">
        <v>1126.3946530000001</v>
      </c>
      <c r="W53" s="820">
        <v>1142.400269</v>
      </c>
      <c r="X53" s="820">
        <v>1153.7495120000001</v>
      </c>
      <c r="Y53" s="820">
        <v>1157.6260990000001</v>
      </c>
      <c r="Z53" s="820">
        <v>1168.775269</v>
      </c>
      <c r="AA53" s="820">
        <v>1168.0532229999999</v>
      </c>
      <c r="AB53" s="820">
        <v>1173.603394</v>
      </c>
      <c r="AC53" s="820">
        <v>1187.365112</v>
      </c>
      <c r="AD53" s="820">
        <v>1194.0896</v>
      </c>
      <c r="AE53" s="820">
        <v>1209.1621090000001</v>
      </c>
      <c r="AF53" s="814">
        <v>-1.1789000000000001E-2</v>
      </c>
      <c r="AG53" s="802"/>
    </row>
    <row r="54" spans="1:33" ht="15" customHeight="1">
      <c r="A54" s="800" t="s">
        <v>5076</v>
      </c>
      <c r="B54" s="812" t="s">
        <v>5033</v>
      </c>
      <c r="C54" s="820">
        <v>771.984375</v>
      </c>
      <c r="D54" s="820">
        <v>783.71594200000004</v>
      </c>
      <c r="E54" s="820">
        <v>789.40368699999999</v>
      </c>
      <c r="F54" s="820">
        <v>782.25647000000004</v>
      </c>
      <c r="G54" s="820">
        <v>774.68408199999999</v>
      </c>
      <c r="H54" s="820">
        <v>774.67089799999997</v>
      </c>
      <c r="I54" s="820">
        <v>765.55304000000001</v>
      </c>
      <c r="J54" s="820">
        <v>765.54077099999995</v>
      </c>
      <c r="K54" s="820">
        <v>758.01715100000001</v>
      </c>
      <c r="L54" s="820">
        <v>758.02221699999996</v>
      </c>
      <c r="M54" s="820">
        <v>758.03063999999995</v>
      </c>
      <c r="N54" s="820">
        <v>715.33032200000002</v>
      </c>
      <c r="O54" s="820">
        <v>708.66870100000006</v>
      </c>
      <c r="P54" s="820">
        <v>700.12188700000002</v>
      </c>
      <c r="Q54" s="820">
        <v>684.02917500000001</v>
      </c>
      <c r="R54" s="820">
        <v>673.099243</v>
      </c>
      <c r="S54" s="820">
        <v>654.48669400000006</v>
      </c>
      <c r="T54" s="820">
        <v>644.63195800000005</v>
      </c>
      <c r="U54" s="820">
        <v>625.42901600000005</v>
      </c>
      <c r="V54" s="820">
        <v>625.59808299999997</v>
      </c>
      <c r="W54" s="820">
        <v>625.89691200000004</v>
      </c>
      <c r="X54" s="820">
        <v>626.152649</v>
      </c>
      <c r="Y54" s="820">
        <v>626.43640100000005</v>
      </c>
      <c r="Z54" s="820">
        <v>626.43884300000002</v>
      </c>
      <c r="AA54" s="820">
        <v>626.196777</v>
      </c>
      <c r="AB54" s="820">
        <v>626.00213599999995</v>
      </c>
      <c r="AC54" s="820">
        <v>625.14129600000001</v>
      </c>
      <c r="AD54" s="820">
        <v>625.25939900000003</v>
      </c>
      <c r="AE54" s="820">
        <v>624.86090100000001</v>
      </c>
      <c r="AF54" s="814">
        <v>-7.5230000000000002E-3</v>
      </c>
      <c r="AG54" s="802"/>
    </row>
    <row r="55" spans="1:33" ht="15" customHeight="1">
      <c r="A55" s="800" t="s">
        <v>5077</v>
      </c>
      <c r="B55" s="812" t="s">
        <v>5078</v>
      </c>
      <c r="C55" s="820">
        <v>990.37359600000002</v>
      </c>
      <c r="D55" s="820">
        <v>1076.52478</v>
      </c>
      <c r="E55" s="820">
        <v>1175.911255</v>
      </c>
      <c r="F55" s="820">
        <v>1352.3679199999999</v>
      </c>
      <c r="G55" s="820">
        <v>1565.9985349999999</v>
      </c>
      <c r="H55" s="820">
        <v>1786.455933</v>
      </c>
      <c r="I55" s="820">
        <v>1979.0013429999999</v>
      </c>
      <c r="J55" s="820">
        <v>2127.9064939999998</v>
      </c>
      <c r="K55" s="820">
        <v>2254.9389649999998</v>
      </c>
      <c r="L55" s="820">
        <v>2347.4489749999998</v>
      </c>
      <c r="M55" s="820">
        <v>2428.781982</v>
      </c>
      <c r="N55" s="820">
        <v>2523.3867190000001</v>
      </c>
      <c r="O55" s="820">
        <v>2598.4313959999999</v>
      </c>
      <c r="P55" s="820">
        <v>2658.9648440000001</v>
      </c>
      <c r="Q55" s="820">
        <v>2721.883057</v>
      </c>
      <c r="R55" s="820">
        <v>2772.9716800000001</v>
      </c>
      <c r="S55" s="820">
        <v>2823.594482</v>
      </c>
      <c r="T55" s="820">
        <v>2868.7126459999999</v>
      </c>
      <c r="U55" s="820">
        <v>2916.3063959999999</v>
      </c>
      <c r="V55" s="820">
        <v>2953.4326169999999</v>
      </c>
      <c r="W55" s="820">
        <v>2989.2863769999999</v>
      </c>
      <c r="X55" s="820">
        <v>3034.3081050000001</v>
      </c>
      <c r="Y55" s="820">
        <v>3095.5190429999998</v>
      </c>
      <c r="Z55" s="820">
        <v>3151.5134280000002</v>
      </c>
      <c r="AA55" s="820">
        <v>3218.4013669999999</v>
      </c>
      <c r="AB55" s="820">
        <v>3277.5180660000001</v>
      </c>
      <c r="AC55" s="820">
        <v>3333.4782709999999</v>
      </c>
      <c r="AD55" s="820">
        <v>3388.3183589999999</v>
      </c>
      <c r="AE55" s="820">
        <v>3450.4973140000002</v>
      </c>
      <c r="AF55" s="814">
        <v>4.5587000000000003E-2</v>
      </c>
      <c r="AG55" s="802"/>
    </row>
    <row r="56" spans="1:33" ht="15" customHeight="1">
      <c r="A56" s="800" t="s">
        <v>5079</v>
      </c>
      <c r="B56" s="812" t="s">
        <v>5080</v>
      </c>
      <c r="C56" s="820">
        <v>13.173830000000001</v>
      </c>
      <c r="D56" s="820">
        <v>12.665395999999999</v>
      </c>
      <c r="E56" s="820">
        <v>13.1416</v>
      </c>
      <c r="F56" s="820">
        <v>12.471628000000001</v>
      </c>
      <c r="G56" s="820">
        <v>12.183074</v>
      </c>
      <c r="H56" s="820">
        <v>11.752855</v>
      </c>
      <c r="I56" s="820">
        <v>10.380667000000001</v>
      </c>
      <c r="J56" s="820">
        <v>9.6811369999999997</v>
      </c>
      <c r="K56" s="820">
        <v>8.9898349999999994</v>
      </c>
      <c r="L56" s="820">
        <v>8.1529600000000002</v>
      </c>
      <c r="M56" s="820">
        <v>6.9459070000000001</v>
      </c>
      <c r="N56" s="820">
        <v>5.4832450000000001</v>
      </c>
      <c r="O56" s="820">
        <v>4.0574870000000001</v>
      </c>
      <c r="P56" s="820">
        <v>2.7394959999999999</v>
      </c>
      <c r="Q56" s="820">
        <v>1.24335</v>
      </c>
      <c r="R56" s="820">
        <v>-0.88494600000000001</v>
      </c>
      <c r="S56" s="820">
        <v>-3.2426499999999998</v>
      </c>
      <c r="T56" s="820">
        <v>-5.8337909999999997</v>
      </c>
      <c r="U56" s="820">
        <v>-8.3436570000000003</v>
      </c>
      <c r="V56" s="820">
        <v>-10.434194</v>
      </c>
      <c r="W56" s="820">
        <v>-12.075773999999999</v>
      </c>
      <c r="X56" s="820">
        <v>-13.652925</v>
      </c>
      <c r="Y56" s="820">
        <v>-15.951567000000001</v>
      </c>
      <c r="Z56" s="820">
        <v>-17.923089999999998</v>
      </c>
      <c r="AA56" s="820">
        <v>-19.423045999999999</v>
      </c>
      <c r="AB56" s="820">
        <v>-20.799486000000002</v>
      </c>
      <c r="AC56" s="820">
        <v>-22.180427999999999</v>
      </c>
      <c r="AD56" s="820">
        <v>-23.809244</v>
      </c>
      <c r="AE56" s="820">
        <v>-25.583932999999998</v>
      </c>
      <c r="AF56" s="814" t="s">
        <v>2805</v>
      </c>
      <c r="AG56" s="802"/>
    </row>
    <row r="57" spans="1:33" ht="15" customHeight="1">
      <c r="A57" s="800" t="s">
        <v>5081</v>
      </c>
      <c r="B57" s="808" t="s">
        <v>5082</v>
      </c>
      <c r="C57" s="809">
        <v>4320.8066410000001</v>
      </c>
      <c r="D57" s="809">
        <v>4269.857422</v>
      </c>
      <c r="E57" s="809">
        <v>4323.1083980000003</v>
      </c>
      <c r="F57" s="809">
        <v>4357.4765619999998</v>
      </c>
      <c r="G57" s="809">
        <v>4399.2587890000004</v>
      </c>
      <c r="H57" s="809">
        <v>4436.2553710000002</v>
      </c>
      <c r="I57" s="809">
        <v>4479.6909180000002</v>
      </c>
      <c r="J57" s="809">
        <v>4523.1308589999999</v>
      </c>
      <c r="K57" s="809">
        <v>4557.2661129999997</v>
      </c>
      <c r="L57" s="809">
        <v>4595.6157229999999</v>
      </c>
      <c r="M57" s="809">
        <v>4639.6835940000001</v>
      </c>
      <c r="N57" s="809">
        <v>4675.5454099999997</v>
      </c>
      <c r="O57" s="809">
        <v>4716.7797849999997</v>
      </c>
      <c r="P57" s="809">
        <v>4759.6586909999996</v>
      </c>
      <c r="Q57" s="809">
        <v>4804.3945309999999</v>
      </c>
      <c r="R57" s="809">
        <v>4846.4296880000002</v>
      </c>
      <c r="S57" s="809">
        <v>4888</v>
      </c>
      <c r="T57" s="809">
        <v>4926.591797</v>
      </c>
      <c r="U57" s="809">
        <v>4969.0205079999996</v>
      </c>
      <c r="V57" s="809">
        <v>5017.2177730000003</v>
      </c>
      <c r="W57" s="809">
        <v>5067.1025390000004</v>
      </c>
      <c r="X57" s="809">
        <v>5118.2651370000003</v>
      </c>
      <c r="Y57" s="809">
        <v>5169.4135740000002</v>
      </c>
      <c r="Z57" s="809">
        <v>5225.8686520000001</v>
      </c>
      <c r="AA57" s="809">
        <v>5280.6191410000001</v>
      </c>
      <c r="AB57" s="809">
        <v>5338.9575199999999</v>
      </c>
      <c r="AC57" s="809">
        <v>5396.263672</v>
      </c>
      <c r="AD57" s="809">
        <v>5454.6708980000003</v>
      </c>
      <c r="AE57" s="809">
        <v>5520.0908200000003</v>
      </c>
      <c r="AF57" s="810">
        <v>8.7869999999999997E-3</v>
      </c>
      <c r="AG57" s="802"/>
    </row>
    <row r="58" spans="1:33" ht="15" customHeight="1">
      <c r="A58" s="800" t="s">
        <v>5083</v>
      </c>
      <c r="B58" s="808" t="s">
        <v>5084</v>
      </c>
      <c r="C58" s="809">
        <v>4122.4580079999996</v>
      </c>
      <c r="D58" s="809">
        <v>4062.4794919999999</v>
      </c>
      <c r="E58" s="809">
        <v>4095.7714839999999</v>
      </c>
      <c r="F58" s="809">
        <v>4121.8603519999997</v>
      </c>
      <c r="G58" s="809">
        <v>4156.2426759999998</v>
      </c>
      <c r="H58" s="809">
        <v>4185.8715819999998</v>
      </c>
      <c r="I58" s="809">
        <v>4222.1992190000001</v>
      </c>
      <c r="J58" s="809">
        <v>4257.2373049999997</v>
      </c>
      <c r="K58" s="809">
        <v>4283.828125</v>
      </c>
      <c r="L58" s="809">
        <v>4314.3852539999998</v>
      </c>
      <c r="M58" s="809">
        <v>4350.5776370000003</v>
      </c>
      <c r="N58" s="809">
        <v>4377.5375979999999</v>
      </c>
      <c r="O58" s="809">
        <v>4409.5273440000001</v>
      </c>
      <c r="P58" s="809">
        <v>4445.0209960000002</v>
      </c>
      <c r="Q58" s="809">
        <v>4480.5756840000004</v>
      </c>
      <c r="R58" s="809">
        <v>4514.6186520000001</v>
      </c>
      <c r="S58" s="809">
        <v>4547.0209960000002</v>
      </c>
      <c r="T58" s="809">
        <v>4576.1835940000001</v>
      </c>
      <c r="U58" s="809">
        <v>4609.1723629999997</v>
      </c>
      <c r="V58" s="809">
        <v>4647.8603519999997</v>
      </c>
      <c r="W58" s="809">
        <v>4688.1557620000003</v>
      </c>
      <c r="X58" s="809">
        <v>4729.5751950000003</v>
      </c>
      <c r="Y58" s="809">
        <v>4770.9008789999998</v>
      </c>
      <c r="Z58" s="809">
        <v>4817.2202150000003</v>
      </c>
      <c r="AA58" s="809">
        <v>4862.2607420000004</v>
      </c>
      <c r="AB58" s="809">
        <v>4910.4443359999996</v>
      </c>
      <c r="AC58" s="809">
        <v>4956.2900390000004</v>
      </c>
      <c r="AD58" s="809">
        <v>5003.9941410000001</v>
      </c>
      <c r="AE58" s="809">
        <v>5058.6289059999999</v>
      </c>
      <c r="AF58" s="810">
        <v>7.3359999999999996E-3</v>
      </c>
      <c r="AG58" s="802"/>
    </row>
    <row r="59" spans="1:33" ht="15" customHeight="1">
      <c r="B59" s="802"/>
      <c r="C59" s="802"/>
      <c r="D59" s="802"/>
      <c r="E59" s="802"/>
      <c r="F59" s="802"/>
      <c r="G59" s="802"/>
      <c r="H59" s="802"/>
      <c r="I59" s="802"/>
      <c r="J59" s="802"/>
      <c r="K59" s="802"/>
      <c r="L59" s="802"/>
      <c r="M59" s="802"/>
      <c r="N59" s="802"/>
      <c r="O59" s="802"/>
      <c r="P59" s="802"/>
      <c r="Q59" s="802"/>
      <c r="R59" s="802"/>
      <c r="S59" s="802"/>
      <c r="T59" s="802"/>
      <c r="U59" s="802"/>
      <c r="V59" s="802"/>
      <c r="W59" s="802"/>
      <c r="X59" s="802"/>
      <c r="Y59" s="802"/>
      <c r="Z59" s="802"/>
      <c r="AA59" s="802"/>
      <c r="AB59" s="802"/>
      <c r="AC59" s="802"/>
      <c r="AD59" s="802"/>
      <c r="AE59" s="802"/>
      <c r="AF59" s="802"/>
      <c r="AG59" s="802"/>
    </row>
    <row r="60" spans="1:33" ht="15" customHeight="1">
      <c r="A60" s="800" t="s">
        <v>5085</v>
      </c>
      <c r="B60" s="808" t="s">
        <v>5086</v>
      </c>
      <c r="C60" s="809">
        <v>42.686298000000001</v>
      </c>
      <c r="D60" s="809">
        <v>51.119979999999998</v>
      </c>
      <c r="E60" s="809">
        <v>43.615738</v>
      </c>
      <c r="F60" s="809">
        <v>38.624619000000003</v>
      </c>
      <c r="G60" s="809">
        <v>39.763869999999997</v>
      </c>
      <c r="H60" s="809">
        <v>43.742573</v>
      </c>
      <c r="I60" s="809">
        <v>46.178566000000004</v>
      </c>
      <c r="J60" s="809">
        <v>43.965916</v>
      </c>
      <c r="K60" s="809">
        <v>46.238979</v>
      </c>
      <c r="L60" s="809">
        <v>43.695438000000003</v>
      </c>
      <c r="M60" s="809">
        <v>44.762752999999996</v>
      </c>
      <c r="N60" s="809">
        <v>45.263348000000001</v>
      </c>
      <c r="O60" s="809">
        <v>45.660316000000002</v>
      </c>
      <c r="P60" s="809">
        <v>44.496665999999998</v>
      </c>
      <c r="Q60" s="809">
        <v>44.117919999999998</v>
      </c>
      <c r="R60" s="809">
        <v>44.085835000000003</v>
      </c>
      <c r="S60" s="809">
        <v>44.846587999999997</v>
      </c>
      <c r="T60" s="809">
        <v>45.481293000000001</v>
      </c>
      <c r="U60" s="809">
        <v>45.996226999999998</v>
      </c>
      <c r="V60" s="809">
        <v>44.588566</v>
      </c>
      <c r="W60" s="809">
        <v>44.562922999999998</v>
      </c>
      <c r="X60" s="809">
        <v>43.881526999999998</v>
      </c>
      <c r="Y60" s="809">
        <v>43.068035000000002</v>
      </c>
      <c r="Z60" s="809">
        <v>42.262462999999997</v>
      </c>
      <c r="AA60" s="809">
        <v>41.340632999999997</v>
      </c>
      <c r="AB60" s="809">
        <v>41.192641999999999</v>
      </c>
      <c r="AC60" s="809">
        <v>41.599384000000001</v>
      </c>
      <c r="AD60" s="809">
        <v>41.154651999999999</v>
      </c>
      <c r="AE60" s="809">
        <v>40.559696000000002</v>
      </c>
      <c r="AF60" s="810">
        <v>-1.823E-3</v>
      </c>
      <c r="AG60" s="802"/>
    </row>
    <row r="61" spans="1:33" ht="15" customHeight="1">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row>
    <row r="62" spans="1:33" ht="15" customHeight="1">
      <c r="B62" s="808" t="s">
        <v>5087</v>
      </c>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row>
    <row r="63" spans="1:33" ht="15" customHeight="1">
      <c r="A63" s="800" t="s">
        <v>5088</v>
      </c>
      <c r="B63" s="812" t="s">
        <v>5089</v>
      </c>
      <c r="C63" s="820">
        <v>1508.6479489999999</v>
      </c>
      <c r="D63" s="820">
        <v>1479.0584719999999</v>
      </c>
      <c r="E63" s="820">
        <v>1498.761841</v>
      </c>
      <c r="F63" s="820">
        <v>1511.532837</v>
      </c>
      <c r="G63" s="820">
        <v>1523.877686</v>
      </c>
      <c r="H63" s="820">
        <v>1537.3596190000001</v>
      </c>
      <c r="I63" s="820">
        <v>1548.5345460000001</v>
      </c>
      <c r="J63" s="820">
        <v>1557.1938479999999</v>
      </c>
      <c r="K63" s="820">
        <v>1563.3201899999999</v>
      </c>
      <c r="L63" s="820">
        <v>1568.4975589999999</v>
      </c>
      <c r="M63" s="820">
        <v>1574.0804439999999</v>
      </c>
      <c r="N63" s="820">
        <v>1580.035034</v>
      </c>
      <c r="O63" s="820">
        <v>1585.5839840000001</v>
      </c>
      <c r="P63" s="820">
        <v>1595.0478519999999</v>
      </c>
      <c r="Q63" s="820">
        <v>1606.128784</v>
      </c>
      <c r="R63" s="820">
        <v>1618.1392820000001</v>
      </c>
      <c r="S63" s="820">
        <v>1629.1613769999999</v>
      </c>
      <c r="T63" s="820">
        <v>1640.3579099999999</v>
      </c>
      <c r="U63" s="820">
        <v>1651.3817140000001</v>
      </c>
      <c r="V63" s="820">
        <v>1662.9941409999999</v>
      </c>
      <c r="W63" s="820">
        <v>1675.880737</v>
      </c>
      <c r="X63" s="820">
        <v>1689.648193</v>
      </c>
      <c r="Y63" s="820">
        <v>1704.3085940000001</v>
      </c>
      <c r="Z63" s="820">
        <v>1719.7033690000001</v>
      </c>
      <c r="AA63" s="820">
        <v>1736.4311520000001</v>
      </c>
      <c r="AB63" s="820">
        <v>1754.3100589999999</v>
      </c>
      <c r="AC63" s="820">
        <v>1772.478149</v>
      </c>
      <c r="AD63" s="820">
        <v>1791.2467039999999</v>
      </c>
      <c r="AE63" s="820">
        <v>1811.7939449999999</v>
      </c>
      <c r="AF63" s="814">
        <v>6.561E-3</v>
      </c>
      <c r="AG63" s="802"/>
    </row>
    <row r="64" spans="1:33" ht="15" customHeight="1">
      <c r="A64" s="800" t="s">
        <v>5090</v>
      </c>
      <c r="B64" s="812" t="s">
        <v>5091</v>
      </c>
      <c r="C64" s="820">
        <v>1346.5756839999999</v>
      </c>
      <c r="D64" s="820">
        <v>1324.414673</v>
      </c>
      <c r="E64" s="820">
        <v>1332.190552</v>
      </c>
      <c r="F64" s="820">
        <v>1329.360107</v>
      </c>
      <c r="G64" s="820">
        <v>1330.9746090000001</v>
      </c>
      <c r="H64" s="820">
        <v>1330.901611</v>
      </c>
      <c r="I64" s="820">
        <v>1338.4526370000001</v>
      </c>
      <c r="J64" s="820">
        <v>1345.4063719999999</v>
      </c>
      <c r="K64" s="820">
        <v>1351.6407469999999</v>
      </c>
      <c r="L64" s="820">
        <v>1358.888428</v>
      </c>
      <c r="M64" s="820">
        <v>1366.605591</v>
      </c>
      <c r="N64" s="820">
        <v>1371.6313479999999</v>
      </c>
      <c r="O64" s="820">
        <v>1375.619629</v>
      </c>
      <c r="P64" s="820">
        <v>1381.3101810000001</v>
      </c>
      <c r="Q64" s="820">
        <v>1385.496948</v>
      </c>
      <c r="R64" s="820">
        <v>1390.2330320000001</v>
      </c>
      <c r="S64" s="820">
        <v>1393.473999</v>
      </c>
      <c r="T64" s="820">
        <v>1396.2742920000001</v>
      </c>
      <c r="U64" s="820">
        <v>1400.4307859999999</v>
      </c>
      <c r="V64" s="820">
        <v>1405.8426509999999</v>
      </c>
      <c r="W64" s="820">
        <v>1412.1163329999999</v>
      </c>
      <c r="X64" s="820">
        <v>1419.3504640000001</v>
      </c>
      <c r="Y64" s="820">
        <v>1427.110962</v>
      </c>
      <c r="Z64" s="820">
        <v>1435.6904300000001</v>
      </c>
      <c r="AA64" s="820">
        <v>1444.2977289999999</v>
      </c>
      <c r="AB64" s="820">
        <v>1455.439453</v>
      </c>
      <c r="AC64" s="820">
        <v>1466.544312</v>
      </c>
      <c r="AD64" s="820">
        <v>1478.826904</v>
      </c>
      <c r="AE64" s="820">
        <v>1492.142822</v>
      </c>
      <c r="AF64" s="814">
        <v>3.673E-3</v>
      </c>
      <c r="AG64" s="802"/>
    </row>
    <row r="65" spans="1:33" ht="15" customHeight="1">
      <c r="A65" s="800" t="s">
        <v>5092</v>
      </c>
      <c r="B65" s="812" t="s">
        <v>5093</v>
      </c>
      <c r="C65" s="820">
        <v>1013.826233</v>
      </c>
      <c r="D65" s="820">
        <v>1017.035034</v>
      </c>
      <c r="E65" s="820">
        <v>1010.613342</v>
      </c>
      <c r="F65" s="820">
        <v>1017.345337</v>
      </c>
      <c r="G65" s="820">
        <v>1029.3660890000001</v>
      </c>
      <c r="H65" s="820">
        <v>1038.971802</v>
      </c>
      <c r="I65" s="820">
        <v>1046.74353</v>
      </c>
      <c r="J65" s="820">
        <v>1051.9785159999999</v>
      </c>
      <c r="K65" s="820">
        <v>1054.5239260000001</v>
      </c>
      <c r="L65" s="820">
        <v>1056.740845</v>
      </c>
      <c r="M65" s="820">
        <v>1062.9748540000001</v>
      </c>
      <c r="N65" s="820">
        <v>1066.2261960000001</v>
      </c>
      <c r="O65" s="820">
        <v>1072.4453120000001</v>
      </c>
      <c r="P65" s="820">
        <v>1079.723755</v>
      </c>
      <c r="Q65" s="820">
        <v>1084.6324460000001</v>
      </c>
      <c r="R65" s="820">
        <v>1090.831543</v>
      </c>
      <c r="S65" s="820">
        <v>1097.142212</v>
      </c>
      <c r="T65" s="820">
        <v>1102.1000979999999</v>
      </c>
      <c r="U65" s="820">
        <v>1108.7885739999999</v>
      </c>
      <c r="V65" s="820">
        <v>1116.909058</v>
      </c>
      <c r="W65" s="820">
        <v>1124.6568600000001</v>
      </c>
      <c r="X65" s="820">
        <v>1131.1889650000001</v>
      </c>
      <c r="Y65" s="820">
        <v>1136.258789</v>
      </c>
      <c r="Z65" s="820">
        <v>1141.7172849999999</v>
      </c>
      <c r="AA65" s="820">
        <v>1152.8532709999999</v>
      </c>
      <c r="AB65" s="820">
        <v>1160.8237300000001</v>
      </c>
      <c r="AC65" s="820">
        <v>1166.3402100000001</v>
      </c>
      <c r="AD65" s="820">
        <v>1172.239624</v>
      </c>
      <c r="AE65" s="820">
        <v>1183.400269</v>
      </c>
      <c r="AF65" s="814">
        <v>5.5389999999999997E-3</v>
      </c>
      <c r="AG65" s="802"/>
    </row>
    <row r="66" spans="1:33" ht="12" customHeight="1">
      <c r="A66" s="800" t="s">
        <v>5094</v>
      </c>
      <c r="B66" s="812" t="s">
        <v>5095</v>
      </c>
      <c r="C66" s="820">
        <v>17.104813</v>
      </c>
      <c r="D66" s="820">
        <v>20.818840000000002</v>
      </c>
      <c r="E66" s="820">
        <v>25.291713999999999</v>
      </c>
      <c r="F66" s="820">
        <v>30.471529</v>
      </c>
      <c r="G66" s="820">
        <v>36.671711000000002</v>
      </c>
      <c r="H66" s="820">
        <v>44.034016000000001</v>
      </c>
      <c r="I66" s="820">
        <v>52.443638</v>
      </c>
      <c r="J66" s="820">
        <v>62.011752999999999</v>
      </c>
      <c r="K66" s="820">
        <v>72.547957999999994</v>
      </c>
      <c r="L66" s="820">
        <v>82.243622000000002</v>
      </c>
      <c r="M66" s="820">
        <v>92.229598999999993</v>
      </c>
      <c r="N66" s="820">
        <v>102.246773</v>
      </c>
      <c r="O66" s="820">
        <v>112.604744</v>
      </c>
      <c r="P66" s="820">
        <v>122.83654799999999</v>
      </c>
      <c r="Q66" s="820">
        <v>132.71783400000001</v>
      </c>
      <c r="R66" s="820">
        <v>142.34561199999999</v>
      </c>
      <c r="S66" s="820">
        <v>151.66184999999999</v>
      </c>
      <c r="T66" s="820">
        <v>160.5009</v>
      </c>
      <c r="U66" s="820">
        <v>168.79473899999999</v>
      </c>
      <c r="V66" s="820">
        <v>176.638443</v>
      </c>
      <c r="W66" s="820">
        <v>183.959</v>
      </c>
      <c r="X66" s="820">
        <v>190.64669799999999</v>
      </c>
      <c r="Y66" s="820">
        <v>196.906891</v>
      </c>
      <c r="Z66" s="820">
        <v>202.55365</v>
      </c>
      <c r="AA66" s="820">
        <v>208.316788</v>
      </c>
      <c r="AB66" s="820">
        <v>213.76280199999999</v>
      </c>
      <c r="AC66" s="820">
        <v>219.04420500000001</v>
      </c>
      <c r="AD66" s="820">
        <v>224.230515</v>
      </c>
      <c r="AE66" s="820">
        <v>229.211716</v>
      </c>
      <c r="AF66" s="814">
        <v>9.7119999999999998E-2</v>
      </c>
      <c r="AG66" s="802"/>
    </row>
    <row r="67" spans="1:33" ht="15" customHeight="1">
      <c r="A67" s="800" t="s">
        <v>5096</v>
      </c>
      <c r="B67" s="808" t="s">
        <v>4350</v>
      </c>
      <c r="C67" s="809">
        <v>3886.1547850000002</v>
      </c>
      <c r="D67" s="809">
        <v>3841.326904</v>
      </c>
      <c r="E67" s="809">
        <v>3866.8576659999999</v>
      </c>
      <c r="F67" s="809">
        <v>3888.7097170000002</v>
      </c>
      <c r="G67" s="809">
        <v>3920.8901369999999</v>
      </c>
      <c r="H67" s="809">
        <v>3951.2670899999998</v>
      </c>
      <c r="I67" s="809">
        <v>3986.1743160000001</v>
      </c>
      <c r="J67" s="809">
        <v>4016.5903320000002</v>
      </c>
      <c r="K67" s="809">
        <v>4042.032471</v>
      </c>
      <c r="L67" s="809">
        <v>4066.3703609999998</v>
      </c>
      <c r="M67" s="809">
        <v>4095.8903810000002</v>
      </c>
      <c r="N67" s="809">
        <v>4120.1391599999997</v>
      </c>
      <c r="O67" s="809">
        <v>4146.2539059999999</v>
      </c>
      <c r="P67" s="809">
        <v>4178.9184569999998</v>
      </c>
      <c r="Q67" s="809">
        <v>4208.9760740000002</v>
      </c>
      <c r="R67" s="809">
        <v>4241.5493159999996</v>
      </c>
      <c r="S67" s="809">
        <v>4271.4399409999996</v>
      </c>
      <c r="T67" s="809">
        <v>4299.2333980000003</v>
      </c>
      <c r="U67" s="809">
        <v>4329.3959960000002</v>
      </c>
      <c r="V67" s="809">
        <v>4362.3837890000004</v>
      </c>
      <c r="W67" s="809">
        <v>4396.6127930000002</v>
      </c>
      <c r="X67" s="809">
        <v>4430.8344729999999</v>
      </c>
      <c r="Y67" s="809">
        <v>4464.5854490000002</v>
      </c>
      <c r="Z67" s="809">
        <v>4499.6645509999998</v>
      </c>
      <c r="AA67" s="809">
        <v>4541.8984380000002</v>
      </c>
      <c r="AB67" s="809">
        <v>4584.3359380000002</v>
      </c>
      <c r="AC67" s="809">
        <v>4624.40625</v>
      </c>
      <c r="AD67" s="809">
        <v>4666.5439450000003</v>
      </c>
      <c r="AE67" s="809">
        <v>4716.5493159999996</v>
      </c>
      <c r="AF67" s="810">
        <v>6.94E-3</v>
      </c>
      <c r="AG67" s="802"/>
    </row>
    <row r="68" spans="1:33" ht="15" customHeight="1">
      <c r="A68" s="800" t="s">
        <v>5097</v>
      </c>
      <c r="B68" s="812" t="s">
        <v>5098</v>
      </c>
      <c r="C68" s="820">
        <v>198.34873999999999</v>
      </c>
      <c r="D68" s="820">
        <v>207.378006</v>
      </c>
      <c r="E68" s="820">
        <v>227.33663899999999</v>
      </c>
      <c r="F68" s="820">
        <v>235.616165</v>
      </c>
      <c r="G68" s="820">
        <v>243.01622</v>
      </c>
      <c r="H68" s="820">
        <v>250.383972</v>
      </c>
      <c r="I68" s="820">
        <v>257.49185199999999</v>
      </c>
      <c r="J68" s="820">
        <v>265.89318800000001</v>
      </c>
      <c r="K68" s="820">
        <v>273.437927</v>
      </c>
      <c r="L68" s="820">
        <v>281.23052999999999</v>
      </c>
      <c r="M68" s="820">
        <v>289.10574300000002</v>
      </c>
      <c r="N68" s="820">
        <v>298.00817899999998</v>
      </c>
      <c r="O68" s="820">
        <v>307.25247200000001</v>
      </c>
      <c r="P68" s="820">
        <v>314.63729899999998</v>
      </c>
      <c r="Q68" s="820">
        <v>323.818512</v>
      </c>
      <c r="R68" s="820">
        <v>331.81133999999997</v>
      </c>
      <c r="S68" s="820">
        <v>340.97918700000002</v>
      </c>
      <c r="T68" s="820">
        <v>350.40817299999998</v>
      </c>
      <c r="U68" s="820">
        <v>359.848724</v>
      </c>
      <c r="V68" s="820">
        <v>369.35775799999999</v>
      </c>
      <c r="W68" s="820">
        <v>378.94695999999999</v>
      </c>
      <c r="X68" s="820">
        <v>388.690247</v>
      </c>
      <c r="Y68" s="820">
        <v>398.51220699999999</v>
      </c>
      <c r="Z68" s="820">
        <v>408.64822400000003</v>
      </c>
      <c r="AA68" s="820">
        <v>418.35836799999998</v>
      </c>
      <c r="AB68" s="820">
        <v>428.51309199999997</v>
      </c>
      <c r="AC68" s="820">
        <v>439.97396900000001</v>
      </c>
      <c r="AD68" s="820">
        <v>450.67678799999999</v>
      </c>
      <c r="AE68" s="820">
        <v>461.46173099999999</v>
      </c>
      <c r="AF68" s="814">
        <v>3.0615E-2</v>
      </c>
      <c r="AG68" s="802"/>
    </row>
    <row r="69" spans="1:33" ht="15" customHeight="1">
      <c r="A69" s="800" t="s">
        <v>5099</v>
      </c>
      <c r="B69" s="808" t="s">
        <v>5100</v>
      </c>
      <c r="C69" s="809">
        <v>4084.5034179999998</v>
      </c>
      <c r="D69" s="809">
        <v>4048.7048340000001</v>
      </c>
      <c r="E69" s="809">
        <v>4094.194336</v>
      </c>
      <c r="F69" s="809">
        <v>4124.3256840000004</v>
      </c>
      <c r="G69" s="809">
        <v>4163.90625</v>
      </c>
      <c r="H69" s="809">
        <v>4201.6508789999998</v>
      </c>
      <c r="I69" s="809">
        <v>4243.6660160000001</v>
      </c>
      <c r="J69" s="809">
        <v>4282.4833980000003</v>
      </c>
      <c r="K69" s="809">
        <v>4315.4702150000003</v>
      </c>
      <c r="L69" s="809">
        <v>4347.6010740000002</v>
      </c>
      <c r="M69" s="809">
        <v>4384.9960940000001</v>
      </c>
      <c r="N69" s="809">
        <v>4418.1474609999996</v>
      </c>
      <c r="O69" s="809">
        <v>4453.5063479999999</v>
      </c>
      <c r="P69" s="809">
        <v>4493.5556640000004</v>
      </c>
      <c r="Q69" s="809">
        <v>4532.7944340000004</v>
      </c>
      <c r="R69" s="809">
        <v>4573.3608400000003</v>
      </c>
      <c r="S69" s="809">
        <v>4612.4189450000003</v>
      </c>
      <c r="T69" s="809">
        <v>4649.6416019999997</v>
      </c>
      <c r="U69" s="809">
        <v>4689.2446289999998</v>
      </c>
      <c r="V69" s="809">
        <v>4731.7416990000002</v>
      </c>
      <c r="W69" s="809">
        <v>4775.5595700000003</v>
      </c>
      <c r="X69" s="809">
        <v>4819.5249020000001</v>
      </c>
      <c r="Y69" s="809">
        <v>4863.0976559999999</v>
      </c>
      <c r="Z69" s="809">
        <v>4908.3129879999997</v>
      </c>
      <c r="AA69" s="809">
        <v>4960.2568359999996</v>
      </c>
      <c r="AB69" s="809">
        <v>5012.8491210000002</v>
      </c>
      <c r="AC69" s="809">
        <v>5064.3803710000002</v>
      </c>
      <c r="AD69" s="809">
        <v>5117.220703</v>
      </c>
      <c r="AE69" s="809">
        <v>5178.0112300000001</v>
      </c>
      <c r="AF69" s="810">
        <v>8.5079999999999999E-3</v>
      </c>
      <c r="AG69" s="802"/>
    </row>
    <row r="70" spans="1:33" ht="15" customHeight="1">
      <c r="B70" s="802"/>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row>
    <row r="71" spans="1:33" ht="15" customHeight="1">
      <c r="B71" s="808" t="s">
        <v>5101</v>
      </c>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row>
    <row r="72" spans="1:33" ht="15" customHeight="1">
      <c r="B72" s="808" t="s">
        <v>5102</v>
      </c>
      <c r="C72" s="802"/>
      <c r="D72" s="802"/>
      <c r="E72" s="802"/>
      <c r="F72" s="802"/>
      <c r="G72" s="802"/>
      <c r="H72" s="802"/>
      <c r="I72" s="802"/>
      <c r="J72" s="802"/>
      <c r="K72" s="802"/>
      <c r="L72" s="802"/>
      <c r="M72" s="802"/>
      <c r="N72" s="802"/>
      <c r="O72" s="802"/>
      <c r="P72" s="802"/>
      <c r="Q72" s="802"/>
      <c r="R72" s="802"/>
      <c r="S72" s="802"/>
      <c r="T72" s="802"/>
      <c r="U72" s="802"/>
      <c r="V72" s="802"/>
      <c r="W72" s="802"/>
      <c r="X72" s="802"/>
      <c r="Y72" s="802"/>
      <c r="Z72" s="802"/>
      <c r="AA72" s="802"/>
      <c r="AB72" s="802"/>
      <c r="AC72" s="802"/>
      <c r="AD72" s="802"/>
      <c r="AE72" s="802"/>
      <c r="AF72" s="802"/>
      <c r="AG72" s="802"/>
    </row>
    <row r="73" spans="1:33" ht="12" customHeight="1">
      <c r="A73" s="800" t="s">
        <v>5103</v>
      </c>
      <c r="B73" s="812" t="s">
        <v>5089</v>
      </c>
      <c r="C73" s="813">
        <v>14.558745999999999</v>
      </c>
      <c r="D73" s="813">
        <v>14.137022</v>
      </c>
      <c r="E73" s="813">
        <v>13.836985</v>
      </c>
      <c r="F73" s="813">
        <v>13.423342999999999</v>
      </c>
      <c r="G73" s="813">
        <v>13.182622</v>
      </c>
      <c r="H73" s="813">
        <v>12.999249000000001</v>
      </c>
      <c r="I73" s="813">
        <v>12.875704000000001</v>
      </c>
      <c r="J73" s="813">
        <v>12.842129</v>
      </c>
      <c r="K73" s="813">
        <v>12.876039</v>
      </c>
      <c r="L73" s="813">
        <v>12.943087</v>
      </c>
      <c r="M73" s="813">
        <v>13.004488</v>
      </c>
      <c r="N73" s="813">
        <v>13.199555</v>
      </c>
      <c r="O73" s="813">
        <v>13.349550000000001</v>
      </c>
      <c r="P73" s="813">
        <v>13.363859</v>
      </c>
      <c r="Q73" s="813">
        <v>13.446160000000001</v>
      </c>
      <c r="R73" s="813">
        <v>13.548438000000001</v>
      </c>
      <c r="S73" s="813">
        <v>13.691177</v>
      </c>
      <c r="T73" s="813">
        <v>13.791919999999999</v>
      </c>
      <c r="U73" s="813">
        <v>13.892632000000001</v>
      </c>
      <c r="V73" s="813">
        <v>13.972958</v>
      </c>
      <c r="W73" s="813">
        <v>14.018152000000001</v>
      </c>
      <c r="X73" s="813">
        <v>14.048780000000001</v>
      </c>
      <c r="Y73" s="813">
        <v>14.074063000000001</v>
      </c>
      <c r="Z73" s="813">
        <v>14.104900000000001</v>
      </c>
      <c r="AA73" s="813">
        <v>14.081588</v>
      </c>
      <c r="AB73" s="813">
        <v>14.041449</v>
      </c>
      <c r="AC73" s="813">
        <v>14.020605</v>
      </c>
      <c r="AD73" s="813">
        <v>13.956806</v>
      </c>
      <c r="AE73" s="813">
        <v>13.852473</v>
      </c>
      <c r="AF73" s="814">
        <v>-1.774E-3</v>
      </c>
      <c r="AG73" s="802"/>
    </row>
    <row r="74" spans="1:33" ht="15" customHeight="1">
      <c r="A74" s="800" t="s">
        <v>5104</v>
      </c>
      <c r="B74" s="812" t="s">
        <v>5091</v>
      </c>
      <c r="C74" s="813">
        <v>12.512105</v>
      </c>
      <c r="D74" s="813">
        <v>12.249195</v>
      </c>
      <c r="E74" s="813">
        <v>11.71762</v>
      </c>
      <c r="F74" s="813">
        <v>11.21616</v>
      </c>
      <c r="G74" s="813">
        <v>10.936932000000001</v>
      </c>
      <c r="H74" s="813">
        <v>10.734302</v>
      </c>
      <c r="I74" s="813">
        <v>10.563871000000001</v>
      </c>
      <c r="J74" s="813">
        <v>10.480594999999999</v>
      </c>
      <c r="K74" s="813">
        <v>10.468112</v>
      </c>
      <c r="L74" s="813">
        <v>10.462433000000001</v>
      </c>
      <c r="M74" s="813">
        <v>10.451896</v>
      </c>
      <c r="N74" s="813">
        <v>10.570556</v>
      </c>
      <c r="O74" s="813">
        <v>10.648975</v>
      </c>
      <c r="P74" s="813">
        <v>10.623759</v>
      </c>
      <c r="Q74" s="813">
        <v>10.65635</v>
      </c>
      <c r="R74" s="813">
        <v>10.693994</v>
      </c>
      <c r="S74" s="813">
        <v>10.778915</v>
      </c>
      <c r="T74" s="813">
        <v>10.834794</v>
      </c>
      <c r="U74" s="813">
        <v>10.88077</v>
      </c>
      <c r="V74" s="813">
        <v>10.91621</v>
      </c>
      <c r="W74" s="813">
        <v>10.921968</v>
      </c>
      <c r="X74" s="813">
        <v>10.924382</v>
      </c>
      <c r="Y74" s="813">
        <v>10.911804</v>
      </c>
      <c r="Z74" s="813">
        <v>10.894216</v>
      </c>
      <c r="AA74" s="813">
        <v>10.833881999999999</v>
      </c>
      <c r="AB74" s="813">
        <v>10.744009</v>
      </c>
      <c r="AC74" s="813">
        <v>10.705812</v>
      </c>
      <c r="AD74" s="813">
        <v>10.620430000000001</v>
      </c>
      <c r="AE74" s="813">
        <v>10.509831</v>
      </c>
      <c r="AF74" s="814">
        <v>-6.2090000000000001E-3</v>
      </c>
      <c r="AG74" s="802"/>
    </row>
    <row r="75" spans="1:33" ht="15" customHeight="1">
      <c r="A75" s="800" t="s">
        <v>5105</v>
      </c>
      <c r="B75" s="812" t="s">
        <v>5093</v>
      </c>
      <c r="C75" s="813">
        <v>8.3324549999999995</v>
      </c>
      <c r="D75" s="813">
        <v>8.1783110000000008</v>
      </c>
      <c r="E75" s="813">
        <v>7.5627209999999998</v>
      </c>
      <c r="F75" s="813">
        <v>7.1506829999999999</v>
      </c>
      <c r="G75" s="813">
        <v>6.8767699999999996</v>
      </c>
      <c r="H75" s="813">
        <v>6.6846040000000002</v>
      </c>
      <c r="I75" s="813">
        <v>6.5606540000000004</v>
      </c>
      <c r="J75" s="813">
        <v>6.4943369999999998</v>
      </c>
      <c r="K75" s="813">
        <v>6.4774989999999999</v>
      </c>
      <c r="L75" s="813">
        <v>6.4750870000000003</v>
      </c>
      <c r="M75" s="813">
        <v>6.4792339999999999</v>
      </c>
      <c r="N75" s="813">
        <v>6.5891409999999997</v>
      </c>
      <c r="O75" s="813">
        <v>6.6222760000000003</v>
      </c>
      <c r="P75" s="813">
        <v>6.60487</v>
      </c>
      <c r="Q75" s="813">
        <v>6.6469009999999997</v>
      </c>
      <c r="R75" s="813">
        <v>6.7022019999999998</v>
      </c>
      <c r="S75" s="813">
        <v>6.7931980000000003</v>
      </c>
      <c r="T75" s="813">
        <v>6.8714449999999996</v>
      </c>
      <c r="U75" s="813">
        <v>6.9273300000000004</v>
      </c>
      <c r="V75" s="813">
        <v>6.9735250000000004</v>
      </c>
      <c r="W75" s="813">
        <v>6.9766310000000002</v>
      </c>
      <c r="X75" s="813">
        <v>6.9635569999999998</v>
      </c>
      <c r="Y75" s="813">
        <v>6.9610820000000002</v>
      </c>
      <c r="Z75" s="813">
        <v>6.9443729999999997</v>
      </c>
      <c r="AA75" s="813">
        <v>6.9011990000000001</v>
      </c>
      <c r="AB75" s="813">
        <v>6.8564980000000002</v>
      </c>
      <c r="AC75" s="813">
        <v>6.8319080000000003</v>
      </c>
      <c r="AD75" s="813">
        <v>6.7879420000000001</v>
      </c>
      <c r="AE75" s="813">
        <v>6.7243789999999999</v>
      </c>
      <c r="AF75" s="814">
        <v>-7.6290000000000004E-3</v>
      </c>
      <c r="AG75" s="802"/>
    </row>
    <row r="76" spans="1:33" ht="15" customHeight="1">
      <c r="A76" s="800" t="s">
        <v>5106</v>
      </c>
      <c r="B76" s="812" t="s">
        <v>5095</v>
      </c>
      <c r="C76" s="813">
        <v>14.502357</v>
      </c>
      <c r="D76" s="813">
        <v>15.017732000000001</v>
      </c>
      <c r="E76" s="813">
        <v>14.568986000000001</v>
      </c>
      <c r="F76" s="813">
        <v>13.740180000000001</v>
      </c>
      <c r="G76" s="813">
        <v>13.61303</v>
      </c>
      <c r="H76" s="813">
        <v>13.589596999999999</v>
      </c>
      <c r="I76" s="813">
        <v>13.559766</v>
      </c>
      <c r="J76" s="813">
        <v>13.553876000000001</v>
      </c>
      <c r="K76" s="813">
        <v>13.556692</v>
      </c>
      <c r="L76" s="813">
        <v>13.623919000000001</v>
      </c>
      <c r="M76" s="813">
        <v>13.704961000000001</v>
      </c>
      <c r="N76" s="813">
        <v>13.841100000000001</v>
      </c>
      <c r="O76" s="813">
        <v>13.939563</v>
      </c>
      <c r="P76" s="813">
        <v>14.008406000000001</v>
      </c>
      <c r="Q76" s="813">
        <v>14.012616</v>
      </c>
      <c r="R76" s="813">
        <v>14.122978</v>
      </c>
      <c r="S76" s="813">
        <v>14.216115</v>
      </c>
      <c r="T76" s="813">
        <v>14.355930000000001</v>
      </c>
      <c r="U76" s="813">
        <v>14.427718</v>
      </c>
      <c r="V76" s="813">
        <v>14.510460999999999</v>
      </c>
      <c r="W76" s="813">
        <v>14.511039</v>
      </c>
      <c r="X76" s="813">
        <v>14.500132000000001</v>
      </c>
      <c r="Y76" s="813">
        <v>14.488925</v>
      </c>
      <c r="Z76" s="813">
        <v>14.506548</v>
      </c>
      <c r="AA76" s="813">
        <v>14.54316</v>
      </c>
      <c r="AB76" s="813">
        <v>14.494947</v>
      </c>
      <c r="AC76" s="813">
        <v>14.495820999999999</v>
      </c>
      <c r="AD76" s="813">
        <v>14.338176000000001</v>
      </c>
      <c r="AE76" s="813">
        <v>14.21382</v>
      </c>
      <c r="AF76" s="814">
        <v>-7.1699999999999997E-4</v>
      </c>
      <c r="AG76" s="802"/>
    </row>
    <row r="77" spans="1:33" ht="15" customHeight="1">
      <c r="A77" s="800" t="s">
        <v>5107</v>
      </c>
      <c r="B77" s="808" t="s">
        <v>5108</v>
      </c>
      <c r="C77" s="811">
        <v>12.224997999999999</v>
      </c>
      <c r="D77" s="811">
        <v>11.913273</v>
      </c>
      <c r="E77" s="811">
        <v>11.471824</v>
      </c>
      <c r="F77" s="811">
        <v>11.030275</v>
      </c>
      <c r="G77" s="811">
        <v>10.768831</v>
      </c>
      <c r="H77" s="811">
        <v>10.582514</v>
      </c>
      <c r="I77" s="811">
        <v>10.45016</v>
      </c>
      <c r="J77" s="811">
        <v>10.399552</v>
      </c>
      <c r="K77" s="811">
        <v>10.413741999999999</v>
      </c>
      <c r="L77" s="811">
        <v>10.447018999999999</v>
      </c>
      <c r="M77" s="811">
        <v>10.475133</v>
      </c>
      <c r="N77" s="811">
        <v>10.629588999999999</v>
      </c>
      <c r="O77" s="811">
        <v>10.729555</v>
      </c>
      <c r="P77" s="811">
        <v>10.730740000000001</v>
      </c>
      <c r="Q77" s="811">
        <v>10.793545</v>
      </c>
      <c r="R77" s="811">
        <v>10.871433</v>
      </c>
      <c r="S77" s="811">
        <v>10.987963000000001</v>
      </c>
      <c r="T77" s="811">
        <v>11.078531</v>
      </c>
      <c r="U77" s="811">
        <v>11.155383</v>
      </c>
      <c r="V77" s="811">
        <v>11.217563</v>
      </c>
      <c r="W77" s="811">
        <v>11.243109</v>
      </c>
      <c r="X77" s="811">
        <v>11.258493</v>
      </c>
      <c r="Y77" s="811">
        <v>11.271253</v>
      </c>
      <c r="Z77" s="811">
        <v>11.281693000000001</v>
      </c>
      <c r="AA77" s="811">
        <v>11.247436</v>
      </c>
      <c r="AB77" s="811">
        <v>11.196383000000001</v>
      </c>
      <c r="AC77" s="811">
        <v>11.178801</v>
      </c>
      <c r="AD77" s="811">
        <v>11.117008</v>
      </c>
      <c r="AE77" s="811">
        <v>11.024077999999999</v>
      </c>
      <c r="AF77" s="810">
        <v>-3.686E-3</v>
      </c>
      <c r="AG77" s="802"/>
    </row>
    <row r="78" spans="1:33" ht="15" customHeight="1">
      <c r="B78" s="808" t="s">
        <v>5109</v>
      </c>
      <c r="C78" s="802"/>
      <c r="D78" s="802"/>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2"/>
      <c r="AF78" s="802"/>
      <c r="AG78" s="802"/>
    </row>
    <row r="79" spans="1:33" ht="12" customHeight="1">
      <c r="A79" s="800" t="s">
        <v>5110</v>
      </c>
      <c r="B79" s="812" t="s">
        <v>5089</v>
      </c>
      <c r="C79" s="813">
        <v>14.558745999999999</v>
      </c>
      <c r="D79" s="813">
        <v>14.721423</v>
      </c>
      <c r="E79" s="813">
        <v>14.760685</v>
      </c>
      <c r="F79" s="813">
        <v>14.630814000000001</v>
      </c>
      <c r="G79" s="813">
        <v>14.674791000000001</v>
      </c>
      <c r="H79" s="813">
        <v>14.783257000000001</v>
      </c>
      <c r="I79" s="813">
        <v>14.959111</v>
      </c>
      <c r="J79" s="813">
        <v>15.247320999999999</v>
      </c>
      <c r="K79" s="813">
        <v>15.628829</v>
      </c>
      <c r="L79" s="813">
        <v>16.069664</v>
      </c>
      <c r="M79" s="813">
        <v>16.515978</v>
      </c>
      <c r="N79" s="813">
        <v>17.160717000000002</v>
      </c>
      <c r="O79" s="813">
        <v>17.771509000000002</v>
      </c>
      <c r="P79" s="813">
        <v>18.207148</v>
      </c>
      <c r="Q79" s="813">
        <v>18.741202999999999</v>
      </c>
      <c r="R79" s="813">
        <v>19.306435</v>
      </c>
      <c r="S79" s="813">
        <v>19.941206000000001</v>
      </c>
      <c r="T79" s="813">
        <v>20.5291</v>
      </c>
      <c r="U79" s="813">
        <v>21.140167000000002</v>
      </c>
      <c r="V79" s="813">
        <v>21.739135999999998</v>
      </c>
      <c r="W79" s="813">
        <v>22.302057000000001</v>
      </c>
      <c r="X79" s="813">
        <v>22.863129000000001</v>
      </c>
      <c r="Y79" s="813">
        <v>23.433163</v>
      </c>
      <c r="Z79" s="813">
        <v>24.031725000000002</v>
      </c>
      <c r="AA79" s="813">
        <v>24.558036999999999</v>
      </c>
      <c r="AB79" s="813">
        <v>25.069824000000001</v>
      </c>
      <c r="AC79" s="813">
        <v>25.632684999999999</v>
      </c>
      <c r="AD79" s="813">
        <v>26.128471000000001</v>
      </c>
      <c r="AE79" s="813">
        <v>26.559172</v>
      </c>
      <c r="AF79" s="814">
        <v>2.1703E-2</v>
      </c>
      <c r="AG79" s="802"/>
    </row>
    <row r="80" spans="1:33" ht="15" customHeight="1">
      <c r="A80" s="800" t="s">
        <v>5111</v>
      </c>
      <c r="B80" s="812" t="s">
        <v>5091</v>
      </c>
      <c r="C80" s="813">
        <v>12.512105</v>
      </c>
      <c r="D80" s="813">
        <v>12.755557</v>
      </c>
      <c r="E80" s="813">
        <v>12.499840000000001</v>
      </c>
      <c r="F80" s="813">
        <v>12.225088</v>
      </c>
      <c r="G80" s="813">
        <v>12.174906999999999</v>
      </c>
      <c r="H80" s="813">
        <v>12.207471999999999</v>
      </c>
      <c r="I80" s="813">
        <v>12.273202</v>
      </c>
      <c r="J80" s="813">
        <v>12.443498</v>
      </c>
      <c r="K80" s="813">
        <v>12.706108</v>
      </c>
      <c r="L80" s="813">
        <v>12.989776000000001</v>
      </c>
      <c r="M80" s="813">
        <v>13.274132</v>
      </c>
      <c r="N80" s="813">
        <v>13.742760000000001</v>
      </c>
      <c r="O80" s="813">
        <v>14.176384000000001</v>
      </c>
      <c r="P80" s="813">
        <v>14.473990000000001</v>
      </c>
      <c r="Q80" s="813">
        <v>14.852778000000001</v>
      </c>
      <c r="R80" s="813">
        <v>15.23887</v>
      </c>
      <c r="S80" s="813">
        <v>15.699496</v>
      </c>
      <c r="T80" s="813">
        <v>16.127457</v>
      </c>
      <c r="U80" s="813">
        <v>16.557072000000002</v>
      </c>
      <c r="V80" s="813">
        <v>16.983446000000001</v>
      </c>
      <c r="W80" s="813">
        <v>17.376208999999999</v>
      </c>
      <c r="X80" s="813">
        <v>17.778452000000001</v>
      </c>
      <c r="Y80" s="813">
        <v>18.168036000000001</v>
      </c>
      <c r="Z80" s="813">
        <v>18.561406999999999</v>
      </c>
      <c r="AA80" s="813">
        <v>18.894096000000001</v>
      </c>
      <c r="AB80" s="813">
        <v>19.182524000000001</v>
      </c>
      <c r="AC80" s="813">
        <v>19.572531000000001</v>
      </c>
      <c r="AD80" s="813">
        <v>19.882456000000001</v>
      </c>
      <c r="AE80" s="813">
        <v>20.150366000000002</v>
      </c>
      <c r="AF80" s="814">
        <v>1.7163999999999999E-2</v>
      </c>
      <c r="AG80" s="802"/>
    </row>
    <row r="81" spans="1:33" ht="12" customHeight="1">
      <c r="A81" s="800" t="s">
        <v>5112</v>
      </c>
      <c r="B81" s="812" t="s">
        <v>5093</v>
      </c>
      <c r="C81" s="813">
        <v>8.3324549999999995</v>
      </c>
      <c r="D81" s="813">
        <v>8.5163890000000002</v>
      </c>
      <c r="E81" s="813">
        <v>8.0675760000000007</v>
      </c>
      <c r="F81" s="813">
        <v>7.7939100000000003</v>
      </c>
      <c r="G81" s="813">
        <v>7.6551679999999998</v>
      </c>
      <c r="H81" s="813">
        <v>7.6019949999999996</v>
      </c>
      <c r="I81" s="813">
        <v>7.6222279999999998</v>
      </c>
      <c r="J81" s="813">
        <v>7.7106570000000003</v>
      </c>
      <c r="K81" s="813">
        <v>7.8623339999999997</v>
      </c>
      <c r="L81" s="813">
        <v>8.0392309999999991</v>
      </c>
      <c r="M81" s="813">
        <v>8.2287660000000002</v>
      </c>
      <c r="N81" s="813">
        <v>8.5665300000000002</v>
      </c>
      <c r="O81" s="813">
        <v>8.8158650000000005</v>
      </c>
      <c r="P81" s="813">
        <v>8.9985870000000006</v>
      </c>
      <c r="Q81" s="813">
        <v>9.2644230000000007</v>
      </c>
      <c r="R81" s="813">
        <v>9.5505929999999992</v>
      </c>
      <c r="S81" s="813">
        <v>9.8942960000000006</v>
      </c>
      <c r="T81" s="813">
        <v>10.228059</v>
      </c>
      <c r="U81" s="813">
        <v>10.541193</v>
      </c>
      <c r="V81" s="813">
        <v>10.849413999999999</v>
      </c>
      <c r="W81" s="813">
        <v>11.099410000000001</v>
      </c>
      <c r="X81" s="813">
        <v>11.332565000000001</v>
      </c>
      <c r="Y81" s="813">
        <v>11.590127000000001</v>
      </c>
      <c r="Z81" s="813">
        <v>11.831720000000001</v>
      </c>
      <c r="AA81" s="813">
        <v>12.035568</v>
      </c>
      <c r="AB81" s="813">
        <v>12.2417</v>
      </c>
      <c r="AC81" s="813">
        <v>12.490197999999999</v>
      </c>
      <c r="AD81" s="813">
        <v>12.707675</v>
      </c>
      <c r="AE81" s="813">
        <v>12.892566</v>
      </c>
      <c r="AF81" s="814">
        <v>1.5710999999999999E-2</v>
      </c>
      <c r="AG81" s="802"/>
    </row>
    <row r="82" spans="1:33" ht="15" customHeight="1">
      <c r="A82" s="800" t="s">
        <v>5113</v>
      </c>
      <c r="B82" s="812" t="s">
        <v>5095</v>
      </c>
      <c r="C82" s="813">
        <v>14.502357</v>
      </c>
      <c r="D82" s="813">
        <v>15.638540000000001</v>
      </c>
      <c r="E82" s="813">
        <v>15.541551</v>
      </c>
      <c r="F82" s="813">
        <v>14.976151</v>
      </c>
      <c r="G82" s="813">
        <v>15.153918000000001</v>
      </c>
      <c r="H82" s="813">
        <v>15.454625</v>
      </c>
      <c r="I82" s="813">
        <v>15.75386</v>
      </c>
      <c r="J82" s="813">
        <v>16.092371</v>
      </c>
      <c r="K82" s="813">
        <v>16.454999999999998</v>
      </c>
      <c r="L82" s="813">
        <v>16.914961000000002</v>
      </c>
      <c r="M82" s="813">
        <v>17.405594000000001</v>
      </c>
      <c r="N82" s="813">
        <v>17.994786999999999</v>
      </c>
      <c r="O82" s="813">
        <v>18.556958999999999</v>
      </c>
      <c r="P82" s="813">
        <v>19.085289</v>
      </c>
      <c r="Q82" s="813">
        <v>19.530726999999999</v>
      </c>
      <c r="R82" s="813">
        <v>20.125150999999999</v>
      </c>
      <c r="S82" s="813">
        <v>20.705777999999999</v>
      </c>
      <c r="T82" s="813">
        <v>21.368621999999998</v>
      </c>
      <c r="U82" s="813">
        <v>21.954397</v>
      </c>
      <c r="V82" s="813">
        <v>22.575384</v>
      </c>
      <c r="W82" s="813">
        <v>23.086210000000001</v>
      </c>
      <c r="X82" s="813">
        <v>23.597664000000002</v>
      </c>
      <c r="Y82" s="813">
        <v>24.123901</v>
      </c>
      <c r="Z82" s="813">
        <v>24.716045000000001</v>
      </c>
      <c r="AA82" s="813">
        <v>25.363009999999999</v>
      </c>
      <c r="AB82" s="813">
        <v>25.879507</v>
      </c>
      <c r="AC82" s="813">
        <v>26.501481999999999</v>
      </c>
      <c r="AD82" s="813">
        <v>26.84243</v>
      </c>
      <c r="AE82" s="813">
        <v>27.251978000000001</v>
      </c>
      <c r="AF82" s="814">
        <v>2.2785E-2</v>
      </c>
      <c r="AG82" s="802"/>
    </row>
    <row r="83" spans="1:33" ht="15" customHeight="1">
      <c r="A83" s="800" t="s">
        <v>5114</v>
      </c>
      <c r="B83" s="808" t="s">
        <v>5108</v>
      </c>
      <c r="C83" s="811">
        <v>12.224997999999999</v>
      </c>
      <c r="D83" s="811">
        <v>12.405747</v>
      </c>
      <c r="E83" s="811">
        <v>12.237636</v>
      </c>
      <c r="F83" s="811">
        <v>12.022482999999999</v>
      </c>
      <c r="G83" s="811">
        <v>11.987779</v>
      </c>
      <c r="H83" s="811">
        <v>12.034852000000001</v>
      </c>
      <c r="I83" s="811">
        <v>12.141092</v>
      </c>
      <c r="J83" s="811">
        <v>12.347277</v>
      </c>
      <c r="K83" s="811">
        <v>12.640115</v>
      </c>
      <c r="L83" s="811">
        <v>12.970637</v>
      </c>
      <c r="M83" s="811">
        <v>13.303642999999999</v>
      </c>
      <c r="N83" s="811">
        <v>13.819509999999999</v>
      </c>
      <c r="O83" s="811">
        <v>14.283655</v>
      </c>
      <c r="P83" s="811">
        <v>14.619742</v>
      </c>
      <c r="Q83" s="811">
        <v>15.044</v>
      </c>
      <c r="R83" s="811">
        <v>15.491720000000001</v>
      </c>
      <c r="S83" s="811">
        <v>16.003972999999998</v>
      </c>
      <c r="T83" s="811">
        <v>16.490255000000001</v>
      </c>
      <c r="U83" s="811">
        <v>16.974945000000002</v>
      </c>
      <c r="V83" s="811">
        <v>17.452290999999999</v>
      </c>
      <c r="W83" s="811">
        <v>17.887127</v>
      </c>
      <c r="X83" s="811">
        <v>18.322187</v>
      </c>
      <c r="Y83" s="811">
        <v>18.766511999999999</v>
      </c>
      <c r="Z83" s="811">
        <v>19.221584</v>
      </c>
      <c r="AA83" s="811">
        <v>19.615328000000002</v>
      </c>
      <c r="AB83" s="811">
        <v>19.990197999999999</v>
      </c>
      <c r="AC83" s="811">
        <v>20.437253999999999</v>
      </c>
      <c r="AD83" s="811">
        <v>20.812099</v>
      </c>
      <c r="AE83" s="811">
        <v>21.136326</v>
      </c>
      <c r="AF83" s="810">
        <v>1.9746E-2</v>
      </c>
      <c r="AG83" s="802"/>
    </row>
    <row r="84" spans="1:33" ht="15" customHeight="1">
      <c r="B84" s="802"/>
      <c r="C84" s="802"/>
      <c r="D84" s="802"/>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2"/>
      <c r="AE84" s="802"/>
      <c r="AF84" s="802"/>
      <c r="AG84" s="802"/>
    </row>
    <row r="85" spans="1:33" ht="15" customHeight="1">
      <c r="B85" s="808" t="s">
        <v>5115</v>
      </c>
      <c r="C85" s="802"/>
      <c r="D85" s="802"/>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2"/>
      <c r="AE85" s="802"/>
      <c r="AF85" s="802"/>
      <c r="AG85" s="802"/>
    </row>
    <row r="86" spans="1:33" ht="15" customHeight="1">
      <c r="B86" s="808" t="s">
        <v>5102</v>
      </c>
      <c r="C86" s="802"/>
      <c r="D86" s="802"/>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2"/>
      <c r="AE86" s="802"/>
      <c r="AF86" s="802"/>
      <c r="AG86" s="802"/>
    </row>
    <row r="87" spans="1:33" ht="15" customHeight="1">
      <c r="A87" s="800" t="s">
        <v>5116</v>
      </c>
      <c r="B87" s="812" t="s">
        <v>5117</v>
      </c>
      <c r="C87" s="813">
        <v>7.490151</v>
      </c>
      <c r="D87" s="813">
        <v>7.1217509999999997</v>
      </c>
      <c r="E87" s="813">
        <v>6.6237709999999996</v>
      </c>
      <c r="F87" s="813">
        <v>6.0795459999999997</v>
      </c>
      <c r="G87" s="813">
        <v>5.7195609999999997</v>
      </c>
      <c r="H87" s="813">
        <v>5.4453969999999998</v>
      </c>
      <c r="I87" s="813">
        <v>5.2318230000000003</v>
      </c>
      <c r="J87" s="813">
        <v>5.1054500000000003</v>
      </c>
      <c r="K87" s="813">
        <v>5.031301</v>
      </c>
      <c r="L87" s="813">
        <v>4.987285</v>
      </c>
      <c r="M87" s="813">
        <v>4.950399</v>
      </c>
      <c r="N87" s="813">
        <v>5.0374600000000003</v>
      </c>
      <c r="O87" s="813">
        <v>5.0800809999999998</v>
      </c>
      <c r="P87" s="813">
        <v>5.0371709999999998</v>
      </c>
      <c r="Q87" s="813">
        <v>5.065124</v>
      </c>
      <c r="R87" s="813">
        <v>5.1057360000000003</v>
      </c>
      <c r="S87" s="813">
        <v>5.1828440000000002</v>
      </c>
      <c r="T87" s="813">
        <v>5.2374910000000003</v>
      </c>
      <c r="U87" s="813">
        <v>5.279604</v>
      </c>
      <c r="V87" s="813">
        <v>5.3068010000000001</v>
      </c>
      <c r="W87" s="813">
        <v>5.3077310000000004</v>
      </c>
      <c r="X87" s="813">
        <v>5.3018929999999997</v>
      </c>
      <c r="Y87" s="813">
        <v>5.2897550000000004</v>
      </c>
      <c r="Z87" s="813">
        <v>5.2716000000000003</v>
      </c>
      <c r="AA87" s="813">
        <v>5.2285089999999999</v>
      </c>
      <c r="AB87" s="813">
        <v>5.1739329999999999</v>
      </c>
      <c r="AC87" s="813">
        <v>5.1594519999999999</v>
      </c>
      <c r="AD87" s="813">
        <v>5.1117509999999999</v>
      </c>
      <c r="AE87" s="813">
        <v>5.0462470000000001</v>
      </c>
      <c r="AF87" s="814">
        <v>-1.4005999999999999E-2</v>
      </c>
      <c r="AG87" s="802"/>
    </row>
    <row r="88" spans="1:33" ht="15" customHeight="1">
      <c r="A88" s="800" t="s">
        <v>5118</v>
      </c>
      <c r="B88" s="812" t="s">
        <v>5119</v>
      </c>
      <c r="C88" s="813">
        <v>1.5122469999999999</v>
      </c>
      <c r="D88" s="813">
        <v>1.5237149999999999</v>
      </c>
      <c r="E88" s="813">
        <v>1.5509329999999999</v>
      </c>
      <c r="F88" s="813">
        <v>1.5992839999999999</v>
      </c>
      <c r="G88" s="813">
        <v>1.643408</v>
      </c>
      <c r="H88" s="813">
        <v>1.685827</v>
      </c>
      <c r="I88" s="813">
        <v>1.7226619999999999</v>
      </c>
      <c r="J88" s="813">
        <v>1.750883</v>
      </c>
      <c r="K88" s="813">
        <v>1.7757419999999999</v>
      </c>
      <c r="L88" s="813">
        <v>1.795445</v>
      </c>
      <c r="M88" s="813">
        <v>1.814422</v>
      </c>
      <c r="N88" s="813">
        <v>1.836012</v>
      </c>
      <c r="O88" s="813">
        <v>1.855661</v>
      </c>
      <c r="P88" s="813">
        <v>1.8730869999999999</v>
      </c>
      <c r="Q88" s="813">
        <v>1.8880269999999999</v>
      </c>
      <c r="R88" s="813">
        <v>1.904115</v>
      </c>
      <c r="S88" s="813">
        <v>1.9209229999999999</v>
      </c>
      <c r="T88" s="813">
        <v>1.935961</v>
      </c>
      <c r="U88" s="813">
        <v>1.950267</v>
      </c>
      <c r="V88" s="813">
        <v>1.964521</v>
      </c>
      <c r="W88" s="813">
        <v>1.968928</v>
      </c>
      <c r="X88" s="813">
        <v>1.9702649999999999</v>
      </c>
      <c r="Y88" s="813">
        <v>1.9745619999999999</v>
      </c>
      <c r="Z88" s="813">
        <v>1.9796750000000001</v>
      </c>
      <c r="AA88" s="813">
        <v>1.982947</v>
      </c>
      <c r="AB88" s="813">
        <v>1.983171</v>
      </c>
      <c r="AC88" s="813">
        <v>1.981943</v>
      </c>
      <c r="AD88" s="813">
        <v>1.9809159999999999</v>
      </c>
      <c r="AE88" s="813">
        <v>1.9766300000000001</v>
      </c>
      <c r="AF88" s="814">
        <v>9.6100000000000005E-3</v>
      </c>
      <c r="AG88" s="802"/>
    </row>
    <row r="89" spans="1:33" ht="15" customHeight="1">
      <c r="A89" s="800" t="s">
        <v>5120</v>
      </c>
      <c r="B89" s="812" t="s">
        <v>5121</v>
      </c>
      <c r="C89" s="813">
        <v>3.199084</v>
      </c>
      <c r="D89" s="813">
        <v>3.250197</v>
      </c>
      <c r="E89" s="813">
        <v>3.2819440000000002</v>
      </c>
      <c r="F89" s="813">
        <v>3.3432189999999999</v>
      </c>
      <c r="G89" s="813">
        <v>3.3968910000000001</v>
      </c>
      <c r="H89" s="813">
        <v>3.4421580000000001</v>
      </c>
      <c r="I89" s="813">
        <v>3.4860069999999999</v>
      </c>
      <c r="J89" s="813">
        <v>3.5301019999999999</v>
      </c>
      <c r="K89" s="813">
        <v>3.592832</v>
      </c>
      <c r="L89" s="813">
        <v>3.6520389999999998</v>
      </c>
      <c r="M89" s="813">
        <v>3.6986690000000002</v>
      </c>
      <c r="N89" s="813">
        <v>3.7433900000000002</v>
      </c>
      <c r="O89" s="813">
        <v>3.7815989999999999</v>
      </c>
      <c r="P89" s="813">
        <v>3.8082210000000001</v>
      </c>
      <c r="Q89" s="813">
        <v>3.8281529999999999</v>
      </c>
      <c r="R89" s="813">
        <v>3.8491569999999999</v>
      </c>
      <c r="S89" s="813">
        <v>3.8713649999999999</v>
      </c>
      <c r="T89" s="813">
        <v>3.8920689999999998</v>
      </c>
      <c r="U89" s="813">
        <v>3.9122240000000001</v>
      </c>
      <c r="V89" s="813">
        <v>3.9328690000000002</v>
      </c>
      <c r="W89" s="813">
        <v>3.9520499999999998</v>
      </c>
      <c r="X89" s="813">
        <v>3.9705379999999999</v>
      </c>
      <c r="Y89" s="813">
        <v>3.9900180000000001</v>
      </c>
      <c r="Z89" s="813">
        <v>4.0082709999999997</v>
      </c>
      <c r="AA89" s="813">
        <v>4.0183809999999998</v>
      </c>
      <c r="AB89" s="813">
        <v>4.0209000000000001</v>
      </c>
      <c r="AC89" s="813">
        <v>4.0190720000000004</v>
      </c>
      <c r="AD89" s="813">
        <v>4.0056570000000002</v>
      </c>
      <c r="AE89" s="813">
        <v>3.9821240000000002</v>
      </c>
      <c r="AF89" s="814">
        <v>7.8499999999999993E-3</v>
      </c>
      <c r="AG89" s="802"/>
    </row>
    <row r="90" spans="1:33" ht="15" customHeight="1">
      <c r="B90" s="808" t="s">
        <v>5109</v>
      </c>
      <c r="C90" s="802"/>
      <c r="D90" s="802"/>
      <c r="E90" s="802"/>
      <c r="F90" s="802"/>
      <c r="G90" s="802"/>
      <c r="H90" s="802"/>
      <c r="I90" s="802"/>
      <c r="J90" s="802"/>
      <c r="K90" s="802"/>
      <c r="L90" s="802"/>
      <c r="M90" s="802"/>
      <c r="N90" s="802"/>
      <c r="O90" s="802"/>
      <c r="P90" s="802"/>
      <c r="Q90" s="802"/>
      <c r="R90" s="802"/>
      <c r="S90" s="802"/>
      <c r="T90" s="802"/>
      <c r="U90" s="802"/>
      <c r="V90" s="802"/>
      <c r="W90" s="802"/>
      <c r="X90" s="802"/>
      <c r="Y90" s="802"/>
      <c r="Z90" s="802"/>
      <c r="AA90" s="802"/>
      <c r="AB90" s="802"/>
      <c r="AC90" s="802"/>
      <c r="AD90" s="802"/>
      <c r="AE90" s="802"/>
      <c r="AF90" s="802"/>
      <c r="AG90" s="802"/>
    </row>
    <row r="91" spans="1:33" ht="15" customHeight="1">
      <c r="A91" s="800" t="s">
        <v>5122</v>
      </c>
      <c r="B91" s="812" t="s">
        <v>5117</v>
      </c>
      <c r="C91" s="813">
        <v>7.490151</v>
      </c>
      <c r="D91" s="813">
        <v>7.4161520000000003</v>
      </c>
      <c r="E91" s="813">
        <v>7.0659470000000004</v>
      </c>
      <c r="F91" s="813">
        <v>6.6264200000000004</v>
      </c>
      <c r="G91" s="813">
        <v>6.3669700000000002</v>
      </c>
      <c r="H91" s="813">
        <v>6.1927209999999997</v>
      </c>
      <c r="I91" s="813">
        <v>6.0783800000000001</v>
      </c>
      <c r="J91" s="813">
        <v>6.0616459999999996</v>
      </c>
      <c r="K91" s="813">
        <v>6.1069509999999996</v>
      </c>
      <c r="L91" s="813">
        <v>6.1920310000000001</v>
      </c>
      <c r="M91" s="813">
        <v>6.2871129999999997</v>
      </c>
      <c r="N91" s="813">
        <v>6.5491919999999997</v>
      </c>
      <c r="O91" s="813">
        <v>6.7628279999999998</v>
      </c>
      <c r="P91" s="813">
        <v>6.8627279999999997</v>
      </c>
      <c r="Q91" s="813">
        <v>7.0597500000000002</v>
      </c>
      <c r="R91" s="813">
        <v>7.2756400000000001</v>
      </c>
      <c r="S91" s="813">
        <v>7.5488150000000003</v>
      </c>
      <c r="T91" s="813">
        <v>7.7959389999999997</v>
      </c>
      <c r="U91" s="813">
        <v>8.0338779999999996</v>
      </c>
      <c r="V91" s="813">
        <v>8.2563250000000004</v>
      </c>
      <c r="W91" s="813">
        <v>8.4442880000000002</v>
      </c>
      <c r="X91" s="813">
        <v>8.6283550000000009</v>
      </c>
      <c r="Y91" s="813">
        <v>8.8073840000000008</v>
      </c>
      <c r="Z91" s="813">
        <v>8.9816760000000002</v>
      </c>
      <c r="AA91" s="813">
        <v>9.1184250000000002</v>
      </c>
      <c r="AB91" s="813">
        <v>9.2376199999999997</v>
      </c>
      <c r="AC91" s="813">
        <v>9.4325899999999994</v>
      </c>
      <c r="AD91" s="813">
        <v>9.5696849999999998</v>
      </c>
      <c r="AE91" s="813">
        <v>9.6751059999999995</v>
      </c>
      <c r="AF91" s="814">
        <v>9.1839999999999995E-3</v>
      </c>
      <c r="AG91" s="802"/>
    </row>
    <row r="92" spans="1:33" ht="12" customHeight="1">
      <c r="A92" s="800" t="s">
        <v>5123</v>
      </c>
      <c r="B92" s="812" t="s">
        <v>5119</v>
      </c>
      <c r="C92" s="813">
        <v>1.5122469999999999</v>
      </c>
      <c r="D92" s="813">
        <v>1.586703</v>
      </c>
      <c r="E92" s="813">
        <v>1.6544669999999999</v>
      </c>
      <c r="F92" s="813">
        <v>1.743144</v>
      </c>
      <c r="G92" s="813">
        <v>1.829429</v>
      </c>
      <c r="H92" s="813">
        <v>1.917189</v>
      </c>
      <c r="I92" s="813">
        <v>2.0014050000000001</v>
      </c>
      <c r="J92" s="813">
        <v>2.078805</v>
      </c>
      <c r="K92" s="813">
        <v>2.1553810000000002</v>
      </c>
      <c r="L92" s="813">
        <v>2.2291590000000001</v>
      </c>
      <c r="M92" s="813">
        <v>2.3043550000000002</v>
      </c>
      <c r="N92" s="813">
        <v>2.3869950000000002</v>
      </c>
      <c r="O92" s="813">
        <v>2.4703369999999998</v>
      </c>
      <c r="P92" s="813">
        <v>2.5519259999999999</v>
      </c>
      <c r="Q92" s="813">
        <v>2.6315240000000002</v>
      </c>
      <c r="R92" s="813">
        <v>2.7133509999999998</v>
      </c>
      <c r="S92" s="813">
        <v>2.797825</v>
      </c>
      <c r="T92" s="813">
        <v>2.8816540000000002</v>
      </c>
      <c r="U92" s="813">
        <v>2.967686</v>
      </c>
      <c r="V92" s="813">
        <v>3.0564040000000001</v>
      </c>
      <c r="W92" s="813">
        <v>3.1324489999999998</v>
      </c>
      <c r="X92" s="813">
        <v>3.2064300000000001</v>
      </c>
      <c r="Y92" s="813">
        <v>3.2876249999999998</v>
      </c>
      <c r="Z92" s="813">
        <v>3.3729420000000001</v>
      </c>
      <c r="AA92" s="813">
        <v>3.4582250000000001</v>
      </c>
      <c r="AB92" s="813">
        <v>3.5407839999999999</v>
      </c>
      <c r="AC92" s="813">
        <v>3.623418</v>
      </c>
      <c r="AD92" s="813">
        <v>3.7084630000000001</v>
      </c>
      <c r="AE92" s="813">
        <v>3.789768</v>
      </c>
      <c r="AF92" s="814">
        <v>3.3355000000000003E-2</v>
      </c>
      <c r="AG92" s="802"/>
    </row>
    <row r="93" spans="1:33" ht="15" customHeight="1">
      <c r="A93" s="800" t="s">
        <v>5124</v>
      </c>
      <c r="B93" s="812" t="s">
        <v>5121</v>
      </c>
      <c r="C93" s="813">
        <v>3.199084</v>
      </c>
      <c r="D93" s="813">
        <v>3.3845550000000002</v>
      </c>
      <c r="E93" s="813">
        <v>3.5010330000000001</v>
      </c>
      <c r="F93" s="813">
        <v>3.6439509999999999</v>
      </c>
      <c r="G93" s="813">
        <v>3.781393</v>
      </c>
      <c r="H93" s="813">
        <v>3.9145569999999998</v>
      </c>
      <c r="I93" s="813">
        <v>4.0500749999999996</v>
      </c>
      <c r="J93" s="813">
        <v>4.1912529999999997</v>
      </c>
      <c r="K93" s="813">
        <v>4.3609499999999999</v>
      </c>
      <c r="L93" s="813">
        <v>4.5342390000000004</v>
      </c>
      <c r="M93" s="813">
        <v>4.6973880000000001</v>
      </c>
      <c r="N93" s="813">
        <v>4.8667749999999996</v>
      </c>
      <c r="O93" s="813">
        <v>5.0342310000000001</v>
      </c>
      <c r="P93" s="813">
        <v>5.1883850000000002</v>
      </c>
      <c r="Q93" s="813">
        <v>5.3356640000000004</v>
      </c>
      <c r="R93" s="813">
        <v>5.485023</v>
      </c>
      <c r="S93" s="813">
        <v>5.6386450000000004</v>
      </c>
      <c r="T93" s="813">
        <v>5.7932959999999998</v>
      </c>
      <c r="U93" s="813">
        <v>5.9531609999999997</v>
      </c>
      <c r="V93" s="813">
        <v>6.11876</v>
      </c>
      <c r="W93" s="813">
        <v>6.2874800000000004</v>
      </c>
      <c r="X93" s="813">
        <v>6.4616939999999996</v>
      </c>
      <c r="Y93" s="813">
        <v>6.6433359999999997</v>
      </c>
      <c r="Z93" s="813">
        <v>6.8292339999999996</v>
      </c>
      <c r="AA93" s="813">
        <v>7.0079849999999997</v>
      </c>
      <c r="AB93" s="813">
        <v>7.178979</v>
      </c>
      <c r="AC93" s="813">
        <v>7.3477290000000002</v>
      </c>
      <c r="AD93" s="813">
        <v>7.4989710000000001</v>
      </c>
      <c r="AE93" s="813">
        <v>7.6348750000000001</v>
      </c>
      <c r="AF93" s="814">
        <v>3.1553999999999999E-2</v>
      </c>
      <c r="AG93" s="802"/>
    </row>
    <row r="94" spans="1:33" ht="15" customHeight="1">
      <c r="B94" s="802"/>
      <c r="C94" s="802"/>
      <c r="D94" s="802"/>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2"/>
      <c r="AE94" s="802"/>
      <c r="AF94" s="802"/>
      <c r="AG94" s="802"/>
    </row>
    <row r="95" spans="1:33" ht="15" customHeight="1">
      <c r="B95" s="808" t="s">
        <v>5125</v>
      </c>
      <c r="C95" s="802"/>
      <c r="D95" s="802"/>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2"/>
      <c r="AE95" s="802"/>
      <c r="AF95" s="802"/>
      <c r="AG95" s="802"/>
    </row>
    <row r="96" spans="1:33" ht="15" customHeight="1">
      <c r="A96" s="800" t="s">
        <v>5126</v>
      </c>
      <c r="B96" s="812" t="s">
        <v>5127</v>
      </c>
      <c r="C96" s="815">
        <v>0.61597900000000005</v>
      </c>
      <c r="D96" s="815">
        <v>0.56548100000000001</v>
      </c>
      <c r="E96" s="815">
        <v>0.584982</v>
      </c>
      <c r="F96" s="815">
        <v>0.57908899999999996</v>
      </c>
      <c r="G96" s="815">
        <v>0.53188199999999997</v>
      </c>
      <c r="H96" s="815">
        <v>0.47616999999999998</v>
      </c>
      <c r="I96" s="815">
        <v>0.39708599999999999</v>
      </c>
      <c r="J96" s="815">
        <v>0.256523</v>
      </c>
      <c r="K96" s="815">
        <v>0.23081599999999999</v>
      </c>
      <c r="L96" s="815">
        <v>0.230573</v>
      </c>
      <c r="M96" s="815">
        <v>0.23397899999999999</v>
      </c>
      <c r="N96" s="815">
        <v>0.237536</v>
      </c>
      <c r="O96" s="815">
        <v>0.228662</v>
      </c>
      <c r="P96" s="815">
        <v>0.231098</v>
      </c>
      <c r="Q96" s="815">
        <v>0.227378</v>
      </c>
      <c r="R96" s="815">
        <v>0.219642</v>
      </c>
      <c r="S96" s="815">
        <v>0.21731</v>
      </c>
      <c r="T96" s="815">
        <v>0.216026</v>
      </c>
      <c r="U96" s="815">
        <v>0.210899</v>
      </c>
      <c r="V96" s="815">
        <v>0.209505</v>
      </c>
      <c r="W96" s="815">
        <v>0.21051500000000001</v>
      </c>
      <c r="X96" s="815">
        <v>0.21016399999999999</v>
      </c>
      <c r="Y96" s="815">
        <v>0.205342</v>
      </c>
      <c r="Z96" s="815">
        <v>0.204598</v>
      </c>
      <c r="AA96" s="815">
        <v>0.20261000000000001</v>
      </c>
      <c r="AB96" s="815">
        <v>0.20086499999999999</v>
      </c>
      <c r="AC96" s="815">
        <v>0.19707</v>
      </c>
      <c r="AD96" s="815">
        <v>0.19859199999999999</v>
      </c>
      <c r="AE96" s="815">
        <v>0.18834899999999999</v>
      </c>
      <c r="AF96" s="814">
        <v>-4.1435E-2</v>
      </c>
      <c r="AG96" s="802"/>
    </row>
    <row r="97" spans="1:34" ht="15" customHeight="1">
      <c r="A97" s="800" t="s">
        <v>5128</v>
      </c>
      <c r="B97" s="812" t="s">
        <v>5129</v>
      </c>
      <c r="C97" s="815">
        <v>0.83835899999999997</v>
      </c>
      <c r="D97" s="815">
        <v>0.75834299999999999</v>
      </c>
      <c r="E97" s="815">
        <v>0.74342600000000003</v>
      </c>
      <c r="F97" s="815">
        <v>0.65097099999999997</v>
      </c>
      <c r="G97" s="815">
        <v>0.54790799999999995</v>
      </c>
      <c r="H97" s="815">
        <v>0.45306400000000002</v>
      </c>
      <c r="I97" s="815">
        <v>0.40640999999999999</v>
      </c>
      <c r="J97" s="815">
        <v>0.37621100000000002</v>
      </c>
      <c r="K97" s="815">
        <v>0.34792600000000001</v>
      </c>
      <c r="L97" s="815">
        <v>0.31550800000000001</v>
      </c>
      <c r="M97" s="815">
        <v>0.309701</v>
      </c>
      <c r="N97" s="815">
        <v>0.32134200000000002</v>
      </c>
      <c r="O97" s="815">
        <v>0.32014100000000001</v>
      </c>
      <c r="P97" s="815">
        <v>0.31675599999999998</v>
      </c>
      <c r="Q97" s="815">
        <v>0.31518600000000002</v>
      </c>
      <c r="R97" s="815">
        <v>0.30467</v>
      </c>
      <c r="S97" s="815">
        <v>0.28098299999999998</v>
      </c>
      <c r="T97" s="815">
        <v>0.26944200000000001</v>
      </c>
      <c r="U97" s="815">
        <v>0.27182400000000001</v>
      </c>
      <c r="V97" s="815">
        <v>0.27671400000000002</v>
      </c>
      <c r="W97" s="815">
        <v>0.27645599999999998</v>
      </c>
      <c r="X97" s="815">
        <v>0.27567999999999998</v>
      </c>
      <c r="Y97" s="815">
        <v>0.27428799999999998</v>
      </c>
      <c r="Z97" s="815">
        <v>0.271096</v>
      </c>
      <c r="AA97" s="815">
        <v>0.26914900000000003</v>
      </c>
      <c r="AB97" s="815">
        <v>0.26687699999999998</v>
      </c>
      <c r="AC97" s="815">
        <v>0.26465300000000003</v>
      </c>
      <c r="AD97" s="815">
        <v>0.26547999999999999</v>
      </c>
      <c r="AE97" s="815">
        <v>0.267461</v>
      </c>
      <c r="AF97" s="814">
        <v>-3.9981000000000003E-2</v>
      </c>
      <c r="AG97" s="802"/>
    </row>
    <row r="98" spans="1:34" ht="15" customHeight="1">
      <c r="A98" s="800" t="s">
        <v>5130</v>
      </c>
      <c r="B98" s="812" t="s">
        <v>5131</v>
      </c>
      <c r="C98" s="815">
        <v>3.6862599999999999</v>
      </c>
      <c r="D98" s="815">
        <v>3.4044910000000002</v>
      </c>
      <c r="E98" s="815">
        <v>3.4990749999999999</v>
      </c>
      <c r="F98" s="815">
        <v>3.273323</v>
      </c>
      <c r="G98" s="815">
        <v>2.8589099999999998</v>
      </c>
      <c r="H98" s="815">
        <v>2.4950800000000002</v>
      </c>
      <c r="I98" s="815">
        <v>2.1364839999999998</v>
      </c>
      <c r="J98" s="815">
        <v>1.7361139999999999</v>
      </c>
      <c r="K98" s="815">
        <v>1.575008</v>
      </c>
      <c r="L98" s="815">
        <v>1.5581830000000001</v>
      </c>
      <c r="M98" s="815">
        <v>1.5348310000000001</v>
      </c>
      <c r="N98" s="815">
        <v>1.5033030000000001</v>
      </c>
      <c r="O98" s="815">
        <v>1.467937</v>
      </c>
      <c r="P98" s="815">
        <v>1.4793240000000001</v>
      </c>
      <c r="Q98" s="815">
        <v>1.465252</v>
      </c>
      <c r="R98" s="815">
        <v>1.3946670000000001</v>
      </c>
      <c r="S98" s="815">
        <v>1.359971</v>
      </c>
      <c r="T98" s="815">
        <v>1.32958</v>
      </c>
      <c r="U98" s="815">
        <v>1.3077319999999999</v>
      </c>
      <c r="V98" s="815">
        <v>1.315598</v>
      </c>
      <c r="W98" s="815">
        <v>1.3166739999999999</v>
      </c>
      <c r="X98" s="815">
        <v>1.3005770000000001</v>
      </c>
      <c r="Y98" s="815">
        <v>1.2646470000000001</v>
      </c>
      <c r="Z98" s="815">
        <v>1.23315</v>
      </c>
      <c r="AA98" s="815">
        <v>1.215068</v>
      </c>
      <c r="AB98" s="815">
        <v>1.2070639999999999</v>
      </c>
      <c r="AC98" s="815">
        <v>1.1852739999999999</v>
      </c>
      <c r="AD98" s="815">
        <v>1.1756850000000001</v>
      </c>
      <c r="AE98" s="815">
        <v>1.117597</v>
      </c>
      <c r="AF98" s="814">
        <v>-4.1727E-2</v>
      </c>
      <c r="AG98" s="802"/>
    </row>
    <row r="99" spans="1:34" ht="15" customHeight="1" thickBot="1">
      <c r="B99" s="802"/>
      <c r="C99" s="802"/>
      <c r="D99" s="802"/>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2"/>
      <c r="AE99" s="802"/>
      <c r="AF99" s="802"/>
      <c r="AG99" s="802"/>
    </row>
    <row r="100" spans="1:34" ht="15" customHeight="1">
      <c r="B100" s="1258" t="s">
        <v>5132</v>
      </c>
      <c r="C100" s="1259"/>
      <c r="D100" s="1259"/>
      <c r="E100" s="1259"/>
      <c r="F100" s="1259"/>
      <c r="G100" s="1259"/>
      <c r="H100" s="1259"/>
      <c r="I100" s="1259"/>
      <c r="J100" s="1259"/>
      <c r="K100" s="1259"/>
      <c r="L100" s="1259"/>
      <c r="M100" s="1259"/>
      <c r="N100" s="1259"/>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817"/>
    </row>
    <row r="101" spans="1:34" ht="12" customHeight="1">
      <c r="B101" s="802" t="s">
        <v>5133</v>
      </c>
      <c r="C101" s="802"/>
      <c r="D101" s="802"/>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2"/>
      <c r="AE101" s="802"/>
      <c r="AF101" s="802"/>
      <c r="AG101" s="802"/>
    </row>
    <row r="102" spans="1:34" ht="12" customHeight="1">
      <c r="B102" s="802" t="s">
        <v>5134</v>
      </c>
      <c r="C102" s="802"/>
      <c r="D102" s="802"/>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2"/>
      <c r="AE102" s="802"/>
      <c r="AF102" s="802"/>
      <c r="AG102" s="802"/>
    </row>
    <row r="103" spans="1:34" ht="15" customHeight="1">
      <c r="B103" s="802" t="s">
        <v>5135</v>
      </c>
      <c r="C103" s="802"/>
      <c r="D103" s="802"/>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2"/>
      <c r="AE103" s="802"/>
      <c r="AF103" s="802"/>
      <c r="AG103" s="802"/>
    </row>
    <row r="104" spans="1:34" ht="15" customHeight="1">
      <c r="B104" s="802" t="s">
        <v>5136</v>
      </c>
      <c r="C104" s="802"/>
      <c r="D104" s="802"/>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2"/>
      <c r="AE104" s="802"/>
      <c r="AF104" s="802"/>
      <c r="AG104" s="802"/>
    </row>
    <row r="105" spans="1:34" ht="15" customHeight="1">
      <c r="B105" s="802" t="s">
        <v>5137</v>
      </c>
      <c r="C105" s="802"/>
      <c r="D105" s="802"/>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2"/>
      <c r="AE105" s="802"/>
      <c r="AF105" s="802"/>
      <c r="AG105" s="802"/>
    </row>
    <row r="106" spans="1:34" ht="15" customHeight="1">
      <c r="B106" s="802" t="s">
        <v>5138</v>
      </c>
      <c r="C106" s="802"/>
      <c r="D106" s="802"/>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2"/>
      <c r="AE106" s="802"/>
      <c r="AF106" s="802"/>
      <c r="AG106" s="802"/>
    </row>
    <row r="107" spans="1:34" ht="15" customHeight="1">
      <c r="B107" s="802" t="s">
        <v>5139</v>
      </c>
      <c r="C107" s="802"/>
      <c r="D107" s="802"/>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2"/>
      <c r="AE107" s="802"/>
      <c r="AF107" s="802"/>
      <c r="AG107" s="802"/>
    </row>
    <row r="108" spans="1:34" ht="15" customHeight="1">
      <c r="B108" s="802" t="s">
        <v>5140</v>
      </c>
      <c r="C108" s="802"/>
      <c r="D108" s="802"/>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2"/>
      <c r="AE108" s="802"/>
      <c r="AF108" s="802"/>
      <c r="AG108" s="802"/>
    </row>
    <row r="109" spans="1:34" ht="15" customHeight="1">
      <c r="B109" s="802" t="s">
        <v>5141</v>
      </c>
      <c r="C109" s="802"/>
      <c r="D109" s="802"/>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2"/>
      <c r="AE109" s="802"/>
      <c r="AF109" s="802"/>
      <c r="AG109" s="802"/>
    </row>
    <row r="110" spans="1:34" ht="15" customHeight="1">
      <c r="B110" s="802" t="s">
        <v>5142</v>
      </c>
      <c r="C110" s="802"/>
      <c r="D110" s="802"/>
      <c r="E110" s="802"/>
      <c r="F110" s="802"/>
      <c r="G110" s="802"/>
      <c r="H110" s="802"/>
      <c r="I110" s="802"/>
      <c r="J110" s="802"/>
      <c r="K110" s="802"/>
      <c r="L110" s="802"/>
      <c r="M110" s="802"/>
      <c r="N110" s="802"/>
      <c r="O110" s="802"/>
      <c r="P110" s="802"/>
      <c r="Q110" s="802"/>
      <c r="R110" s="802"/>
      <c r="S110" s="802"/>
      <c r="T110" s="802"/>
      <c r="U110" s="802"/>
      <c r="V110" s="802"/>
      <c r="W110" s="802"/>
      <c r="X110" s="802"/>
      <c r="Y110" s="802"/>
      <c r="Z110" s="802"/>
      <c r="AA110" s="802"/>
      <c r="AB110" s="802"/>
      <c r="AC110" s="802"/>
      <c r="AD110" s="802"/>
      <c r="AE110" s="802"/>
      <c r="AF110" s="802"/>
      <c r="AG110" s="802"/>
    </row>
    <row r="111" spans="1:34" ht="15" customHeight="1">
      <c r="B111" s="802" t="s">
        <v>5143</v>
      </c>
      <c r="C111" s="802"/>
      <c r="D111" s="802"/>
      <c r="E111" s="802"/>
      <c r="F111" s="802"/>
      <c r="G111" s="802"/>
      <c r="H111" s="802"/>
      <c r="I111" s="802"/>
      <c r="J111" s="802"/>
      <c r="K111" s="802"/>
      <c r="L111" s="802"/>
      <c r="M111" s="802"/>
      <c r="N111" s="802"/>
      <c r="O111" s="802"/>
      <c r="P111" s="802"/>
      <c r="Q111" s="802"/>
      <c r="R111" s="802"/>
      <c r="S111" s="802"/>
      <c r="T111" s="802"/>
      <c r="U111" s="802"/>
      <c r="V111" s="802"/>
      <c r="W111" s="802"/>
      <c r="X111" s="802"/>
      <c r="Y111" s="802"/>
      <c r="Z111" s="802"/>
      <c r="AA111" s="802"/>
      <c r="AB111" s="802"/>
      <c r="AC111" s="802"/>
      <c r="AD111" s="802"/>
      <c r="AE111" s="802"/>
      <c r="AF111" s="802"/>
      <c r="AG111" s="802"/>
    </row>
    <row r="112" spans="1:34" ht="15" customHeight="1">
      <c r="B112" s="1261" t="s">
        <v>5144</v>
      </c>
      <c r="C112" s="1261"/>
      <c r="D112" s="1261"/>
      <c r="E112" s="1261"/>
      <c r="F112" s="1261"/>
      <c r="G112" s="1261"/>
      <c r="H112" s="1261"/>
      <c r="I112" s="1261"/>
      <c r="J112" s="1261"/>
      <c r="K112" s="1261"/>
      <c r="L112" s="1261"/>
      <c r="M112" s="1261"/>
      <c r="N112" s="1261"/>
      <c r="O112" s="1261"/>
      <c r="P112" s="1261"/>
      <c r="Q112" s="1261"/>
      <c r="R112" s="1261"/>
      <c r="S112" s="1261"/>
      <c r="T112" s="1261"/>
      <c r="U112" s="1261"/>
      <c r="V112" s="1261"/>
      <c r="W112" s="1261"/>
      <c r="X112" s="1261"/>
      <c r="Y112" s="1261"/>
      <c r="Z112" s="1261"/>
      <c r="AA112" s="1261"/>
      <c r="AB112" s="1261"/>
      <c r="AC112" s="1261"/>
      <c r="AD112" s="1261"/>
      <c r="AE112" s="1261"/>
      <c r="AF112" s="1261"/>
      <c r="AG112" s="802"/>
    </row>
    <row r="113" spans="2:33" ht="15" customHeight="1">
      <c r="B113" s="802" t="s">
        <v>5145</v>
      </c>
      <c r="C113" s="802"/>
      <c r="D113" s="802"/>
      <c r="E113" s="802"/>
      <c r="F113" s="802"/>
      <c r="G113" s="802"/>
      <c r="H113" s="802"/>
      <c r="I113" s="802"/>
      <c r="J113" s="802"/>
      <c r="K113" s="802"/>
      <c r="L113" s="802"/>
      <c r="M113" s="802"/>
      <c r="N113" s="802"/>
      <c r="O113" s="802"/>
      <c r="P113" s="802"/>
      <c r="Q113" s="802"/>
      <c r="R113" s="802"/>
      <c r="S113" s="802"/>
      <c r="T113" s="802"/>
      <c r="U113" s="802"/>
      <c r="V113" s="802"/>
      <c r="W113" s="802"/>
      <c r="X113" s="802"/>
      <c r="Y113" s="802"/>
      <c r="Z113" s="802"/>
      <c r="AA113" s="802"/>
      <c r="AB113" s="802"/>
      <c r="AC113" s="802"/>
      <c r="AD113" s="802"/>
      <c r="AE113" s="802"/>
      <c r="AF113" s="802"/>
      <c r="AG113" s="802"/>
    </row>
    <row r="114" spans="2:33" ht="15" customHeight="1">
      <c r="B114" s="802" t="s">
        <v>5146</v>
      </c>
      <c r="C114" s="802"/>
      <c r="D114" s="802"/>
      <c r="E114" s="802"/>
      <c r="F114" s="802"/>
      <c r="G114" s="802"/>
      <c r="H114" s="802"/>
      <c r="I114" s="802"/>
      <c r="J114" s="802"/>
      <c r="K114" s="802"/>
      <c r="L114" s="802"/>
      <c r="M114" s="802"/>
      <c r="N114" s="802"/>
      <c r="O114" s="802"/>
      <c r="P114" s="802"/>
      <c r="Q114" s="802"/>
      <c r="R114" s="802"/>
      <c r="S114" s="802"/>
      <c r="T114" s="802"/>
      <c r="U114" s="802"/>
      <c r="V114" s="802"/>
      <c r="W114" s="802"/>
      <c r="X114" s="802"/>
      <c r="Y114" s="802"/>
      <c r="Z114" s="802"/>
      <c r="AA114" s="802"/>
      <c r="AB114" s="802"/>
      <c r="AC114" s="802"/>
      <c r="AD114" s="802"/>
      <c r="AE114" s="802"/>
      <c r="AF114" s="802"/>
      <c r="AG114" s="802"/>
    </row>
    <row r="115" spans="2:33" ht="15" customHeight="1">
      <c r="B115" s="802" t="s">
        <v>5147</v>
      </c>
      <c r="C115" s="802"/>
      <c r="D115" s="802"/>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2"/>
      <c r="AE115" s="802"/>
      <c r="AF115" s="802"/>
      <c r="AG115" s="802"/>
    </row>
    <row r="116" spans="2:33" ht="15" customHeight="1">
      <c r="B116" s="802" t="s">
        <v>5148</v>
      </c>
      <c r="C116" s="802"/>
      <c r="D116" s="802"/>
      <c r="E116" s="802"/>
      <c r="F116" s="802"/>
      <c r="G116" s="802"/>
      <c r="H116" s="802"/>
      <c r="I116" s="802"/>
      <c r="J116" s="802"/>
      <c r="K116" s="802"/>
      <c r="L116" s="802"/>
      <c r="M116" s="802"/>
      <c r="N116" s="802"/>
      <c r="O116" s="802"/>
      <c r="P116" s="802"/>
      <c r="Q116" s="802"/>
      <c r="R116" s="802"/>
      <c r="S116" s="802"/>
      <c r="T116" s="802"/>
      <c r="U116" s="802"/>
      <c r="V116" s="802"/>
      <c r="W116" s="802"/>
      <c r="X116" s="802"/>
      <c r="Y116" s="802"/>
      <c r="Z116" s="802"/>
      <c r="AA116" s="802"/>
      <c r="AB116" s="802"/>
      <c r="AC116" s="802"/>
      <c r="AD116" s="802"/>
      <c r="AE116" s="802"/>
      <c r="AF116" s="802"/>
      <c r="AG116" s="802"/>
    </row>
    <row r="117" spans="2:33" ht="15" customHeight="1">
      <c r="B117" s="802" t="s">
        <v>4364</v>
      </c>
      <c r="C117" s="802"/>
      <c r="D117" s="802"/>
      <c r="E117" s="802"/>
      <c r="F117" s="802"/>
      <c r="G117" s="802"/>
      <c r="H117" s="802"/>
      <c r="I117" s="802"/>
      <c r="J117" s="802"/>
      <c r="K117" s="802"/>
      <c r="L117" s="802"/>
      <c r="M117" s="802"/>
      <c r="N117" s="802"/>
      <c r="O117" s="802"/>
      <c r="P117" s="802"/>
      <c r="Q117" s="802"/>
      <c r="R117" s="802"/>
      <c r="S117" s="802"/>
      <c r="T117" s="802"/>
      <c r="U117" s="802"/>
      <c r="V117" s="802"/>
      <c r="W117" s="802"/>
      <c r="X117" s="802"/>
      <c r="Y117" s="802"/>
      <c r="Z117" s="802"/>
      <c r="AA117" s="802"/>
      <c r="AB117" s="802"/>
      <c r="AC117" s="802"/>
      <c r="AD117" s="802"/>
      <c r="AE117" s="802"/>
      <c r="AF117" s="802"/>
      <c r="AG117" s="802"/>
    </row>
    <row r="118" spans="2:33" ht="15" customHeight="1">
      <c r="B118" s="802" t="s">
        <v>5149</v>
      </c>
      <c r="C118" s="802"/>
      <c r="D118" s="802"/>
      <c r="E118" s="802"/>
      <c r="F118" s="802"/>
      <c r="G118" s="802"/>
      <c r="H118" s="802"/>
      <c r="I118" s="802"/>
      <c r="J118" s="802"/>
      <c r="K118" s="802"/>
      <c r="L118" s="802"/>
      <c r="M118" s="802"/>
      <c r="N118" s="802"/>
      <c r="O118" s="802"/>
      <c r="P118" s="802"/>
      <c r="Q118" s="802"/>
      <c r="R118" s="802"/>
      <c r="S118" s="802"/>
      <c r="T118" s="802"/>
      <c r="U118" s="802"/>
      <c r="V118" s="802"/>
      <c r="W118" s="802"/>
      <c r="X118" s="802"/>
      <c r="Y118" s="802"/>
      <c r="Z118" s="802"/>
      <c r="AA118" s="802"/>
      <c r="AB118" s="802"/>
      <c r="AC118" s="802"/>
      <c r="AD118" s="802"/>
      <c r="AE118" s="802"/>
      <c r="AF118" s="802"/>
      <c r="AG118" s="802"/>
    </row>
    <row r="119" spans="2:33" ht="15" customHeight="1">
      <c r="B119" s="802" t="s">
        <v>5150</v>
      </c>
      <c r="C119" s="802"/>
      <c r="D119" s="802"/>
      <c r="E119" s="802"/>
      <c r="F119" s="802"/>
      <c r="G119" s="802"/>
      <c r="H119" s="802"/>
      <c r="I119" s="802"/>
      <c r="J119" s="802"/>
      <c r="K119" s="802"/>
      <c r="L119" s="802"/>
      <c r="M119" s="802"/>
      <c r="N119" s="802"/>
      <c r="O119" s="802"/>
      <c r="P119" s="802"/>
      <c r="Q119" s="802"/>
      <c r="R119" s="802"/>
      <c r="S119" s="802"/>
      <c r="T119" s="802"/>
      <c r="U119" s="802"/>
      <c r="V119" s="802"/>
      <c r="W119" s="802"/>
      <c r="X119" s="802"/>
      <c r="Y119" s="802"/>
      <c r="Z119" s="802"/>
      <c r="AA119" s="802"/>
      <c r="AB119" s="802"/>
      <c r="AC119" s="802"/>
      <c r="AD119" s="802"/>
      <c r="AE119" s="802"/>
      <c r="AF119" s="802"/>
      <c r="AG119" s="802"/>
    </row>
    <row r="120" spans="2:33" ht="15" customHeight="1">
      <c r="B120" s="802" t="s">
        <v>5151</v>
      </c>
      <c r="C120" s="802"/>
      <c r="D120" s="802"/>
      <c r="E120" s="802"/>
      <c r="F120" s="802"/>
      <c r="G120" s="802"/>
      <c r="H120" s="802"/>
      <c r="I120" s="802"/>
      <c r="J120" s="802"/>
      <c r="K120" s="802"/>
      <c r="L120" s="802"/>
      <c r="M120" s="802"/>
      <c r="N120" s="802"/>
      <c r="O120" s="802"/>
      <c r="P120" s="802"/>
      <c r="Q120" s="802"/>
      <c r="R120" s="802"/>
      <c r="S120" s="802"/>
      <c r="T120" s="802"/>
      <c r="U120" s="802"/>
      <c r="V120" s="802"/>
      <c r="W120" s="802"/>
      <c r="X120" s="802"/>
      <c r="Y120" s="802"/>
      <c r="Z120" s="802"/>
      <c r="AA120" s="802"/>
      <c r="AB120" s="802"/>
      <c r="AC120" s="802"/>
      <c r="AD120" s="802"/>
      <c r="AE120" s="802"/>
      <c r="AF120" s="802"/>
      <c r="AG120" s="802"/>
    </row>
    <row r="121" spans="2:33" ht="15" customHeight="1">
      <c r="B121" s="802"/>
      <c r="C121" s="802"/>
      <c r="D121" s="802"/>
      <c r="E121" s="802"/>
      <c r="F121" s="802"/>
      <c r="G121" s="802"/>
      <c r="H121" s="802"/>
      <c r="I121" s="802"/>
      <c r="J121" s="802"/>
      <c r="K121" s="802"/>
      <c r="L121" s="802"/>
      <c r="M121" s="802"/>
      <c r="N121" s="802"/>
      <c r="O121" s="802"/>
      <c r="P121" s="802"/>
      <c r="Q121" s="802"/>
      <c r="R121" s="802"/>
      <c r="S121" s="802"/>
      <c r="T121" s="802"/>
      <c r="U121" s="802"/>
      <c r="V121" s="802"/>
      <c r="W121" s="802"/>
      <c r="X121" s="802"/>
      <c r="Y121" s="802"/>
      <c r="Z121" s="802"/>
      <c r="AA121" s="802"/>
      <c r="AB121" s="802"/>
      <c r="AC121" s="802"/>
      <c r="AD121" s="802"/>
      <c r="AE121" s="802"/>
      <c r="AF121" s="802"/>
      <c r="AG121" s="802"/>
    </row>
    <row r="122" spans="2:33" ht="15" customHeight="1">
      <c r="B122" s="802"/>
      <c r="C122" s="802"/>
      <c r="D122" s="802"/>
      <c r="E122" s="802"/>
      <c r="F122" s="802"/>
      <c r="G122" s="802"/>
      <c r="H122" s="802"/>
      <c r="I122" s="802"/>
      <c r="J122" s="802"/>
      <c r="K122" s="802"/>
      <c r="L122" s="802"/>
      <c r="M122" s="802"/>
      <c r="N122" s="802"/>
      <c r="O122" s="802"/>
      <c r="P122" s="802"/>
      <c r="Q122" s="802"/>
      <c r="R122" s="802"/>
      <c r="S122" s="802"/>
      <c r="T122" s="802"/>
      <c r="U122" s="802"/>
      <c r="V122" s="802"/>
      <c r="W122" s="802"/>
      <c r="X122" s="802"/>
      <c r="Y122" s="802"/>
      <c r="Z122" s="802"/>
      <c r="AA122" s="802"/>
      <c r="AB122" s="802"/>
      <c r="AC122" s="802"/>
      <c r="AD122" s="802"/>
      <c r="AE122" s="802"/>
      <c r="AF122" s="802"/>
      <c r="AG122" s="802"/>
    </row>
    <row r="123" spans="2:33" ht="15" customHeight="1">
      <c r="B123" s="802"/>
      <c r="C123" s="802"/>
      <c r="D123" s="802"/>
      <c r="E123" s="802"/>
      <c r="F123" s="802"/>
      <c r="G123" s="802"/>
      <c r="H123" s="802"/>
      <c r="I123" s="802"/>
      <c r="J123" s="802"/>
      <c r="K123" s="802"/>
      <c r="L123" s="802"/>
      <c r="M123" s="802"/>
      <c r="N123" s="802"/>
      <c r="O123" s="802"/>
      <c r="P123" s="802"/>
      <c r="Q123" s="802"/>
      <c r="R123" s="802"/>
      <c r="S123" s="802"/>
      <c r="T123" s="802"/>
      <c r="U123" s="802"/>
      <c r="V123" s="802"/>
      <c r="W123" s="802"/>
      <c r="X123" s="802"/>
      <c r="Y123" s="802"/>
      <c r="Z123" s="802"/>
      <c r="AA123" s="802"/>
      <c r="AB123" s="802"/>
      <c r="AC123" s="802"/>
      <c r="AD123" s="802"/>
      <c r="AE123" s="802"/>
      <c r="AF123" s="802"/>
      <c r="AG123" s="802"/>
    </row>
    <row r="124" spans="2:33" ht="15" customHeight="1">
      <c r="B124" s="802"/>
      <c r="C124" s="802"/>
      <c r="D124" s="802"/>
      <c r="E124" s="802"/>
      <c r="F124" s="802"/>
      <c r="G124" s="802"/>
      <c r="H124" s="802"/>
      <c r="I124" s="802"/>
      <c r="J124" s="802"/>
      <c r="K124" s="802"/>
      <c r="L124" s="802"/>
      <c r="M124" s="802"/>
      <c r="N124" s="802"/>
      <c r="O124" s="802"/>
      <c r="P124" s="802"/>
      <c r="Q124" s="802"/>
      <c r="R124" s="802"/>
      <c r="S124" s="802"/>
      <c r="T124" s="802"/>
      <c r="U124" s="802"/>
      <c r="V124" s="802"/>
      <c r="W124" s="802"/>
      <c r="X124" s="802"/>
      <c r="Y124" s="802"/>
      <c r="Z124" s="802"/>
      <c r="AA124" s="802"/>
      <c r="AB124" s="802"/>
      <c r="AC124" s="802"/>
      <c r="AD124" s="802"/>
      <c r="AE124" s="802"/>
      <c r="AF124" s="802"/>
      <c r="AG124" s="802"/>
    </row>
    <row r="125" spans="2:33" ht="15" customHeight="1">
      <c r="B125" s="802"/>
      <c r="C125" s="802"/>
      <c r="D125" s="802"/>
      <c r="E125" s="802"/>
      <c r="F125" s="802"/>
      <c r="G125" s="802"/>
      <c r="H125" s="802"/>
      <c r="I125" s="802"/>
      <c r="J125" s="802"/>
      <c r="K125" s="802"/>
      <c r="L125" s="802"/>
      <c r="M125" s="802"/>
      <c r="N125" s="802"/>
      <c r="O125" s="802"/>
      <c r="P125" s="802"/>
      <c r="Q125" s="802"/>
      <c r="R125" s="802"/>
      <c r="S125" s="802"/>
      <c r="T125" s="802"/>
      <c r="U125" s="802"/>
      <c r="V125" s="802"/>
      <c r="W125" s="802"/>
      <c r="X125" s="802"/>
      <c r="Y125" s="802"/>
      <c r="Z125" s="802"/>
      <c r="AA125" s="802"/>
      <c r="AB125" s="802"/>
      <c r="AC125" s="802"/>
      <c r="AD125" s="802"/>
      <c r="AE125" s="802"/>
      <c r="AF125" s="802"/>
      <c r="AG125" s="802"/>
    </row>
    <row r="126" spans="2:33" ht="15" customHeight="1">
      <c r="B126" s="802"/>
      <c r="C126" s="802"/>
      <c r="D126" s="802"/>
      <c r="E126" s="802"/>
      <c r="F126" s="802"/>
      <c r="G126" s="802"/>
      <c r="H126" s="802"/>
      <c r="I126" s="802"/>
      <c r="J126" s="802"/>
      <c r="K126" s="802"/>
      <c r="L126" s="802"/>
      <c r="M126" s="802"/>
      <c r="N126" s="802"/>
      <c r="O126" s="802"/>
      <c r="P126" s="802"/>
      <c r="Q126" s="802"/>
      <c r="R126" s="802"/>
      <c r="S126" s="802"/>
      <c r="T126" s="802"/>
      <c r="U126" s="802"/>
      <c r="V126" s="802"/>
      <c r="W126" s="802"/>
      <c r="X126" s="802"/>
      <c r="Y126" s="802"/>
      <c r="Z126" s="802"/>
      <c r="AA126" s="802"/>
      <c r="AB126" s="802"/>
      <c r="AC126" s="802"/>
      <c r="AD126" s="802"/>
      <c r="AE126" s="802"/>
      <c r="AF126" s="802"/>
      <c r="AG126" s="802"/>
    </row>
    <row r="127" spans="2:33" ht="15" customHeight="1">
      <c r="B127" s="802"/>
      <c r="C127" s="802"/>
      <c r="D127" s="802"/>
      <c r="E127" s="802"/>
      <c r="F127" s="802"/>
      <c r="G127" s="802"/>
      <c r="H127" s="802"/>
      <c r="I127" s="802"/>
      <c r="J127" s="802"/>
      <c r="K127" s="802"/>
      <c r="L127" s="802"/>
      <c r="M127" s="802"/>
      <c r="N127" s="802"/>
      <c r="O127" s="802"/>
      <c r="P127" s="802"/>
      <c r="Q127" s="802"/>
      <c r="R127" s="802"/>
      <c r="S127" s="802"/>
      <c r="T127" s="802"/>
      <c r="U127" s="802"/>
      <c r="V127" s="802"/>
      <c r="W127" s="802"/>
      <c r="X127" s="802"/>
      <c r="Y127" s="802"/>
      <c r="Z127" s="802"/>
      <c r="AA127" s="802"/>
      <c r="AB127" s="802"/>
      <c r="AC127" s="802"/>
      <c r="AD127" s="802"/>
      <c r="AE127" s="802"/>
      <c r="AF127" s="802"/>
      <c r="AG127" s="802"/>
    </row>
    <row r="128" spans="2:33" ht="15" customHeight="1">
      <c r="B128" s="802"/>
      <c r="C128" s="802"/>
      <c r="D128" s="802"/>
      <c r="E128" s="802"/>
      <c r="F128" s="802"/>
      <c r="G128" s="802"/>
      <c r="H128" s="802"/>
      <c r="I128" s="802"/>
      <c r="J128" s="802"/>
      <c r="K128" s="802"/>
      <c r="L128" s="802"/>
      <c r="M128" s="802"/>
      <c r="N128" s="802"/>
      <c r="O128" s="802"/>
      <c r="P128" s="802"/>
      <c r="Q128" s="802"/>
      <c r="R128" s="802"/>
      <c r="S128" s="802"/>
      <c r="T128" s="802"/>
      <c r="U128" s="802"/>
      <c r="V128" s="802"/>
      <c r="W128" s="802"/>
      <c r="X128" s="802"/>
      <c r="Y128" s="802"/>
      <c r="Z128" s="802"/>
      <c r="AA128" s="802"/>
      <c r="AB128" s="802"/>
      <c r="AC128" s="802"/>
      <c r="AD128" s="802"/>
      <c r="AE128" s="802"/>
      <c r="AF128" s="802"/>
      <c r="AG128" s="802"/>
    </row>
    <row r="129" spans="2:33" ht="15" customHeight="1">
      <c r="B129" s="802"/>
      <c r="C129" s="802"/>
      <c r="D129" s="802"/>
      <c r="E129" s="802"/>
      <c r="F129" s="802"/>
      <c r="G129" s="802"/>
      <c r="H129" s="802"/>
      <c r="I129" s="802"/>
      <c r="J129" s="802"/>
      <c r="K129" s="802"/>
      <c r="L129" s="802"/>
      <c r="M129" s="802"/>
      <c r="N129" s="802"/>
      <c r="O129" s="802"/>
      <c r="P129" s="802"/>
      <c r="Q129" s="802"/>
      <c r="R129" s="802"/>
      <c r="S129" s="802"/>
      <c r="T129" s="802"/>
      <c r="U129" s="802"/>
      <c r="V129" s="802"/>
      <c r="W129" s="802"/>
      <c r="X129" s="802"/>
      <c r="Y129" s="802"/>
      <c r="Z129" s="802"/>
      <c r="AA129" s="802"/>
      <c r="AB129" s="802"/>
      <c r="AC129" s="802"/>
      <c r="AD129" s="802"/>
      <c r="AE129" s="802"/>
      <c r="AF129" s="802"/>
      <c r="AG129" s="802"/>
    </row>
    <row r="130" spans="2:33" ht="15" customHeight="1">
      <c r="B130" s="802"/>
      <c r="C130" s="802"/>
      <c r="D130" s="802"/>
      <c r="E130" s="802"/>
      <c r="F130" s="802"/>
      <c r="G130" s="802"/>
      <c r="H130" s="802"/>
      <c r="I130" s="802"/>
      <c r="J130" s="802"/>
      <c r="K130" s="802"/>
      <c r="L130" s="802"/>
      <c r="M130" s="802"/>
      <c r="N130" s="802"/>
      <c r="O130" s="802"/>
      <c r="P130" s="802"/>
      <c r="Q130" s="802"/>
      <c r="R130" s="802"/>
      <c r="S130" s="802"/>
      <c r="T130" s="802"/>
      <c r="U130" s="802"/>
      <c r="V130" s="802"/>
      <c r="W130" s="802"/>
      <c r="X130" s="802"/>
      <c r="Y130" s="802"/>
      <c r="Z130" s="802"/>
      <c r="AA130" s="802"/>
      <c r="AB130" s="802"/>
      <c r="AC130" s="802"/>
      <c r="AD130" s="802"/>
      <c r="AE130" s="802"/>
      <c r="AF130" s="802"/>
      <c r="AG130" s="802"/>
    </row>
    <row r="131" spans="2:33" ht="15" customHeight="1">
      <c r="B131" s="802"/>
      <c r="C131" s="802"/>
      <c r="D131" s="802"/>
      <c r="E131" s="802"/>
      <c r="F131" s="802"/>
      <c r="G131" s="802"/>
      <c r="H131" s="802"/>
      <c r="I131" s="802"/>
      <c r="J131" s="802"/>
      <c r="K131" s="802"/>
      <c r="L131" s="802"/>
      <c r="M131" s="802"/>
      <c r="N131" s="802"/>
      <c r="O131" s="802"/>
      <c r="P131" s="802"/>
      <c r="Q131" s="802"/>
      <c r="R131" s="802"/>
      <c r="S131" s="802"/>
      <c r="T131" s="802"/>
      <c r="U131" s="802"/>
      <c r="V131" s="802"/>
      <c r="W131" s="802"/>
      <c r="X131" s="802"/>
      <c r="Y131" s="802"/>
      <c r="Z131" s="802"/>
      <c r="AA131" s="802"/>
      <c r="AB131" s="802"/>
      <c r="AC131" s="802"/>
      <c r="AD131" s="802"/>
      <c r="AE131" s="802"/>
      <c r="AF131" s="802"/>
      <c r="AG131" s="802"/>
    </row>
    <row r="132" spans="2:33" ht="15" customHeight="1">
      <c r="B132" s="802"/>
      <c r="C132" s="802"/>
      <c r="D132" s="802"/>
      <c r="E132" s="802"/>
      <c r="F132" s="802"/>
      <c r="G132" s="802"/>
      <c r="H132" s="802"/>
      <c r="I132" s="802"/>
      <c r="J132" s="802"/>
      <c r="K132" s="802"/>
      <c r="L132" s="802"/>
      <c r="M132" s="802"/>
      <c r="N132" s="802"/>
      <c r="O132" s="802"/>
      <c r="P132" s="802"/>
      <c r="Q132" s="802"/>
      <c r="R132" s="802"/>
      <c r="S132" s="802"/>
      <c r="T132" s="802"/>
      <c r="U132" s="802"/>
      <c r="V132" s="802"/>
      <c r="W132" s="802"/>
      <c r="X132" s="802"/>
      <c r="Y132" s="802"/>
      <c r="Z132" s="802"/>
      <c r="AA132" s="802"/>
      <c r="AB132" s="802"/>
      <c r="AC132" s="802"/>
      <c r="AD132" s="802"/>
      <c r="AE132" s="802"/>
      <c r="AF132" s="802"/>
      <c r="AG132" s="802"/>
    </row>
    <row r="133" spans="2:33" ht="15" customHeight="1">
      <c r="B133" s="802"/>
      <c r="C133" s="802"/>
      <c r="D133" s="802"/>
      <c r="E133" s="802"/>
      <c r="F133" s="802"/>
      <c r="G133" s="802"/>
      <c r="H133" s="802"/>
      <c r="I133" s="802"/>
      <c r="J133" s="802"/>
      <c r="K133" s="802"/>
      <c r="L133" s="802"/>
      <c r="M133" s="802"/>
      <c r="N133" s="802"/>
      <c r="O133" s="802"/>
      <c r="P133" s="802"/>
      <c r="Q133" s="802"/>
      <c r="R133" s="802"/>
      <c r="S133" s="802"/>
      <c r="T133" s="802"/>
      <c r="U133" s="802"/>
      <c r="V133" s="802"/>
      <c r="W133" s="802"/>
      <c r="X133" s="802"/>
      <c r="Y133" s="802"/>
      <c r="Z133" s="802"/>
      <c r="AA133" s="802"/>
      <c r="AB133" s="802"/>
      <c r="AC133" s="802"/>
      <c r="AD133" s="802"/>
      <c r="AE133" s="802"/>
      <c r="AF133" s="802"/>
      <c r="AG133" s="802"/>
    </row>
    <row r="134" spans="2:33" ht="15" customHeight="1">
      <c r="B134" s="802"/>
      <c r="C134" s="802"/>
      <c r="D134" s="802"/>
      <c r="E134" s="802"/>
      <c r="F134" s="802"/>
      <c r="G134" s="802"/>
      <c r="H134" s="802"/>
      <c r="I134" s="802"/>
      <c r="J134" s="802"/>
      <c r="K134" s="802"/>
      <c r="L134" s="802"/>
      <c r="M134" s="802"/>
      <c r="N134" s="802"/>
      <c r="O134" s="802"/>
      <c r="P134" s="802"/>
      <c r="Q134" s="802"/>
      <c r="R134" s="802"/>
      <c r="S134" s="802"/>
      <c r="T134" s="802"/>
      <c r="U134" s="802"/>
      <c r="V134" s="802"/>
      <c r="W134" s="802"/>
      <c r="X134" s="802"/>
      <c r="Y134" s="802"/>
      <c r="Z134" s="802"/>
      <c r="AA134" s="802"/>
      <c r="AB134" s="802"/>
      <c r="AC134" s="802"/>
      <c r="AD134" s="802"/>
      <c r="AE134" s="802"/>
      <c r="AF134" s="802"/>
      <c r="AG134" s="802"/>
    </row>
    <row r="141" spans="2:33" ht="12" customHeight="1"/>
    <row r="142" spans="2:33" ht="12" customHeight="1"/>
    <row r="143" spans="2:33" ht="12" customHeight="1"/>
    <row r="144" spans="2:33" ht="12" customHeight="1"/>
    <row r="145" ht="12" customHeight="1"/>
    <row r="146" ht="12" customHeight="1"/>
    <row r="147" ht="12" customHeight="1"/>
    <row r="148" ht="12" customHeight="1"/>
    <row r="149" ht="12" customHeight="1"/>
    <row r="165" ht="12" customHeight="1"/>
    <row r="180" ht="12" customHeight="1"/>
    <row r="204" ht="12" customHeight="1"/>
    <row r="205" ht="12" customHeight="1"/>
    <row r="223" ht="12" customHeight="1"/>
    <row r="226" ht="12" customHeight="1"/>
    <row r="256" ht="12" customHeight="1"/>
    <row r="257" ht="12" customHeight="1"/>
    <row r="269" ht="12" customHeight="1"/>
    <row r="299" ht="12" customHeight="1"/>
    <row r="308" spans="2:32" ht="15" customHeight="1">
      <c r="B308" s="1260"/>
      <c r="C308" s="1260"/>
      <c r="D308" s="1260"/>
      <c r="E308" s="1260"/>
      <c r="F308" s="1260"/>
      <c r="G308" s="1260"/>
      <c r="H308" s="1260"/>
      <c r="I308" s="1260"/>
      <c r="J308" s="1260"/>
      <c r="K308" s="1260"/>
      <c r="L308" s="1260"/>
      <c r="M308" s="1260"/>
      <c r="N308" s="1260"/>
      <c r="O308" s="1260"/>
      <c r="P308" s="1260"/>
      <c r="Q308" s="1260"/>
      <c r="R308" s="1260"/>
      <c r="S308" s="1260"/>
      <c r="T308" s="1260"/>
      <c r="U308" s="1260"/>
      <c r="V308" s="1260"/>
      <c r="W308" s="1260"/>
      <c r="X308" s="1260"/>
      <c r="Y308" s="1260"/>
      <c r="Z308" s="1260"/>
      <c r="AA308" s="1260"/>
      <c r="AB308" s="1260"/>
      <c r="AC308" s="1260"/>
      <c r="AD308" s="1260"/>
      <c r="AE308" s="1260"/>
      <c r="AF308" s="126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1260"/>
      <c r="C511" s="1260"/>
      <c r="D511" s="1260"/>
      <c r="E511" s="1260"/>
      <c r="F511" s="1260"/>
      <c r="G511" s="1260"/>
      <c r="H511" s="1260"/>
      <c r="I511" s="1260"/>
      <c r="J511" s="1260"/>
      <c r="K511" s="1260"/>
      <c r="L511" s="1260"/>
      <c r="M511" s="1260"/>
      <c r="N511" s="1260"/>
      <c r="O511" s="1260"/>
      <c r="P511" s="1260"/>
      <c r="Q511" s="1260"/>
      <c r="R511" s="1260"/>
      <c r="S511" s="1260"/>
      <c r="T511" s="1260"/>
      <c r="U511" s="1260"/>
      <c r="V511" s="1260"/>
      <c r="W511" s="1260"/>
      <c r="X511" s="1260"/>
      <c r="Y511" s="1260"/>
      <c r="Z511" s="1260"/>
      <c r="AA511" s="1260"/>
      <c r="AB511" s="1260"/>
      <c r="AC511" s="1260"/>
      <c r="AD511" s="1260"/>
      <c r="AE511" s="1260"/>
      <c r="AF511" s="126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1260"/>
      <c r="C712" s="1260"/>
      <c r="D712" s="1260"/>
      <c r="E712" s="1260"/>
      <c r="F712" s="1260"/>
      <c r="G712" s="1260"/>
      <c r="H712" s="1260"/>
      <c r="I712" s="1260"/>
      <c r="J712" s="1260"/>
      <c r="K712" s="1260"/>
      <c r="L712" s="1260"/>
      <c r="M712" s="1260"/>
      <c r="N712" s="1260"/>
      <c r="O712" s="1260"/>
      <c r="P712" s="1260"/>
      <c r="Q712" s="1260"/>
      <c r="R712" s="1260"/>
      <c r="S712" s="1260"/>
      <c r="T712" s="1260"/>
      <c r="U712" s="1260"/>
      <c r="V712" s="1260"/>
      <c r="W712" s="1260"/>
      <c r="X712" s="1260"/>
      <c r="Y712" s="1260"/>
      <c r="Z712" s="1260"/>
      <c r="AA712" s="1260"/>
      <c r="AB712" s="1260"/>
      <c r="AC712" s="1260"/>
      <c r="AD712" s="1260"/>
      <c r="AE712" s="1260"/>
      <c r="AF712" s="126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1260"/>
      <c r="C887" s="1260"/>
      <c r="D887" s="1260"/>
      <c r="E887" s="1260"/>
      <c r="F887" s="1260"/>
      <c r="G887" s="1260"/>
      <c r="H887" s="1260"/>
      <c r="I887" s="1260"/>
      <c r="J887" s="1260"/>
      <c r="K887" s="1260"/>
      <c r="L887" s="1260"/>
      <c r="M887" s="1260"/>
      <c r="N887" s="1260"/>
      <c r="O887" s="1260"/>
      <c r="P887" s="1260"/>
      <c r="Q887" s="1260"/>
      <c r="R887" s="1260"/>
      <c r="S887" s="1260"/>
      <c r="T887" s="1260"/>
      <c r="U887" s="1260"/>
      <c r="V887" s="1260"/>
      <c r="W887" s="1260"/>
      <c r="X887" s="1260"/>
      <c r="Y887" s="1260"/>
      <c r="Z887" s="1260"/>
      <c r="AA887" s="1260"/>
      <c r="AB887" s="1260"/>
      <c r="AC887" s="1260"/>
      <c r="AD887" s="1260"/>
      <c r="AE887" s="1260"/>
      <c r="AF887" s="126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1260"/>
      <c r="C1101" s="1260"/>
      <c r="D1101" s="1260"/>
      <c r="E1101" s="1260"/>
      <c r="F1101" s="1260"/>
      <c r="G1101" s="1260"/>
      <c r="H1101" s="1260"/>
      <c r="I1101" s="1260"/>
      <c r="J1101" s="1260"/>
      <c r="K1101" s="1260"/>
      <c r="L1101" s="1260"/>
      <c r="M1101" s="1260"/>
      <c r="N1101" s="1260"/>
      <c r="O1101" s="1260"/>
      <c r="P1101" s="1260"/>
      <c r="Q1101" s="1260"/>
      <c r="R1101" s="1260"/>
      <c r="S1101" s="1260"/>
      <c r="T1101" s="1260"/>
      <c r="U1101" s="1260"/>
      <c r="V1101" s="1260"/>
      <c r="W1101" s="1260"/>
      <c r="X1101" s="1260"/>
      <c r="Y1101" s="1260"/>
      <c r="Z1101" s="1260"/>
      <c r="AA1101" s="1260"/>
      <c r="AB1101" s="1260"/>
      <c r="AC1101" s="1260"/>
      <c r="AD1101" s="1260"/>
      <c r="AE1101" s="1260"/>
      <c r="AF1101" s="126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1260"/>
      <c r="C1229" s="1260"/>
      <c r="D1229" s="1260"/>
      <c r="E1229" s="1260"/>
      <c r="F1229" s="1260"/>
      <c r="G1229" s="1260"/>
      <c r="H1229" s="1260"/>
      <c r="I1229" s="1260"/>
      <c r="J1229" s="1260"/>
      <c r="K1229" s="1260"/>
      <c r="L1229" s="1260"/>
      <c r="M1229" s="1260"/>
      <c r="N1229" s="1260"/>
      <c r="O1229" s="1260"/>
      <c r="P1229" s="1260"/>
      <c r="Q1229" s="1260"/>
      <c r="R1229" s="1260"/>
      <c r="S1229" s="1260"/>
      <c r="T1229" s="1260"/>
      <c r="U1229" s="1260"/>
      <c r="V1229" s="1260"/>
      <c r="W1229" s="1260"/>
      <c r="X1229" s="1260"/>
      <c r="Y1229" s="1260"/>
      <c r="Z1229" s="1260"/>
      <c r="AA1229" s="1260"/>
      <c r="AB1229" s="1260"/>
      <c r="AC1229" s="1260"/>
      <c r="AD1229" s="1260"/>
      <c r="AE1229" s="1260"/>
      <c r="AF1229" s="126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1260"/>
      <c r="C1390" s="1260"/>
      <c r="D1390" s="1260"/>
      <c r="E1390" s="1260"/>
      <c r="F1390" s="1260"/>
      <c r="G1390" s="1260"/>
      <c r="H1390" s="1260"/>
      <c r="I1390" s="1260"/>
      <c r="J1390" s="1260"/>
      <c r="K1390" s="1260"/>
      <c r="L1390" s="1260"/>
      <c r="M1390" s="1260"/>
      <c r="N1390" s="1260"/>
      <c r="O1390" s="1260"/>
      <c r="P1390" s="1260"/>
      <c r="Q1390" s="1260"/>
      <c r="R1390" s="1260"/>
      <c r="S1390" s="1260"/>
      <c r="T1390" s="1260"/>
      <c r="U1390" s="1260"/>
      <c r="V1390" s="1260"/>
      <c r="W1390" s="1260"/>
      <c r="X1390" s="1260"/>
      <c r="Y1390" s="1260"/>
      <c r="Z1390" s="1260"/>
      <c r="AA1390" s="1260"/>
      <c r="AB1390" s="1260"/>
      <c r="AC1390" s="1260"/>
      <c r="AD1390" s="1260"/>
      <c r="AE1390" s="1260"/>
      <c r="AF1390" s="126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1260"/>
      <c r="C1502" s="1260"/>
      <c r="D1502" s="1260"/>
      <c r="E1502" s="1260"/>
      <c r="F1502" s="1260"/>
      <c r="G1502" s="1260"/>
      <c r="H1502" s="1260"/>
      <c r="I1502" s="1260"/>
      <c r="J1502" s="1260"/>
      <c r="K1502" s="1260"/>
      <c r="L1502" s="1260"/>
      <c r="M1502" s="1260"/>
      <c r="N1502" s="1260"/>
      <c r="O1502" s="1260"/>
      <c r="P1502" s="1260"/>
      <c r="Q1502" s="1260"/>
      <c r="R1502" s="1260"/>
      <c r="S1502" s="1260"/>
      <c r="T1502" s="1260"/>
      <c r="U1502" s="1260"/>
      <c r="V1502" s="1260"/>
      <c r="W1502" s="1260"/>
      <c r="X1502" s="1260"/>
      <c r="Y1502" s="1260"/>
      <c r="Z1502" s="1260"/>
      <c r="AA1502" s="1260"/>
      <c r="AB1502" s="1260"/>
      <c r="AC1502" s="1260"/>
      <c r="AD1502" s="1260"/>
      <c r="AE1502" s="1260"/>
      <c r="AF1502" s="126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1260"/>
      <c r="C1604" s="1260"/>
      <c r="D1604" s="1260"/>
      <c r="E1604" s="1260"/>
      <c r="F1604" s="1260"/>
      <c r="G1604" s="1260"/>
      <c r="H1604" s="1260"/>
      <c r="I1604" s="1260"/>
      <c r="J1604" s="1260"/>
      <c r="K1604" s="1260"/>
      <c r="L1604" s="1260"/>
      <c r="M1604" s="1260"/>
      <c r="N1604" s="1260"/>
      <c r="O1604" s="1260"/>
      <c r="P1604" s="1260"/>
      <c r="Q1604" s="1260"/>
      <c r="R1604" s="1260"/>
      <c r="S1604" s="1260"/>
      <c r="T1604" s="1260"/>
      <c r="U1604" s="1260"/>
      <c r="V1604" s="1260"/>
      <c r="W1604" s="1260"/>
      <c r="X1604" s="1260"/>
      <c r="Y1604" s="1260"/>
      <c r="Z1604" s="1260"/>
      <c r="AA1604" s="1260"/>
      <c r="AB1604" s="1260"/>
      <c r="AC1604" s="1260"/>
      <c r="AD1604" s="1260"/>
      <c r="AE1604" s="1260"/>
      <c r="AF1604" s="126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1260"/>
      <c r="C1699" s="1260"/>
      <c r="D1699" s="1260"/>
      <c r="E1699" s="1260"/>
      <c r="F1699" s="1260"/>
      <c r="G1699" s="1260"/>
      <c r="H1699" s="1260"/>
      <c r="I1699" s="1260"/>
      <c r="J1699" s="1260"/>
      <c r="K1699" s="1260"/>
      <c r="L1699" s="1260"/>
      <c r="M1699" s="1260"/>
      <c r="N1699" s="1260"/>
      <c r="O1699" s="1260"/>
      <c r="P1699" s="1260"/>
      <c r="Q1699" s="1260"/>
      <c r="R1699" s="1260"/>
      <c r="S1699" s="1260"/>
      <c r="T1699" s="1260"/>
      <c r="U1699" s="1260"/>
      <c r="V1699" s="1260"/>
      <c r="W1699" s="1260"/>
      <c r="X1699" s="1260"/>
      <c r="Y1699" s="1260"/>
      <c r="Z1699" s="1260"/>
      <c r="AA1699" s="1260"/>
      <c r="AB1699" s="1260"/>
      <c r="AC1699" s="1260"/>
      <c r="AD1699" s="1260"/>
      <c r="AE1699" s="1260"/>
      <c r="AF1699" s="126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1260"/>
      <c r="C1945" s="1260"/>
      <c r="D1945" s="1260"/>
      <c r="E1945" s="1260"/>
      <c r="F1945" s="1260"/>
      <c r="G1945" s="1260"/>
      <c r="H1945" s="1260"/>
      <c r="I1945" s="1260"/>
      <c r="J1945" s="1260"/>
      <c r="K1945" s="1260"/>
      <c r="L1945" s="1260"/>
      <c r="M1945" s="1260"/>
      <c r="N1945" s="1260"/>
      <c r="O1945" s="1260"/>
      <c r="P1945" s="1260"/>
      <c r="Q1945" s="1260"/>
      <c r="R1945" s="1260"/>
      <c r="S1945" s="1260"/>
      <c r="T1945" s="1260"/>
      <c r="U1945" s="1260"/>
      <c r="V1945" s="1260"/>
      <c r="W1945" s="1260"/>
      <c r="X1945" s="1260"/>
      <c r="Y1945" s="1260"/>
      <c r="Z1945" s="1260"/>
      <c r="AA1945" s="1260"/>
      <c r="AB1945" s="1260"/>
      <c r="AC1945" s="1260"/>
      <c r="AD1945" s="1260"/>
      <c r="AE1945" s="1260"/>
      <c r="AF1945" s="126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1260"/>
      <c r="C2031" s="1260"/>
      <c r="D2031" s="1260"/>
      <c r="E2031" s="1260"/>
      <c r="F2031" s="1260"/>
      <c r="G2031" s="1260"/>
      <c r="H2031" s="1260"/>
      <c r="I2031" s="1260"/>
      <c r="J2031" s="1260"/>
      <c r="K2031" s="1260"/>
      <c r="L2031" s="1260"/>
      <c r="M2031" s="1260"/>
      <c r="N2031" s="1260"/>
      <c r="O2031" s="1260"/>
      <c r="P2031" s="1260"/>
      <c r="Q2031" s="1260"/>
      <c r="R2031" s="1260"/>
      <c r="S2031" s="1260"/>
      <c r="T2031" s="1260"/>
      <c r="U2031" s="1260"/>
      <c r="V2031" s="1260"/>
      <c r="W2031" s="1260"/>
      <c r="X2031" s="1260"/>
      <c r="Y2031" s="1260"/>
      <c r="Z2031" s="1260"/>
      <c r="AA2031" s="1260"/>
      <c r="AB2031" s="1260"/>
      <c r="AC2031" s="1260"/>
      <c r="AD2031" s="1260"/>
      <c r="AE2031" s="1260"/>
      <c r="AF2031" s="126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1260"/>
      <c r="C2153" s="1260"/>
      <c r="D2153" s="1260"/>
      <c r="E2153" s="1260"/>
      <c r="F2153" s="1260"/>
      <c r="G2153" s="1260"/>
      <c r="H2153" s="1260"/>
      <c r="I2153" s="1260"/>
      <c r="J2153" s="1260"/>
      <c r="K2153" s="1260"/>
      <c r="L2153" s="1260"/>
      <c r="M2153" s="1260"/>
      <c r="N2153" s="1260"/>
      <c r="O2153" s="1260"/>
      <c r="P2153" s="1260"/>
      <c r="Q2153" s="1260"/>
      <c r="R2153" s="1260"/>
      <c r="S2153" s="1260"/>
      <c r="T2153" s="1260"/>
      <c r="U2153" s="1260"/>
      <c r="V2153" s="1260"/>
      <c r="W2153" s="1260"/>
      <c r="X2153" s="1260"/>
      <c r="Y2153" s="1260"/>
      <c r="Z2153" s="1260"/>
      <c r="AA2153" s="1260"/>
      <c r="AB2153" s="1260"/>
      <c r="AC2153" s="1260"/>
      <c r="AD2153" s="1260"/>
      <c r="AE2153" s="1260"/>
      <c r="AF2153" s="126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1260"/>
      <c r="C2317" s="1260"/>
      <c r="D2317" s="1260"/>
      <c r="E2317" s="1260"/>
      <c r="F2317" s="1260"/>
      <c r="G2317" s="1260"/>
      <c r="H2317" s="1260"/>
      <c r="I2317" s="1260"/>
      <c r="J2317" s="1260"/>
      <c r="K2317" s="1260"/>
      <c r="L2317" s="1260"/>
      <c r="M2317" s="1260"/>
      <c r="N2317" s="1260"/>
      <c r="O2317" s="1260"/>
      <c r="P2317" s="1260"/>
      <c r="Q2317" s="1260"/>
      <c r="R2317" s="1260"/>
      <c r="S2317" s="1260"/>
      <c r="T2317" s="1260"/>
      <c r="U2317" s="1260"/>
      <c r="V2317" s="1260"/>
      <c r="W2317" s="1260"/>
      <c r="X2317" s="1260"/>
      <c r="Y2317" s="1260"/>
      <c r="Z2317" s="1260"/>
      <c r="AA2317" s="1260"/>
      <c r="AB2317" s="1260"/>
      <c r="AC2317" s="1260"/>
      <c r="AD2317" s="1260"/>
      <c r="AE2317" s="1260"/>
      <c r="AF2317" s="126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1260"/>
      <c r="C2419" s="1260"/>
      <c r="D2419" s="1260"/>
      <c r="E2419" s="1260"/>
      <c r="F2419" s="1260"/>
      <c r="G2419" s="1260"/>
      <c r="H2419" s="1260"/>
      <c r="I2419" s="1260"/>
      <c r="J2419" s="1260"/>
      <c r="K2419" s="1260"/>
      <c r="L2419" s="1260"/>
      <c r="M2419" s="1260"/>
      <c r="N2419" s="1260"/>
      <c r="O2419" s="1260"/>
      <c r="P2419" s="1260"/>
      <c r="Q2419" s="1260"/>
      <c r="R2419" s="1260"/>
      <c r="S2419" s="1260"/>
      <c r="T2419" s="1260"/>
      <c r="U2419" s="1260"/>
      <c r="V2419" s="1260"/>
      <c r="W2419" s="1260"/>
      <c r="X2419" s="1260"/>
      <c r="Y2419" s="1260"/>
      <c r="Z2419" s="1260"/>
      <c r="AA2419" s="1260"/>
      <c r="AB2419" s="1260"/>
      <c r="AC2419" s="1260"/>
      <c r="AD2419" s="1260"/>
      <c r="AE2419" s="1260"/>
      <c r="AF2419" s="126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1260"/>
      <c r="C2509" s="1260"/>
      <c r="D2509" s="1260"/>
      <c r="E2509" s="1260"/>
      <c r="F2509" s="1260"/>
      <c r="G2509" s="1260"/>
      <c r="H2509" s="1260"/>
      <c r="I2509" s="1260"/>
      <c r="J2509" s="1260"/>
      <c r="K2509" s="1260"/>
      <c r="L2509" s="1260"/>
      <c r="M2509" s="1260"/>
      <c r="N2509" s="1260"/>
      <c r="O2509" s="1260"/>
      <c r="P2509" s="1260"/>
      <c r="Q2509" s="1260"/>
      <c r="R2509" s="1260"/>
      <c r="S2509" s="1260"/>
      <c r="T2509" s="1260"/>
      <c r="U2509" s="1260"/>
      <c r="V2509" s="1260"/>
      <c r="W2509" s="1260"/>
      <c r="X2509" s="1260"/>
      <c r="Y2509" s="1260"/>
      <c r="Z2509" s="1260"/>
      <c r="AA2509" s="1260"/>
      <c r="AB2509" s="1260"/>
      <c r="AC2509" s="1260"/>
      <c r="AD2509" s="1260"/>
      <c r="AE2509" s="1260"/>
      <c r="AF2509" s="126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1260"/>
      <c r="C2598" s="1260"/>
      <c r="D2598" s="1260"/>
      <c r="E2598" s="1260"/>
      <c r="F2598" s="1260"/>
      <c r="G2598" s="1260"/>
      <c r="H2598" s="1260"/>
      <c r="I2598" s="1260"/>
      <c r="J2598" s="1260"/>
      <c r="K2598" s="1260"/>
      <c r="L2598" s="1260"/>
      <c r="M2598" s="1260"/>
      <c r="N2598" s="1260"/>
      <c r="O2598" s="1260"/>
      <c r="P2598" s="1260"/>
      <c r="Q2598" s="1260"/>
      <c r="R2598" s="1260"/>
      <c r="S2598" s="1260"/>
      <c r="T2598" s="1260"/>
      <c r="U2598" s="1260"/>
      <c r="V2598" s="1260"/>
      <c r="W2598" s="1260"/>
      <c r="X2598" s="1260"/>
      <c r="Y2598" s="1260"/>
      <c r="Z2598" s="1260"/>
      <c r="AA2598" s="1260"/>
      <c r="AB2598" s="1260"/>
      <c r="AC2598" s="1260"/>
      <c r="AD2598" s="1260"/>
      <c r="AE2598" s="1260"/>
      <c r="AF2598" s="126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1260"/>
      <c r="C2719" s="1260"/>
      <c r="D2719" s="1260"/>
      <c r="E2719" s="1260"/>
      <c r="F2719" s="1260"/>
      <c r="G2719" s="1260"/>
      <c r="H2719" s="1260"/>
      <c r="I2719" s="1260"/>
      <c r="J2719" s="1260"/>
      <c r="K2719" s="1260"/>
      <c r="L2719" s="1260"/>
      <c r="M2719" s="1260"/>
      <c r="N2719" s="1260"/>
      <c r="O2719" s="1260"/>
      <c r="P2719" s="1260"/>
      <c r="Q2719" s="1260"/>
      <c r="R2719" s="1260"/>
      <c r="S2719" s="1260"/>
      <c r="T2719" s="1260"/>
      <c r="U2719" s="1260"/>
      <c r="V2719" s="1260"/>
      <c r="W2719" s="1260"/>
      <c r="X2719" s="1260"/>
      <c r="Y2719" s="1260"/>
      <c r="Z2719" s="1260"/>
      <c r="AA2719" s="1260"/>
      <c r="AB2719" s="1260"/>
      <c r="AC2719" s="1260"/>
      <c r="AD2719" s="1260"/>
      <c r="AE2719" s="1260"/>
      <c r="AF2719" s="126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1260"/>
      <c r="C2837" s="1260"/>
      <c r="D2837" s="1260"/>
      <c r="E2837" s="1260"/>
      <c r="F2837" s="1260"/>
      <c r="G2837" s="1260"/>
      <c r="H2837" s="1260"/>
      <c r="I2837" s="1260"/>
      <c r="J2837" s="1260"/>
      <c r="K2837" s="1260"/>
      <c r="L2837" s="1260"/>
      <c r="M2837" s="1260"/>
      <c r="N2837" s="1260"/>
      <c r="O2837" s="1260"/>
      <c r="P2837" s="1260"/>
      <c r="Q2837" s="1260"/>
      <c r="R2837" s="1260"/>
      <c r="S2837" s="1260"/>
      <c r="T2837" s="1260"/>
      <c r="U2837" s="1260"/>
      <c r="V2837" s="1260"/>
      <c r="W2837" s="1260"/>
      <c r="X2837" s="1260"/>
      <c r="Y2837" s="1260"/>
      <c r="Z2837" s="1260"/>
      <c r="AA2837" s="1260"/>
      <c r="AB2837" s="1260"/>
      <c r="AC2837" s="1260"/>
      <c r="AD2837" s="1260"/>
      <c r="AE2837" s="1260"/>
      <c r="AF2837" s="1260"/>
    </row>
  </sheetData>
  <mergeCells count="21">
    <mergeCell ref="B1229:AF1229"/>
    <mergeCell ref="B1390:AF1390"/>
    <mergeCell ref="B1502:AF1502"/>
    <mergeCell ref="B1604:AF1604"/>
    <mergeCell ref="B1699:AF1699"/>
    <mergeCell ref="B1101:AF1101"/>
    <mergeCell ref="B100:AG100"/>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s>
  <pageMargins left="0.75" right="0.75" top="1" bottom="1" header="0.5" footer="0.5"/>
  <pageSetup orientation="portrait"/>
  <headerFooter>
    <oddFooter>&amp;R_x000D_&amp;1#&amp;"Aptos"&amp;10&amp;K000000 Official Use Only</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E737F-A2AE-4392-8FA2-6CA381DFFA3D}">
  <dimension ref="A1:H106"/>
  <sheetViews>
    <sheetView zoomScale="160" zoomScaleNormal="160" workbookViewId="0">
      <selection activeCell="F23" sqref="F23"/>
    </sheetView>
  </sheetViews>
  <sheetFormatPr defaultRowHeight="15"/>
  <cols>
    <col min="1" max="1" width="11" customWidth="1"/>
    <col min="2" max="2" width="48.140625" customWidth="1"/>
    <col min="3" max="8" width="12.140625" customWidth="1"/>
  </cols>
  <sheetData>
    <row r="1" spans="1:8">
      <c r="A1" s="538" t="s">
        <v>5152</v>
      </c>
    </row>
    <row r="3" spans="1:8">
      <c r="A3" t="s">
        <v>5153</v>
      </c>
    </row>
    <row r="5" spans="1:8">
      <c r="A5" t="s">
        <v>5154</v>
      </c>
    </row>
    <row r="6" spans="1:8">
      <c r="A6" t="s">
        <v>5155</v>
      </c>
    </row>
    <row r="8" spans="1:8">
      <c r="C8" s="30" t="s">
        <v>141</v>
      </c>
      <c r="D8" s="30" t="s">
        <v>43</v>
      </c>
      <c r="E8" s="30" t="s">
        <v>44</v>
      </c>
      <c r="F8" s="30" t="s">
        <v>40</v>
      </c>
      <c r="G8" s="98" t="s">
        <v>116</v>
      </c>
    </row>
    <row r="9" spans="1:8">
      <c r="B9" s="23" t="s">
        <v>5156</v>
      </c>
      <c r="C9" s="959">
        <f>SUM(C23,C45,C67,C89)</f>
        <v>50</v>
      </c>
      <c r="D9" s="959">
        <f>SUM(D23:E23,G23,D45:E45,G45,D67:E67,G67,D89:E89,G89)</f>
        <v>1</v>
      </c>
      <c r="E9" s="959">
        <f>SUM(F23,F45,F67,F89)</f>
        <v>37</v>
      </c>
      <c r="F9" s="959">
        <f>SUM(H23,H45,H67,H89)</f>
        <v>1</v>
      </c>
      <c r="G9" s="49" t="s">
        <v>689</v>
      </c>
    </row>
    <row r="10" spans="1:8">
      <c r="B10" s="23" t="s">
        <v>5156</v>
      </c>
      <c r="C10" s="793">
        <f>C9*'Unit Conversions'!$E$4</f>
        <v>52.752999693821593</v>
      </c>
      <c r="D10" s="793">
        <f>D9*'Unit Conversions'!$E$4</f>
        <v>1.0550599938764318</v>
      </c>
      <c r="E10" s="793">
        <f>E9*'Unit Conversions'!$E$4</f>
        <v>39.037219773427978</v>
      </c>
      <c r="F10" s="793">
        <f>F9*'Unit Conversions'!$E$4</f>
        <v>1.0550599938764318</v>
      </c>
      <c r="G10" s="49" t="s">
        <v>183</v>
      </c>
    </row>
    <row r="15" spans="1:8">
      <c r="A15" s="68" t="s">
        <v>2781</v>
      </c>
      <c r="B15" s="68" t="s">
        <v>2781</v>
      </c>
      <c r="C15" s="69"/>
      <c r="D15" s="69" t="s">
        <v>2781</v>
      </c>
      <c r="E15" s="69" t="s">
        <v>2782</v>
      </c>
      <c r="F15" s="69" t="s">
        <v>2781</v>
      </c>
      <c r="G15" s="69" t="s">
        <v>2781</v>
      </c>
      <c r="H15" s="70"/>
    </row>
    <row r="16" spans="1:8">
      <c r="A16" s="68" t="s">
        <v>2781</v>
      </c>
      <c r="B16" s="68" t="s">
        <v>2781</v>
      </c>
      <c r="C16" s="69" t="s">
        <v>5157</v>
      </c>
      <c r="D16" s="70"/>
      <c r="E16" s="69" t="s">
        <v>2783</v>
      </c>
      <c r="F16" s="69"/>
      <c r="G16" s="70"/>
      <c r="H16" s="69" t="s">
        <v>40</v>
      </c>
    </row>
    <row r="17" spans="1:8">
      <c r="A17" s="68" t="s">
        <v>2784</v>
      </c>
      <c r="B17" s="68" t="s">
        <v>2781</v>
      </c>
      <c r="C17" s="70" t="s">
        <v>5158</v>
      </c>
      <c r="D17" s="69" t="s">
        <v>2786</v>
      </c>
      <c r="E17" s="69" t="s">
        <v>2787</v>
      </c>
      <c r="F17" s="69" t="s">
        <v>2788</v>
      </c>
      <c r="G17" s="69" t="s">
        <v>2789</v>
      </c>
      <c r="H17" s="69" t="s">
        <v>2790</v>
      </c>
    </row>
    <row r="18" spans="1:8">
      <c r="A18" s="68" t="s">
        <v>2791</v>
      </c>
      <c r="B18" s="68" t="s">
        <v>2792</v>
      </c>
      <c r="C18" s="69" t="s">
        <v>2793</v>
      </c>
      <c r="D18" s="69" t="s">
        <v>2783</v>
      </c>
      <c r="E18" s="69" t="s">
        <v>2794</v>
      </c>
      <c r="F18" s="69" t="s">
        <v>2795</v>
      </c>
      <c r="G18" s="69" t="s">
        <v>2796</v>
      </c>
      <c r="H18" s="69" t="s">
        <v>2797</v>
      </c>
    </row>
    <row r="20" spans="1:8">
      <c r="A20" s="81" t="s">
        <v>2845</v>
      </c>
      <c r="B20" s="81" t="s">
        <v>2846</v>
      </c>
      <c r="C20" s="86"/>
      <c r="D20" s="86"/>
      <c r="E20" s="86"/>
      <c r="F20" s="86"/>
      <c r="G20" s="86"/>
      <c r="H20" s="86"/>
    </row>
    <row r="21" spans="1:8">
      <c r="A21" s="83"/>
      <c r="B21" s="83"/>
      <c r="C21" s="84"/>
      <c r="D21" s="84"/>
      <c r="E21" s="84"/>
      <c r="F21" s="84"/>
      <c r="G21" s="84"/>
      <c r="H21" s="84"/>
    </row>
    <row r="22" spans="1:8">
      <c r="A22" s="83"/>
      <c r="B22" s="83"/>
      <c r="C22" s="84"/>
      <c r="D22" s="84"/>
      <c r="E22" s="84"/>
      <c r="F22" s="84"/>
      <c r="G22" s="84"/>
      <c r="H22" s="84"/>
    </row>
    <row r="23" spans="1:8">
      <c r="A23" s="83"/>
      <c r="B23" s="81" t="s">
        <v>2803</v>
      </c>
      <c r="C23" s="84">
        <v>37</v>
      </c>
      <c r="D23" s="84" t="s">
        <v>2812</v>
      </c>
      <c r="E23" s="84" t="s">
        <v>2812</v>
      </c>
      <c r="F23" s="84">
        <v>23</v>
      </c>
      <c r="G23" s="84">
        <v>1</v>
      </c>
      <c r="H23" s="84">
        <v>1</v>
      </c>
    </row>
    <row r="24" spans="1:8">
      <c r="A24" s="83"/>
      <c r="B24" s="81" t="s">
        <v>2804</v>
      </c>
      <c r="C24" s="84">
        <v>1</v>
      </c>
      <c r="D24" s="84" t="s">
        <v>2812</v>
      </c>
      <c r="E24" s="84" t="s">
        <v>2812</v>
      </c>
      <c r="F24" s="84">
        <v>11</v>
      </c>
      <c r="G24" s="84">
        <v>1</v>
      </c>
      <c r="H24" s="84">
        <v>1</v>
      </c>
    </row>
    <row r="25" spans="1:8">
      <c r="A25" s="83"/>
      <c r="B25" s="83" t="s">
        <v>2806</v>
      </c>
      <c r="C25" s="84">
        <v>1</v>
      </c>
      <c r="D25" s="84" t="s">
        <v>2812</v>
      </c>
      <c r="E25" s="84" t="s">
        <v>2812</v>
      </c>
      <c r="F25" s="84">
        <v>7</v>
      </c>
      <c r="G25" s="84" t="s">
        <v>2812</v>
      </c>
      <c r="H25" s="84">
        <v>1</v>
      </c>
    </row>
    <row r="26" spans="1:8">
      <c r="A26" s="83"/>
      <c r="B26" s="83" t="s">
        <v>2807</v>
      </c>
      <c r="C26" s="84" t="s">
        <v>2805</v>
      </c>
      <c r="D26" s="84" t="s">
        <v>2812</v>
      </c>
      <c r="E26" s="84" t="s">
        <v>2812</v>
      </c>
      <c r="F26" s="84">
        <v>5</v>
      </c>
      <c r="G26" s="84" t="s">
        <v>2812</v>
      </c>
      <c r="H26" s="84">
        <v>1</v>
      </c>
    </row>
    <row r="27" spans="1:8">
      <c r="A27" s="83"/>
      <c r="B27" s="81" t="s">
        <v>2808</v>
      </c>
      <c r="C27" s="84">
        <v>27</v>
      </c>
      <c r="D27" s="84">
        <v>0</v>
      </c>
      <c r="E27" s="84" t="s">
        <v>2812</v>
      </c>
      <c r="F27" s="84">
        <v>9</v>
      </c>
      <c r="G27" s="84" t="s">
        <v>2812</v>
      </c>
      <c r="H27" s="84">
        <v>0</v>
      </c>
    </row>
    <row r="28" spans="1:8">
      <c r="A28" s="83"/>
      <c r="B28" s="83" t="s">
        <v>2810</v>
      </c>
      <c r="C28" s="84">
        <v>3</v>
      </c>
      <c r="D28" s="84">
        <v>0</v>
      </c>
      <c r="E28" s="84" t="s">
        <v>2812</v>
      </c>
      <c r="F28" s="84">
        <v>9</v>
      </c>
      <c r="G28" s="84" t="s">
        <v>2812</v>
      </c>
      <c r="H28" s="84">
        <v>0</v>
      </c>
    </row>
    <row r="29" spans="1:8">
      <c r="A29" s="83"/>
      <c r="B29" s="83" t="s">
        <v>2811</v>
      </c>
      <c r="C29" s="84">
        <v>2</v>
      </c>
      <c r="D29" s="84">
        <v>0</v>
      </c>
      <c r="E29" s="84">
        <v>0</v>
      </c>
      <c r="F29" s="84" t="s">
        <v>2812</v>
      </c>
      <c r="G29" s="84">
        <v>0</v>
      </c>
      <c r="H29" s="84">
        <v>0</v>
      </c>
    </row>
    <row r="30" spans="1:8">
      <c r="A30" s="83"/>
      <c r="B30" s="83" t="s">
        <v>2813</v>
      </c>
      <c r="C30" s="84">
        <v>21</v>
      </c>
      <c r="D30" s="84">
        <v>0</v>
      </c>
      <c r="E30" s="84" t="s">
        <v>2812</v>
      </c>
      <c r="F30" s="84">
        <v>1</v>
      </c>
      <c r="G30" s="84" t="s">
        <v>2812</v>
      </c>
      <c r="H30" s="84">
        <v>0</v>
      </c>
    </row>
    <row r="31" spans="1:8">
      <c r="A31" s="83"/>
      <c r="B31" s="83" t="s">
        <v>2814</v>
      </c>
      <c r="C31" s="84" t="s">
        <v>2812</v>
      </c>
      <c r="D31" s="84" t="s">
        <v>2805</v>
      </c>
      <c r="E31" s="84" t="s">
        <v>2805</v>
      </c>
      <c r="F31" s="84" t="s">
        <v>2805</v>
      </c>
      <c r="G31" s="84" t="s">
        <v>2805</v>
      </c>
      <c r="H31" s="84" t="s">
        <v>2805</v>
      </c>
    </row>
    <row r="32" spans="1:8">
      <c r="A32" s="83"/>
      <c r="B32" s="83" t="s">
        <v>2815</v>
      </c>
      <c r="C32" s="84">
        <v>1</v>
      </c>
      <c r="D32" s="84">
        <v>0</v>
      </c>
      <c r="E32" s="84">
        <v>0</v>
      </c>
      <c r="F32" s="84" t="s">
        <v>2812</v>
      </c>
      <c r="G32" s="84" t="s">
        <v>2812</v>
      </c>
      <c r="H32" s="84">
        <v>0</v>
      </c>
    </row>
    <row r="33" spans="1:8">
      <c r="A33" s="83"/>
      <c r="B33" s="81" t="s">
        <v>2816</v>
      </c>
      <c r="C33" s="84">
        <v>10</v>
      </c>
      <c r="D33" s="84">
        <v>0</v>
      </c>
      <c r="E33" s="84" t="s">
        <v>2812</v>
      </c>
      <c r="F33" s="84">
        <v>2</v>
      </c>
      <c r="G33" s="84" t="s">
        <v>2812</v>
      </c>
      <c r="H33" s="84">
        <v>0</v>
      </c>
    </row>
    <row r="34" spans="1:8">
      <c r="A34" s="83"/>
      <c r="B34" s="83" t="s">
        <v>5159</v>
      </c>
      <c r="C34" s="84">
        <v>6</v>
      </c>
      <c r="D34" s="84">
        <v>0</v>
      </c>
      <c r="E34" s="84" t="s">
        <v>2812</v>
      </c>
      <c r="F34" s="84">
        <v>2</v>
      </c>
      <c r="G34" s="84" t="s">
        <v>2812</v>
      </c>
      <c r="H34" s="84">
        <v>0</v>
      </c>
    </row>
    <row r="35" spans="1:8">
      <c r="A35" s="83"/>
      <c r="B35" s="83" t="s">
        <v>2818</v>
      </c>
      <c r="C35" s="84">
        <v>2</v>
      </c>
      <c r="D35" s="84" t="s">
        <v>2805</v>
      </c>
      <c r="E35" s="84" t="s">
        <v>2805</v>
      </c>
      <c r="F35" s="84" t="s">
        <v>2805</v>
      </c>
      <c r="G35" s="84" t="s">
        <v>2805</v>
      </c>
      <c r="H35" s="84" t="s">
        <v>2805</v>
      </c>
    </row>
    <row r="36" spans="1:8">
      <c r="A36" s="83"/>
      <c r="B36" s="83" t="s">
        <v>2819</v>
      </c>
      <c r="C36" s="84">
        <v>1</v>
      </c>
      <c r="D36" s="84">
        <v>0</v>
      </c>
      <c r="E36" s="84" t="s">
        <v>2812</v>
      </c>
      <c r="F36" s="84" t="s">
        <v>2812</v>
      </c>
      <c r="G36" s="84" t="s">
        <v>2812</v>
      </c>
      <c r="H36" s="84">
        <v>0</v>
      </c>
    </row>
    <row r="37" spans="1:8">
      <c r="A37" s="83"/>
      <c r="B37" s="83" t="s">
        <v>2820</v>
      </c>
      <c r="C37" s="84" t="s">
        <v>2812</v>
      </c>
      <c r="D37" s="84" t="s">
        <v>2805</v>
      </c>
      <c r="E37" s="84" t="s">
        <v>2812</v>
      </c>
      <c r="F37" s="84" t="s">
        <v>2812</v>
      </c>
      <c r="G37" s="84" t="s">
        <v>2812</v>
      </c>
      <c r="H37" s="84" t="s">
        <v>2805</v>
      </c>
    </row>
    <row r="38" spans="1:8">
      <c r="A38" s="83"/>
      <c r="B38" s="83" t="s">
        <v>2821</v>
      </c>
      <c r="C38" s="84" t="s">
        <v>2805</v>
      </c>
      <c r="D38" s="84">
        <v>0</v>
      </c>
      <c r="E38" s="84">
        <v>0</v>
      </c>
      <c r="F38" s="84" t="s">
        <v>2812</v>
      </c>
      <c r="G38" s="84">
        <v>0</v>
      </c>
      <c r="H38" s="84">
        <v>0</v>
      </c>
    </row>
    <row r="39" spans="1:8">
      <c r="A39" s="83"/>
      <c r="B39" s="83" t="s">
        <v>2822</v>
      </c>
      <c r="C39" s="84" t="s">
        <v>2812</v>
      </c>
      <c r="D39" s="84">
        <v>0</v>
      </c>
      <c r="E39" s="84" t="s">
        <v>2812</v>
      </c>
      <c r="F39" s="84">
        <v>0</v>
      </c>
      <c r="G39" s="84" t="s">
        <v>2812</v>
      </c>
      <c r="H39" s="84">
        <v>0</v>
      </c>
    </row>
    <row r="40" spans="1:8">
      <c r="A40" s="83"/>
      <c r="B40" s="81" t="s">
        <v>2823</v>
      </c>
      <c r="C40" s="84" t="s">
        <v>2812</v>
      </c>
      <c r="D40" s="84">
        <v>0</v>
      </c>
      <c r="E40" s="84">
        <v>0</v>
      </c>
      <c r="F40" s="84">
        <v>0</v>
      </c>
      <c r="G40" s="84" t="s">
        <v>2812</v>
      </c>
      <c r="H40" s="84">
        <v>0</v>
      </c>
    </row>
    <row r="41" spans="1:8">
      <c r="A41" s="83"/>
      <c r="B41" s="83"/>
      <c r="C41" s="84"/>
      <c r="D41" s="84"/>
      <c r="E41" s="84"/>
      <c r="F41" s="84"/>
      <c r="G41" s="84"/>
      <c r="H41" s="84"/>
    </row>
    <row r="42" spans="1:8">
      <c r="A42" s="81" t="s">
        <v>2847</v>
      </c>
      <c r="B42" s="81" t="s">
        <v>2848</v>
      </c>
      <c r="C42" s="86"/>
      <c r="D42" s="86"/>
      <c r="E42" s="86"/>
      <c r="F42" s="86"/>
      <c r="G42" s="86"/>
      <c r="H42" s="86"/>
    </row>
    <row r="43" spans="1:8">
      <c r="A43" s="83"/>
      <c r="B43" s="83"/>
      <c r="C43" s="84"/>
      <c r="D43" s="84"/>
      <c r="E43" s="84"/>
      <c r="F43" s="84"/>
      <c r="G43" s="84"/>
      <c r="H43" s="84"/>
    </row>
    <row r="44" spans="1:8">
      <c r="A44" s="83"/>
      <c r="B44" s="83"/>
      <c r="C44" s="84"/>
      <c r="D44" s="84"/>
      <c r="E44" s="84"/>
      <c r="F44" s="84"/>
      <c r="G44" s="84"/>
      <c r="H44" s="84"/>
    </row>
    <row r="45" spans="1:8">
      <c r="A45" s="83"/>
      <c r="B45" s="81" t="s">
        <v>2803</v>
      </c>
      <c r="C45" s="84">
        <v>10</v>
      </c>
      <c r="D45" s="84">
        <v>0</v>
      </c>
      <c r="E45" s="84" t="s">
        <v>2812</v>
      </c>
      <c r="F45" s="84">
        <v>11</v>
      </c>
      <c r="G45" s="84" t="s">
        <v>2812</v>
      </c>
      <c r="H45" s="84" t="s">
        <v>2812</v>
      </c>
    </row>
    <row r="46" spans="1:8">
      <c r="A46" s="83"/>
      <c r="B46" s="81" t="s">
        <v>2804</v>
      </c>
      <c r="C46" s="84" t="s">
        <v>2812</v>
      </c>
      <c r="D46" s="84">
        <v>0</v>
      </c>
      <c r="E46" s="84" t="s">
        <v>2812</v>
      </c>
      <c r="F46" s="84">
        <v>4</v>
      </c>
      <c r="G46" s="84" t="s">
        <v>2812</v>
      </c>
      <c r="H46" s="84">
        <v>0</v>
      </c>
    </row>
    <row r="47" spans="1:8">
      <c r="A47" s="83"/>
      <c r="B47" s="83" t="s">
        <v>2806</v>
      </c>
      <c r="C47" s="84" t="s">
        <v>2812</v>
      </c>
      <c r="D47" s="84">
        <v>0</v>
      </c>
      <c r="E47" s="84" t="s">
        <v>2812</v>
      </c>
      <c r="F47" s="84">
        <v>4</v>
      </c>
      <c r="G47" s="84" t="s">
        <v>2812</v>
      </c>
      <c r="H47" s="84">
        <v>0</v>
      </c>
    </row>
    <row r="48" spans="1:8">
      <c r="A48" s="83"/>
      <c r="B48" s="83" t="s">
        <v>2807</v>
      </c>
      <c r="C48" s="84" t="s">
        <v>2805</v>
      </c>
      <c r="D48" s="84">
        <v>0</v>
      </c>
      <c r="E48" s="84" t="s">
        <v>2812</v>
      </c>
      <c r="F48" s="84" t="s">
        <v>2812</v>
      </c>
      <c r="G48" s="84">
        <v>0</v>
      </c>
      <c r="H48" s="84">
        <v>0</v>
      </c>
    </row>
    <row r="49" spans="1:8">
      <c r="A49" s="83"/>
      <c r="B49" s="81" t="s">
        <v>2808</v>
      </c>
      <c r="C49" s="84">
        <v>7</v>
      </c>
      <c r="D49" s="84">
        <v>0</v>
      </c>
      <c r="E49" s="84" t="s">
        <v>2812</v>
      </c>
      <c r="F49" s="84">
        <v>6</v>
      </c>
      <c r="G49" s="84" t="s">
        <v>2812</v>
      </c>
      <c r="H49" s="84" t="s">
        <v>2812</v>
      </c>
    </row>
    <row r="50" spans="1:8">
      <c r="A50" s="83"/>
      <c r="B50" s="87" t="s">
        <v>2810</v>
      </c>
      <c r="C50" s="84">
        <v>1</v>
      </c>
      <c r="D50" s="84">
        <v>0</v>
      </c>
      <c r="E50" s="84" t="s">
        <v>2812</v>
      </c>
      <c r="F50" s="84">
        <v>5</v>
      </c>
      <c r="G50" s="84" t="s">
        <v>2812</v>
      </c>
      <c r="H50" s="84" t="s">
        <v>2812</v>
      </c>
    </row>
    <row r="51" spans="1:8">
      <c r="A51" s="83"/>
      <c r="B51" s="83" t="s">
        <v>2811</v>
      </c>
      <c r="C51" s="84" t="s">
        <v>2812</v>
      </c>
      <c r="D51" s="84">
        <v>0</v>
      </c>
      <c r="E51" s="84">
        <v>0</v>
      </c>
      <c r="F51" s="84">
        <v>0</v>
      </c>
      <c r="G51" s="84">
        <v>0</v>
      </c>
      <c r="H51" s="84">
        <v>0</v>
      </c>
    </row>
    <row r="52" spans="1:8">
      <c r="A52" s="83"/>
      <c r="B52" s="83" t="s">
        <v>2813</v>
      </c>
      <c r="C52" s="84">
        <v>6</v>
      </c>
      <c r="D52" s="84">
        <v>0</v>
      </c>
      <c r="E52" s="84">
        <v>0</v>
      </c>
      <c r="F52" s="84" t="s">
        <v>2826</v>
      </c>
      <c r="G52" s="84" t="s">
        <v>2812</v>
      </c>
      <c r="H52" s="84">
        <v>0</v>
      </c>
    </row>
    <row r="53" spans="1:8">
      <c r="A53" s="83"/>
      <c r="B53" s="83" t="s">
        <v>2814</v>
      </c>
      <c r="C53" s="84" t="s">
        <v>2812</v>
      </c>
      <c r="D53" s="84" t="s">
        <v>2805</v>
      </c>
      <c r="E53" s="84" t="s">
        <v>2805</v>
      </c>
      <c r="F53" s="84" t="s">
        <v>2805</v>
      </c>
      <c r="G53" s="84" t="s">
        <v>2805</v>
      </c>
      <c r="H53" s="84" t="s">
        <v>2805</v>
      </c>
    </row>
    <row r="54" spans="1:8">
      <c r="A54" s="83"/>
      <c r="B54" s="83" t="s">
        <v>2815</v>
      </c>
      <c r="C54" s="84" t="s">
        <v>2812</v>
      </c>
      <c r="D54" s="84">
        <v>0</v>
      </c>
      <c r="E54" s="84" t="s">
        <v>2812</v>
      </c>
      <c r="F54" s="84">
        <v>0</v>
      </c>
      <c r="G54" s="84">
        <v>0</v>
      </c>
      <c r="H54" s="84">
        <v>0</v>
      </c>
    </row>
    <row r="55" spans="1:8">
      <c r="A55" s="83"/>
      <c r="B55" s="81" t="s">
        <v>2816</v>
      </c>
      <c r="C55" s="84">
        <v>2</v>
      </c>
      <c r="D55" s="84">
        <v>0</v>
      </c>
      <c r="E55" s="84" t="s">
        <v>2812</v>
      </c>
      <c r="F55" s="84">
        <v>1</v>
      </c>
      <c r="G55" s="84" t="s">
        <v>2812</v>
      </c>
      <c r="H55" s="84">
        <v>0</v>
      </c>
    </row>
    <row r="56" spans="1:8">
      <c r="A56" s="83"/>
      <c r="B56" s="83" t="s">
        <v>5159</v>
      </c>
      <c r="C56" s="84">
        <v>1</v>
      </c>
      <c r="D56" s="84">
        <v>0</v>
      </c>
      <c r="E56" s="84" t="s">
        <v>2812</v>
      </c>
      <c r="F56" s="84">
        <v>1</v>
      </c>
      <c r="G56" s="84" t="s">
        <v>2812</v>
      </c>
      <c r="H56" s="84">
        <v>0</v>
      </c>
    </row>
    <row r="57" spans="1:8">
      <c r="A57" s="83"/>
      <c r="B57" s="83" t="s">
        <v>2818</v>
      </c>
      <c r="C57" s="84">
        <v>1</v>
      </c>
      <c r="D57" s="84" t="s">
        <v>2805</v>
      </c>
      <c r="E57" s="84" t="s">
        <v>2805</v>
      </c>
      <c r="F57" s="84" t="s">
        <v>2805</v>
      </c>
      <c r="G57" s="84" t="s">
        <v>2805</v>
      </c>
      <c r="H57" s="84" t="s">
        <v>2805</v>
      </c>
    </row>
    <row r="58" spans="1:8">
      <c r="A58" s="83"/>
      <c r="B58" s="83" t="s">
        <v>2819</v>
      </c>
      <c r="C58" s="84" t="s">
        <v>2812</v>
      </c>
      <c r="D58" s="84">
        <v>0</v>
      </c>
      <c r="E58" s="84" t="s">
        <v>2812</v>
      </c>
      <c r="F58" s="84" t="s">
        <v>2812</v>
      </c>
      <c r="G58" s="84">
        <v>0</v>
      </c>
      <c r="H58" s="84">
        <v>0</v>
      </c>
    </row>
    <row r="59" spans="1:8">
      <c r="A59" s="83"/>
      <c r="B59" s="83" t="s">
        <v>2820</v>
      </c>
      <c r="C59" s="84" t="s">
        <v>2812</v>
      </c>
      <c r="D59" s="84" t="s">
        <v>2805</v>
      </c>
      <c r="E59" s="84" t="s">
        <v>2812</v>
      </c>
      <c r="F59" s="84">
        <v>0</v>
      </c>
      <c r="G59" s="84" t="s">
        <v>2812</v>
      </c>
      <c r="H59" s="84" t="s">
        <v>2805</v>
      </c>
    </row>
    <row r="60" spans="1:8">
      <c r="A60" s="83"/>
      <c r="B60" s="83" t="s">
        <v>2821</v>
      </c>
      <c r="C60" s="84" t="s">
        <v>2805</v>
      </c>
      <c r="D60" s="84">
        <v>0</v>
      </c>
      <c r="E60" s="84">
        <v>0</v>
      </c>
      <c r="F60" s="84">
        <v>0</v>
      </c>
      <c r="G60" s="84">
        <v>0</v>
      </c>
      <c r="H60" s="84">
        <v>0</v>
      </c>
    </row>
    <row r="61" spans="1:8">
      <c r="A61" s="83"/>
      <c r="B61" s="83" t="s">
        <v>2822</v>
      </c>
      <c r="C61" s="84" t="s">
        <v>2812</v>
      </c>
      <c r="D61" s="84">
        <v>0</v>
      </c>
      <c r="E61" s="84">
        <v>0</v>
      </c>
      <c r="F61" s="84">
        <v>0</v>
      </c>
      <c r="G61" s="84">
        <v>0</v>
      </c>
      <c r="H61" s="84">
        <v>0</v>
      </c>
    </row>
    <row r="62" spans="1:8">
      <c r="A62" s="83"/>
      <c r="B62" s="81" t="s">
        <v>2823</v>
      </c>
      <c r="C62" s="84" t="s">
        <v>2812</v>
      </c>
      <c r="D62" s="84">
        <v>0</v>
      </c>
      <c r="E62" s="84">
        <v>0</v>
      </c>
      <c r="F62" s="84" t="s">
        <v>2812</v>
      </c>
      <c r="G62" s="84" t="s">
        <v>2812</v>
      </c>
      <c r="H62" s="84">
        <v>0</v>
      </c>
    </row>
    <row r="63" spans="1:8">
      <c r="A63" s="83"/>
      <c r="B63" s="83"/>
      <c r="C63" s="84"/>
      <c r="D63" s="84"/>
      <c r="E63" s="84"/>
      <c r="F63" s="84"/>
      <c r="G63" s="84"/>
      <c r="H63" s="84"/>
    </row>
    <row r="64" spans="1:8">
      <c r="A64" s="81" t="s">
        <v>2849</v>
      </c>
      <c r="B64" s="81" t="s">
        <v>2850</v>
      </c>
      <c r="C64" s="86"/>
      <c r="D64" s="86"/>
      <c r="E64" s="86"/>
      <c r="F64" s="86"/>
      <c r="G64" s="86"/>
      <c r="H64" s="86"/>
    </row>
    <row r="65" spans="1:8">
      <c r="A65" s="89"/>
      <c r="B65" s="90"/>
      <c r="C65" s="84"/>
      <c r="D65" s="84"/>
      <c r="E65" s="84"/>
      <c r="F65" s="84"/>
      <c r="G65" s="84"/>
      <c r="H65" s="84"/>
    </row>
    <row r="66" spans="1:8">
      <c r="A66" s="83"/>
      <c r="B66" s="83"/>
      <c r="C66" s="84"/>
      <c r="D66" s="84"/>
      <c r="E66" s="84"/>
      <c r="F66" s="84"/>
      <c r="G66" s="84"/>
      <c r="H66" s="84"/>
    </row>
    <row r="67" spans="1:8">
      <c r="A67" s="83"/>
      <c r="B67" s="81" t="s">
        <v>2803</v>
      </c>
      <c r="C67" s="84">
        <v>2</v>
      </c>
      <c r="D67" s="84">
        <v>0</v>
      </c>
      <c r="E67" s="84" t="s">
        <v>2812</v>
      </c>
      <c r="F67" s="84">
        <v>2</v>
      </c>
      <c r="G67" s="84" t="s">
        <v>2812</v>
      </c>
      <c r="H67" s="84" t="s">
        <v>2812</v>
      </c>
    </row>
    <row r="68" spans="1:8">
      <c r="A68" s="83"/>
      <c r="B68" s="81" t="s">
        <v>2804</v>
      </c>
      <c r="C68" s="84" t="s">
        <v>2812</v>
      </c>
      <c r="D68" s="84">
        <v>0</v>
      </c>
      <c r="E68" s="84">
        <v>0</v>
      </c>
      <c r="F68" s="84">
        <v>1</v>
      </c>
      <c r="G68" s="84" t="s">
        <v>2812</v>
      </c>
      <c r="H68" s="84">
        <v>0</v>
      </c>
    </row>
    <row r="69" spans="1:8">
      <c r="A69" s="83"/>
      <c r="B69" s="83" t="s">
        <v>2806</v>
      </c>
      <c r="C69" s="84" t="s">
        <v>2812</v>
      </c>
      <c r="D69" s="84">
        <v>0</v>
      </c>
      <c r="E69" s="84">
        <v>0</v>
      </c>
      <c r="F69" s="84" t="s">
        <v>2812</v>
      </c>
      <c r="G69" s="84" t="s">
        <v>2812</v>
      </c>
      <c r="H69" s="84">
        <v>0</v>
      </c>
    </row>
    <row r="70" spans="1:8">
      <c r="A70" s="83"/>
      <c r="B70" s="83" t="s">
        <v>2807</v>
      </c>
      <c r="C70" s="84" t="s">
        <v>2805</v>
      </c>
      <c r="D70" s="84">
        <v>0</v>
      </c>
      <c r="E70" s="84">
        <v>0</v>
      </c>
      <c r="F70" s="84" t="s">
        <v>2812</v>
      </c>
      <c r="G70" s="84" t="s">
        <v>2812</v>
      </c>
      <c r="H70" s="84">
        <v>0</v>
      </c>
    </row>
    <row r="71" spans="1:8">
      <c r="A71" s="83"/>
      <c r="B71" s="81" t="s">
        <v>2808</v>
      </c>
      <c r="C71" s="84">
        <v>1</v>
      </c>
      <c r="D71" s="84">
        <v>0</v>
      </c>
      <c r="E71" s="84" t="s">
        <v>2812</v>
      </c>
      <c r="F71" s="84">
        <v>1</v>
      </c>
      <c r="G71" s="84" t="s">
        <v>2812</v>
      </c>
      <c r="H71" s="84">
        <v>0</v>
      </c>
    </row>
    <row r="72" spans="1:8">
      <c r="A72" s="83"/>
      <c r="B72" s="83" t="s">
        <v>2810</v>
      </c>
      <c r="C72" s="84" t="s">
        <v>2812</v>
      </c>
      <c r="D72" s="84">
        <v>0</v>
      </c>
      <c r="E72" s="84">
        <v>0</v>
      </c>
      <c r="F72" s="84" t="s">
        <v>2812</v>
      </c>
      <c r="G72" s="84" t="s">
        <v>2812</v>
      </c>
      <c r="H72" s="84">
        <v>0</v>
      </c>
    </row>
    <row r="73" spans="1:8">
      <c r="A73" s="83"/>
      <c r="B73" s="83" t="s">
        <v>2811</v>
      </c>
      <c r="C73" s="84" t="s">
        <v>2812</v>
      </c>
      <c r="D73" s="84">
        <v>0</v>
      </c>
      <c r="E73" s="84">
        <v>0</v>
      </c>
      <c r="F73" s="84" t="s">
        <v>2812</v>
      </c>
      <c r="G73" s="84">
        <v>0</v>
      </c>
      <c r="H73" s="84">
        <v>0</v>
      </c>
    </row>
    <row r="74" spans="1:8">
      <c r="A74" s="83"/>
      <c r="B74" s="83" t="s">
        <v>2813</v>
      </c>
      <c r="C74" s="84">
        <v>1</v>
      </c>
      <c r="D74" s="84">
        <v>0</v>
      </c>
      <c r="E74" s="84">
        <v>0</v>
      </c>
      <c r="F74" s="84" t="s">
        <v>2812</v>
      </c>
      <c r="G74" s="84">
        <v>0</v>
      </c>
      <c r="H74" s="84">
        <v>0</v>
      </c>
    </row>
    <row r="75" spans="1:8">
      <c r="A75" s="83"/>
      <c r="B75" s="83" t="s">
        <v>2814</v>
      </c>
      <c r="C75" s="84" t="s">
        <v>2812</v>
      </c>
      <c r="D75" s="84" t="s">
        <v>2805</v>
      </c>
      <c r="E75" s="84" t="s">
        <v>2805</v>
      </c>
      <c r="F75" s="84" t="s">
        <v>2805</v>
      </c>
      <c r="G75" s="84" t="s">
        <v>2805</v>
      </c>
      <c r="H75" s="84" t="s">
        <v>2805</v>
      </c>
    </row>
    <row r="76" spans="1:8">
      <c r="A76" s="83"/>
      <c r="B76" s="83" t="s">
        <v>2815</v>
      </c>
      <c r="C76" s="84" t="s">
        <v>2812</v>
      </c>
      <c r="D76" s="84">
        <v>0</v>
      </c>
      <c r="E76" s="84" t="s">
        <v>2812</v>
      </c>
      <c r="F76" s="84">
        <v>0</v>
      </c>
      <c r="G76" s="84">
        <v>0</v>
      </c>
      <c r="H76" s="84">
        <v>0</v>
      </c>
    </row>
    <row r="77" spans="1:8">
      <c r="A77" s="83"/>
      <c r="B77" s="81" t="s">
        <v>2816</v>
      </c>
      <c r="C77" s="84">
        <v>1</v>
      </c>
      <c r="D77" s="84">
        <v>0</v>
      </c>
      <c r="E77" s="84">
        <v>0</v>
      </c>
      <c r="F77" s="84" t="s">
        <v>2812</v>
      </c>
      <c r="G77" s="84" t="s">
        <v>2812</v>
      </c>
      <c r="H77" s="84" t="s">
        <v>2812</v>
      </c>
    </row>
    <row r="78" spans="1:8">
      <c r="A78" s="83"/>
      <c r="B78" s="83" t="s">
        <v>5159</v>
      </c>
      <c r="C78" s="84">
        <v>1</v>
      </c>
      <c r="D78" s="84">
        <v>0</v>
      </c>
      <c r="E78" s="84">
        <v>0</v>
      </c>
      <c r="F78" s="84" t="s">
        <v>2812</v>
      </c>
      <c r="G78" s="84" t="s">
        <v>2812</v>
      </c>
      <c r="H78" s="84" t="s">
        <v>2812</v>
      </c>
    </row>
    <row r="79" spans="1:8">
      <c r="A79" s="83"/>
      <c r="B79" s="83" t="s">
        <v>2818</v>
      </c>
      <c r="C79" s="84" t="s">
        <v>2812</v>
      </c>
      <c r="D79" s="84" t="s">
        <v>2805</v>
      </c>
      <c r="E79" s="84" t="s">
        <v>2805</v>
      </c>
      <c r="F79" s="84" t="s">
        <v>2805</v>
      </c>
      <c r="G79" s="84" t="s">
        <v>2805</v>
      </c>
      <c r="H79" s="84" t="s">
        <v>2805</v>
      </c>
    </row>
    <row r="80" spans="1:8">
      <c r="A80" s="83"/>
      <c r="B80" s="83" t="s">
        <v>2819</v>
      </c>
      <c r="C80" s="84" t="s">
        <v>2812</v>
      </c>
      <c r="D80" s="84">
        <v>0</v>
      </c>
      <c r="E80" s="84">
        <v>0</v>
      </c>
      <c r="F80" s="84" t="s">
        <v>2812</v>
      </c>
      <c r="G80" s="84">
        <v>0</v>
      </c>
      <c r="H80" s="84">
        <v>0</v>
      </c>
    </row>
    <row r="81" spans="1:8">
      <c r="A81" s="83"/>
      <c r="B81" s="83" t="s">
        <v>2820</v>
      </c>
      <c r="C81" s="84" t="s">
        <v>2812</v>
      </c>
      <c r="D81" s="84" t="s">
        <v>2805</v>
      </c>
      <c r="E81" s="84">
        <v>0</v>
      </c>
      <c r="F81" s="84">
        <v>0</v>
      </c>
      <c r="G81" s="84" t="s">
        <v>2812</v>
      </c>
      <c r="H81" s="84" t="s">
        <v>2805</v>
      </c>
    </row>
    <row r="82" spans="1:8">
      <c r="A82" s="83"/>
      <c r="B82" s="83" t="s">
        <v>2821</v>
      </c>
      <c r="C82" s="84" t="s">
        <v>2805</v>
      </c>
      <c r="D82" s="84">
        <v>0</v>
      </c>
      <c r="E82" s="84">
        <v>0</v>
      </c>
      <c r="F82" s="84">
        <v>0</v>
      </c>
      <c r="G82" s="84">
        <v>0</v>
      </c>
      <c r="H82" s="84">
        <v>0</v>
      </c>
    </row>
    <row r="83" spans="1:8">
      <c r="A83" s="83"/>
      <c r="B83" s="83" t="s">
        <v>2822</v>
      </c>
      <c r="C83" s="84" t="s">
        <v>2812</v>
      </c>
      <c r="D83" s="84">
        <v>0</v>
      </c>
      <c r="E83" s="84">
        <v>0</v>
      </c>
      <c r="F83" s="84" t="s">
        <v>2812</v>
      </c>
      <c r="G83" s="84" t="s">
        <v>2812</v>
      </c>
      <c r="H83" s="84">
        <v>0</v>
      </c>
    </row>
    <row r="84" spans="1:8">
      <c r="A84" s="83"/>
      <c r="B84" s="81" t="s">
        <v>2823</v>
      </c>
      <c r="C84" s="84" t="s">
        <v>2812</v>
      </c>
      <c r="D84" s="84">
        <v>0</v>
      </c>
      <c r="E84" s="84">
        <v>0</v>
      </c>
      <c r="F84" s="84" t="s">
        <v>2812</v>
      </c>
      <c r="G84" s="84" t="s">
        <v>2812</v>
      </c>
      <c r="H84" s="84">
        <v>0</v>
      </c>
    </row>
    <row r="85" spans="1:8">
      <c r="A85" s="83"/>
      <c r="B85" s="83"/>
      <c r="C85" s="84"/>
      <c r="D85" s="84"/>
      <c r="E85" s="84"/>
      <c r="F85" s="84"/>
      <c r="G85" s="84"/>
      <c r="H85" s="84"/>
    </row>
    <row r="86" spans="1:8">
      <c r="A86" s="81" t="s">
        <v>2851</v>
      </c>
      <c r="B86" s="81" t="s">
        <v>2852</v>
      </c>
      <c r="C86" s="86"/>
      <c r="D86" s="86"/>
      <c r="E86" s="86"/>
      <c r="F86" s="86"/>
      <c r="G86" s="86"/>
      <c r="H86" s="86"/>
    </row>
    <row r="87" spans="1:8">
      <c r="A87" s="83"/>
      <c r="B87" s="83"/>
      <c r="C87" s="84"/>
      <c r="D87" s="84"/>
      <c r="E87" s="84"/>
      <c r="F87" s="84"/>
      <c r="G87" s="84"/>
      <c r="H87" s="84"/>
    </row>
    <row r="88" spans="1:8">
      <c r="A88" s="83"/>
      <c r="B88" s="83"/>
      <c r="C88" s="84"/>
      <c r="D88" s="84"/>
      <c r="E88" s="84"/>
      <c r="F88" s="84"/>
      <c r="G88" s="84"/>
      <c r="H88" s="84"/>
    </row>
    <row r="89" spans="1:8">
      <c r="A89" s="83"/>
      <c r="B89" s="81" t="s">
        <v>2803</v>
      </c>
      <c r="C89" s="84">
        <v>1</v>
      </c>
      <c r="D89" s="84">
        <v>0</v>
      </c>
      <c r="E89" s="84" t="s">
        <v>2812</v>
      </c>
      <c r="F89" s="84">
        <v>1</v>
      </c>
      <c r="G89" s="84" t="s">
        <v>2812</v>
      </c>
      <c r="H89" s="84">
        <v>0</v>
      </c>
    </row>
    <row r="90" spans="1:8">
      <c r="A90" s="83"/>
      <c r="B90" s="81" t="s">
        <v>2804</v>
      </c>
      <c r="C90" s="84" t="s">
        <v>2812</v>
      </c>
      <c r="D90" s="84">
        <v>0</v>
      </c>
      <c r="E90" s="84" t="s">
        <v>2812</v>
      </c>
      <c r="F90" s="84" t="s">
        <v>2812</v>
      </c>
      <c r="G90" s="84" t="s">
        <v>2812</v>
      </c>
      <c r="H90" s="84">
        <v>0</v>
      </c>
    </row>
    <row r="91" spans="1:8">
      <c r="A91" s="83"/>
      <c r="B91" s="83" t="s">
        <v>2806</v>
      </c>
      <c r="C91" s="84" t="s">
        <v>2812</v>
      </c>
      <c r="D91" s="84">
        <v>0</v>
      </c>
      <c r="E91" s="84" t="s">
        <v>2812</v>
      </c>
      <c r="F91" s="84" t="s">
        <v>2812</v>
      </c>
      <c r="G91" s="84">
        <v>0</v>
      </c>
      <c r="H91" s="84">
        <v>0</v>
      </c>
    </row>
    <row r="92" spans="1:8">
      <c r="A92" s="83"/>
      <c r="B92" s="83" t="s">
        <v>2807</v>
      </c>
      <c r="C92" s="84" t="s">
        <v>2805</v>
      </c>
      <c r="D92" s="84">
        <v>0</v>
      </c>
      <c r="E92" s="84" t="s">
        <v>2812</v>
      </c>
      <c r="F92" s="84" t="s">
        <v>2812</v>
      </c>
      <c r="G92" s="84" t="s">
        <v>2812</v>
      </c>
      <c r="H92" s="84">
        <v>0</v>
      </c>
    </row>
    <row r="93" spans="1:8">
      <c r="A93" s="83"/>
      <c r="B93" s="81" t="s">
        <v>2808</v>
      </c>
      <c r="C93" s="84" t="s">
        <v>2812</v>
      </c>
      <c r="D93" s="84">
        <v>0</v>
      </c>
      <c r="E93" s="84">
        <v>0</v>
      </c>
      <c r="F93" s="84" t="s">
        <v>2812</v>
      </c>
      <c r="G93" s="84" t="s">
        <v>2812</v>
      </c>
      <c r="H93" s="84">
        <v>0</v>
      </c>
    </row>
    <row r="94" spans="1:8">
      <c r="A94" s="83"/>
      <c r="B94" s="83" t="s">
        <v>2810</v>
      </c>
      <c r="C94" s="84" t="s">
        <v>2812</v>
      </c>
      <c r="D94" s="84">
        <v>0</v>
      </c>
      <c r="E94" s="84">
        <v>0</v>
      </c>
      <c r="F94" s="84" t="s">
        <v>2812</v>
      </c>
      <c r="G94" s="84" t="s">
        <v>2812</v>
      </c>
      <c r="H94" s="84">
        <v>0</v>
      </c>
    </row>
    <row r="95" spans="1:8">
      <c r="A95" s="83"/>
      <c r="B95" s="83" t="s">
        <v>2811</v>
      </c>
      <c r="C95" s="84" t="s">
        <v>2812</v>
      </c>
      <c r="D95" s="84">
        <v>0</v>
      </c>
      <c r="E95" s="84">
        <v>0</v>
      </c>
      <c r="F95" s="84" t="s">
        <v>2812</v>
      </c>
      <c r="G95" s="84">
        <v>0</v>
      </c>
      <c r="H95" s="84">
        <v>0</v>
      </c>
    </row>
    <row r="96" spans="1:8">
      <c r="A96" s="83"/>
      <c r="B96" s="83" t="s">
        <v>2813</v>
      </c>
      <c r="C96" s="84" t="s">
        <v>2812</v>
      </c>
      <c r="D96" s="84">
        <v>0</v>
      </c>
      <c r="E96" s="84">
        <v>0</v>
      </c>
      <c r="F96" s="84" t="s">
        <v>2812</v>
      </c>
      <c r="G96" s="84" t="s">
        <v>2812</v>
      </c>
      <c r="H96" s="84">
        <v>0</v>
      </c>
    </row>
    <row r="97" spans="1:8">
      <c r="A97" s="83"/>
      <c r="B97" s="83" t="s">
        <v>2814</v>
      </c>
      <c r="C97" s="84" t="s">
        <v>2812</v>
      </c>
      <c r="D97" s="84" t="s">
        <v>2805</v>
      </c>
      <c r="E97" s="84" t="s">
        <v>2805</v>
      </c>
      <c r="F97" s="84" t="s">
        <v>2805</v>
      </c>
      <c r="G97" s="84" t="s">
        <v>2805</v>
      </c>
      <c r="H97" s="84" t="s">
        <v>2805</v>
      </c>
    </row>
    <row r="98" spans="1:8">
      <c r="A98" s="83"/>
      <c r="B98" s="83" t="s">
        <v>2815</v>
      </c>
      <c r="C98" s="84" t="s">
        <v>2812</v>
      </c>
      <c r="D98" s="84">
        <v>0</v>
      </c>
      <c r="E98" s="84">
        <v>0</v>
      </c>
      <c r="F98" s="84" t="s">
        <v>2812</v>
      </c>
      <c r="G98" s="84">
        <v>0</v>
      </c>
      <c r="H98" s="84">
        <v>0</v>
      </c>
    </row>
    <row r="99" spans="1:8">
      <c r="A99" s="83"/>
      <c r="B99" s="81" t="s">
        <v>2816</v>
      </c>
      <c r="C99" s="84" t="s">
        <v>2812</v>
      </c>
      <c r="D99" s="84">
        <v>0</v>
      </c>
      <c r="E99" s="84" t="s">
        <v>2812</v>
      </c>
      <c r="F99" s="84" t="s">
        <v>2812</v>
      </c>
      <c r="G99" s="84" t="s">
        <v>2812</v>
      </c>
      <c r="H99" s="84">
        <v>0</v>
      </c>
    </row>
    <row r="100" spans="1:8">
      <c r="A100" s="83"/>
      <c r="B100" s="83" t="s">
        <v>5159</v>
      </c>
      <c r="C100" s="84" t="s">
        <v>2812</v>
      </c>
      <c r="D100" s="84">
        <v>0</v>
      </c>
      <c r="E100" s="84" t="s">
        <v>2812</v>
      </c>
      <c r="F100" s="84" t="s">
        <v>2812</v>
      </c>
      <c r="G100" s="84" t="s">
        <v>2812</v>
      </c>
      <c r="H100" s="84">
        <v>0</v>
      </c>
    </row>
    <row r="101" spans="1:8">
      <c r="A101" s="83"/>
      <c r="B101" s="83" t="s">
        <v>2818</v>
      </c>
      <c r="C101" s="84" t="s">
        <v>2812</v>
      </c>
      <c r="D101" s="84" t="s">
        <v>2805</v>
      </c>
      <c r="E101" s="84" t="s">
        <v>2805</v>
      </c>
      <c r="F101" s="84" t="s">
        <v>2805</v>
      </c>
      <c r="G101" s="84" t="s">
        <v>2805</v>
      </c>
      <c r="H101" s="84" t="s">
        <v>2805</v>
      </c>
    </row>
    <row r="102" spans="1:8">
      <c r="A102" s="83"/>
      <c r="B102" s="83" t="s">
        <v>2819</v>
      </c>
      <c r="C102" s="84" t="s">
        <v>2812</v>
      </c>
      <c r="D102" s="84">
        <v>0</v>
      </c>
      <c r="E102" s="84">
        <v>0</v>
      </c>
      <c r="F102" s="84" t="s">
        <v>2812</v>
      </c>
      <c r="G102" s="84" t="s">
        <v>2812</v>
      </c>
      <c r="H102" s="84">
        <v>0</v>
      </c>
    </row>
    <row r="103" spans="1:8">
      <c r="A103" s="83"/>
      <c r="B103" s="83" t="s">
        <v>2820</v>
      </c>
      <c r="C103" s="84" t="s">
        <v>2812</v>
      </c>
      <c r="D103" s="84" t="s">
        <v>2805</v>
      </c>
      <c r="E103" s="84" t="s">
        <v>2812</v>
      </c>
      <c r="F103" s="84">
        <v>0</v>
      </c>
      <c r="G103" s="84" t="s">
        <v>2812</v>
      </c>
      <c r="H103" s="84" t="s">
        <v>2805</v>
      </c>
    </row>
    <row r="104" spans="1:8">
      <c r="A104" s="83"/>
      <c r="B104" s="83" t="s">
        <v>2821</v>
      </c>
      <c r="C104" s="84" t="s">
        <v>2805</v>
      </c>
      <c r="D104" s="84">
        <v>0</v>
      </c>
      <c r="E104" s="84" t="s">
        <v>2812</v>
      </c>
      <c r="F104" s="84">
        <v>0</v>
      </c>
      <c r="G104" s="84">
        <v>0</v>
      </c>
      <c r="H104" s="84">
        <v>0</v>
      </c>
    </row>
    <row r="105" spans="1:8">
      <c r="A105" s="83"/>
      <c r="B105" s="83" t="s">
        <v>2822</v>
      </c>
      <c r="C105" s="84" t="s">
        <v>2812</v>
      </c>
      <c r="D105" s="84">
        <v>0</v>
      </c>
      <c r="E105" s="84" t="s">
        <v>2812</v>
      </c>
      <c r="F105" s="84" t="s">
        <v>2812</v>
      </c>
      <c r="G105" s="84">
        <v>0</v>
      </c>
      <c r="H105" s="84">
        <v>0</v>
      </c>
    </row>
    <row r="106" spans="1:8">
      <c r="A106" s="83"/>
      <c r="B106" s="81" t="s">
        <v>2823</v>
      </c>
      <c r="C106" s="84" t="s">
        <v>2812</v>
      </c>
      <c r="D106" s="84">
        <v>0</v>
      </c>
      <c r="E106" s="84">
        <v>0</v>
      </c>
      <c r="F106" s="84" t="s">
        <v>2812</v>
      </c>
      <c r="G106" s="84" t="s">
        <v>2812</v>
      </c>
      <c r="H106" s="84">
        <v>0</v>
      </c>
    </row>
  </sheetData>
  <pageMargins left="0.7" right="0.7" top="0.75" bottom="0.75" header="0.3" footer="0.3"/>
  <headerFooter>
    <oddFooter>&amp;R_x000D_&amp;1#&amp;"Aptos"&amp;10&amp;K000000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0EE0-F965-432A-AF6F-6B5B53AE44C7}">
  <sheetPr>
    <tabColor rgb="FF92D050"/>
  </sheetPr>
  <dimension ref="A1:N77"/>
  <sheetViews>
    <sheetView zoomScale="115" zoomScaleNormal="115" workbookViewId="0"/>
  </sheetViews>
  <sheetFormatPr defaultRowHeight="15"/>
  <cols>
    <col min="1" max="1" width="30" customWidth="1"/>
    <col min="2" max="9" width="16.5703125" customWidth="1"/>
    <col min="11" max="14" width="12.28515625" customWidth="1"/>
  </cols>
  <sheetData>
    <row r="1" spans="1:11">
      <c r="A1" s="533" t="s">
        <v>241</v>
      </c>
      <c r="B1" s="534"/>
      <c r="C1" s="534"/>
      <c r="D1" s="534"/>
      <c r="E1" s="534"/>
      <c r="F1" s="534"/>
      <c r="G1" s="534"/>
      <c r="H1" s="534"/>
      <c r="I1" s="534"/>
    </row>
    <row r="2" spans="1:11">
      <c r="A2" t="s">
        <v>242</v>
      </c>
    </row>
    <row r="3" spans="1:11">
      <c r="A3" t="s">
        <v>243</v>
      </c>
    </row>
    <row r="4" spans="1:11">
      <c r="A4" t="s">
        <v>244</v>
      </c>
    </row>
    <row r="5" spans="1:11">
      <c r="A5" t="s">
        <v>245</v>
      </c>
    </row>
    <row r="7" spans="1:11">
      <c r="A7" s="535" t="s">
        <v>246</v>
      </c>
      <c r="B7" s="535" t="s">
        <v>247</v>
      </c>
      <c r="C7" s="535"/>
      <c r="D7" s="535"/>
      <c r="E7" s="535" t="s">
        <v>248</v>
      </c>
      <c r="F7" s="535" t="s">
        <v>249</v>
      </c>
      <c r="G7" s="535"/>
      <c r="H7" s="536"/>
      <c r="I7" s="788" t="s">
        <v>250</v>
      </c>
    </row>
    <row r="8" spans="1:11" ht="30">
      <c r="A8" s="36" t="s">
        <v>114</v>
      </c>
      <c r="B8" s="37" t="s">
        <v>40</v>
      </c>
      <c r="C8" s="37" t="s">
        <v>41</v>
      </c>
      <c r="D8" s="37" t="s">
        <v>42</v>
      </c>
      <c r="E8" s="37" t="s">
        <v>43</v>
      </c>
      <c r="F8" s="37" t="s">
        <v>44</v>
      </c>
      <c r="G8" s="37" t="s">
        <v>45</v>
      </c>
      <c r="H8" s="37" t="s">
        <v>46</v>
      </c>
      <c r="I8" s="37" t="s">
        <v>141</v>
      </c>
      <c r="J8" s="54" t="s">
        <v>125</v>
      </c>
    </row>
    <row r="9" spans="1:11">
      <c r="A9" t="s">
        <v>63</v>
      </c>
      <c r="B9" s="27">
        <f t="array" ref="B9">SUMPRODUCT(($A9='CESY 4-3'!$C$17:$C$47)*(B$8='CESY 4-3'!$G$3:$AI$3)*'CESY 4-3'!$G$17:$AI$47)*'Unit Conversions'!$E$3</f>
        <v>222.29484173505278</v>
      </c>
      <c r="C9" s="27">
        <f t="array" ref="C9">SUMPRODUCT(($A9='CESY 4-3'!$C$17:$C$47)*(C$8='CESY 4-3'!$G$3:$AI$3)*'CESY 4-3'!$G$17:$AI$47)*'Unit Conversions'!$E$3</f>
        <v>3.8276670574443141</v>
      </c>
      <c r="D9" s="27">
        <f t="array" ref="D9">SUMPRODUCT(($A9='CESY 4-3'!$C$17:$C$47)*(D$8='CESY 4-3'!$G$3:$AI$3)*'CESY 4-3'!$G$17:$AI$47)*'Unit Conversions'!$E$3</f>
        <v>0.17291910902696367</v>
      </c>
      <c r="E9" s="27">
        <f t="array" ref="E9">SUMPRODUCT(($A9='CESY 4-3'!$C$17:$C$47)*(E$8='CESY 4-3'!$G$3:$AI$3)*'CESY 4-3'!$G$17:$AI$47)*'Unit Conversions'!$E$3</f>
        <v>21.374560375146544</v>
      </c>
      <c r="F9" s="27">
        <f t="array" ref="F9">SUMPRODUCT(($A9='CESY 4-3'!$C$17:$C$47)*(F$8='CESY 4-3'!$G$3:$AI$3)*'CESY 4-3'!$G$17:$AI$47)*'Unit Conversions'!$E$3</f>
        <v>351.46248534583827</v>
      </c>
      <c r="G9" s="27">
        <v>0</v>
      </c>
      <c r="H9" s="27">
        <f t="array" ref="H9">SUMPRODUCT(($A9='CESY 4-3'!$C$17:$C$47)*(H$8='CESY 4-3'!$G$3:$AI$3)*'CESY 4-3'!$G$17:$AI$47)*'Unit Conversions'!$E$3</f>
        <v>396.46541617819463</v>
      </c>
      <c r="I9" s="27">
        <f t="array" ref="I9">SUMPRODUCT(($A9='CESY 4-3'!$C$17:$C$47)*(I$8='CESY 4-3'!$G$3:$AI$3)*'CESY 4-3'!$G$17:$AI$47)*'Unit Conversions'!$E$3</f>
        <v>570.35463071512322</v>
      </c>
      <c r="J9" s="53">
        <f>SUM(B9:I9)</f>
        <v>1565.9525205158268</v>
      </c>
      <c r="K9" s="23" t="s">
        <v>251</v>
      </c>
    </row>
    <row r="10" spans="1:11">
      <c r="A10" t="s">
        <v>64</v>
      </c>
      <c r="B10" s="27">
        <f t="array" ref="B10">SUMPRODUCT(($A10='CESY 4-3'!$C$17:$C$47)*(B$8='CESY 4-3'!$G$3:$AI$3)*'CESY 4-3'!$G$17:$AI$47)*'Unit Conversions'!$E$3</f>
        <v>36.034583821805398</v>
      </c>
      <c r="C10" s="27">
        <f t="array" ref="C10">SUMPRODUCT(($A10='CESY 4-3'!$C$17:$C$47)*(C$8='CESY 4-3'!$G$3:$AI$3)*'CESY 4-3'!$G$17:$AI$47)*'Unit Conversions'!$E$3</f>
        <v>1.4331770222743259</v>
      </c>
      <c r="D10" s="27">
        <f t="array" ref="D10">SUMPRODUCT(($A10='CESY 4-3'!$C$17:$C$47)*(D$8='CESY 4-3'!$G$3:$AI$3)*'CESY 4-3'!$G$17:$AI$47)*'Unit Conversions'!$E$3</f>
        <v>2.9308323563892145E-3</v>
      </c>
      <c r="E10" s="27">
        <f t="array" ref="E10">SUMPRODUCT(($A10='CESY 4-3'!$C$17:$C$47)*(E$8='CESY 4-3'!$G$3:$AI$3)*'CESY 4-3'!$G$17:$AI$47)*'Unit Conversions'!$E$3</f>
        <v>13.748534583821808</v>
      </c>
      <c r="F10" s="27">
        <f t="array" ref="F10">SUMPRODUCT(($A10='CESY 4-3'!$C$17:$C$47)*(F$8='CESY 4-3'!$G$3:$AI$3)*'CESY 4-3'!$G$17:$AI$47)*'Unit Conversions'!$E$3</f>
        <v>227.76670574443142</v>
      </c>
      <c r="G10" s="27">
        <v>0</v>
      </c>
      <c r="H10" s="27">
        <f t="array" ref="H10">SUMPRODUCT(($A10='CESY 4-3'!$C$17:$C$47)*(H$8='CESY 4-3'!$G$3:$AI$3)*'CESY 4-3'!$G$17:$AI$47)*'Unit Conversions'!$E$3</f>
        <v>353.73681125439629</v>
      </c>
      <c r="I10" s="27">
        <f t="array" ref="I10">SUMPRODUCT(($A10='CESY 4-3'!$C$17:$C$47)*(I$8='CESY 4-3'!$G$3:$AI$3)*'CESY 4-3'!$G$17:$AI$47)*'Unit Conversions'!$E$3</f>
        <v>785.64185228604947</v>
      </c>
      <c r="J10" s="53">
        <f t="shared" ref="J10:J23" si="0">SUM(B10:I10)</f>
        <v>1418.3645955451352</v>
      </c>
      <c r="K10" s="706" t="s">
        <v>252</v>
      </c>
    </row>
    <row r="11" spans="1:11">
      <c r="A11" t="s">
        <v>65</v>
      </c>
      <c r="B11" s="27">
        <f t="array" ref="B11">SUMPRODUCT(($A11='CESY 4-3'!$C$17:$C$47)*(B$8='CESY 4-3'!$G$3:$AI$3)*'CESY 4-3'!$G$17:$AI$47)*'Unit Conversions'!$E$3</f>
        <v>2.2684642438452518</v>
      </c>
      <c r="C11" s="27">
        <f t="array" ref="C11">SUMPRODUCT(($A11='CESY 4-3'!$C$17:$C$47)*(C$8='CESY 4-3'!$G$3:$AI$3)*'CESY 4-3'!$G$17:$AI$47)*'Unit Conversions'!$E$3</f>
        <v>2.9308323563892145E-3</v>
      </c>
      <c r="D11" s="27">
        <f t="array" ref="D11">SUMPRODUCT(($A11='CESY 4-3'!$C$17:$C$47)*(D$8='CESY 4-3'!$G$3:$AI$3)*'CESY 4-3'!$G$17:$AI$47)*'Unit Conversions'!$E$3</f>
        <v>0</v>
      </c>
      <c r="E11" s="27">
        <f t="array" ref="E11">SUMPRODUCT(($A11='CESY 4-3'!$C$17:$C$47)*(E$8='CESY 4-3'!$G$3:$AI$3)*'CESY 4-3'!$G$17:$AI$47)*'Unit Conversions'!$E$3</f>
        <v>6.7350527549824148</v>
      </c>
      <c r="F11" s="27">
        <f t="array" ref="F11">SUMPRODUCT(($A11='CESY 4-3'!$C$17:$C$47)*(F$8='CESY 4-3'!$G$3:$AI$3)*'CESY 4-3'!$G$17:$AI$47)*'Unit Conversions'!$E$3</f>
        <v>22.898593200468934</v>
      </c>
      <c r="G11" s="27">
        <v>0</v>
      </c>
      <c r="H11" s="27">
        <f t="array" ref="H11">SUMPRODUCT(($A11='CESY 4-3'!$C$17:$C$47)*(H$8='CESY 4-3'!$G$3:$AI$3)*'CESY 4-3'!$G$17:$AI$47)*'Unit Conversions'!$E$3</f>
        <v>8.9361078546307144</v>
      </c>
      <c r="I11" s="27">
        <f t="array" ref="I11">SUMPRODUCT(($A11='CESY 4-3'!$C$17:$C$47)*(I$8='CESY 4-3'!$G$3:$AI$3)*'CESY 4-3'!$G$17:$AI$47)*'Unit Conversions'!$E$3</f>
        <v>159.77725674091442</v>
      </c>
      <c r="J11" s="53">
        <f t="shared" si="0"/>
        <v>200.61840562719811</v>
      </c>
      <c r="K11" s="706" t="s">
        <v>253</v>
      </c>
    </row>
    <row r="12" spans="1:11">
      <c r="A12" t="s">
        <v>66</v>
      </c>
      <c r="B12" s="27">
        <f t="array" ref="B12">SUMPRODUCT(($A12='CESY 4-3'!$C$17:$C$47)*(B$8='CESY 4-3'!$G$3:$AI$3)*'CESY 4-3'!$G$17:$AI$47)*'Unit Conversions'!$E$3</f>
        <v>84.818288393903885</v>
      </c>
      <c r="C12" s="27">
        <f t="array" ref="C12">SUMPRODUCT(($A12='CESY 4-3'!$C$17:$C$47)*(C$8='CESY 4-3'!$G$3:$AI$3)*'CESY 4-3'!$G$17:$AI$47)*'Unit Conversions'!$E$3</f>
        <v>0.43083235638921458</v>
      </c>
      <c r="D12" s="27">
        <f t="array" ref="D12">SUMPRODUCT(($A12='CESY 4-3'!$C$17:$C$47)*(D$8='CESY 4-3'!$G$3:$AI$3)*'CESY 4-3'!$G$17:$AI$47)*'Unit Conversions'!$E$3</f>
        <v>0</v>
      </c>
      <c r="E12" s="27">
        <f t="array" ref="E12">SUMPRODUCT(($A12='CESY 4-3'!$C$17:$C$47)*(E$8='CESY 4-3'!$G$3:$AI$3)*'CESY 4-3'!$G$17:$AI$47)*'Unit Conversions'!$E$3</f>
        <v>16.647127784290742</v>
      </c>
      <c r="F12" s="27">
        <f t="array" ref="F12">SUMPRODUCT(($A12='CESY 4-3'!$C$17:$C$47)*(F$8='CESY 4-3'!$G$3:$AI$3)*'CESY 4-3'!$G$17:$AI$47)*'Unit Conversions'!$E$3</f>
        <v>88.147713950762025</v>
      </c>
      <c r="G12" s="27">
        <v>0</v>
      </c>
      <c r="H12" s="27">
        <f t="array" ref="H12">SUMPRODUCT(($A12='CESY 4-3'!$C$17:$C$47)*(H$8='CESY 4-3'!$G$3:$AI$3)*'CESY 4-3'!$G$17:$AI$47)*'Unit Conversions'!$E$3</f>
        <v>358.72508792497069</v>
      </c>
      <c r="I12" s="27">
        <f t="array" ref="I12">SUMPRODUCT(($A12='CESY 4-3'!$C$17:$C$47)*(I$8='CESY 4-3'!$G$3:$AI$3)*'CESY 4-3'!$G$17:$AI$47)*'Unit Conversions'!$E$3</f>
        <v>375.84701055099652</v>
      </c>
      <c r="J12" s="53">
        <f t="shared" si="0"/>
        <v>924.61606096131311</v>
      </c>
      <c r="K12" s="706" t="s">
        <v>254</v>
      </c>
    </row>
    <row r="13" spans="1:11">
      <c r="A13" t="s">
        <v>67</v>
      </c>
      <c r="B13" s="27">
        <f t="array" ref="B13">SUMPRODUCT(($A13='CESY 4-3'!$C$17:$C$47)*(B$8='CESY 4-3'!$G$3:$AI$3)*'CESY 4-3'!$G$17:$AI$47)*'Unit Conversions'!$E$3</f>
        <v>705.63012895662371</v>
      </c>
      <c r="C13" s="27">
        <f t="array" ref="C13">SUMPRODUCT(($A13='CESY 4-3'!$C$17:$C$47)*(C$8='CESY 4-3'!$G$3:$AI$3)*'CESY 4-3'!$G$17:$AI$47)*'Unit Conversions'!$E$3</f>
        <v>25.445486518171158</v>
      </c>
      <c r="D13" s="27">
        <f t="array" ref="D13">SUMPRODUCT(($A13='CESY 4-3'!$C$17:$C$47)*(D$8='CESY 4-3'!$G$3:$AI$3)*'CESY 4-3'!$G$17:$AI$47)*'Unit Conversions'!$E$3</f>
        <v>579.57209847596721</v>
      </c>
      <c r="E13" s="27">
        <f t="array" ref="E13">SUMPRODUCT(($A13='CESY 4-3'!$C$17:$C$47)*(E$8='CESY 4-3'!$G$3:$AI$3)*'CESY 4-3'!$G$17:$AI$47)*'Unit Conversions'!$E$3</f>
        <v>5793.8247362250877</v>
      </c>
      <c r="F13" s="27">
        <f t="array" ref="F13">SUMPRODUCT(($A13='CESY 4-3'!$C$17:$C$47)*(F$8='CESY 4-3'!$G$3:$AI$3)*'CESY 4-3'!$G$17:$AI$47)*'Unit Conversions'!$E$3</f>
        <v>454.33177022274322</v>
      </c>
      <c r="G13" s="27">
        <v>0</v>
      </c>
      <c r="H13" s="27">
        <f t="array" ref="H13">SUMPRODUCT(($A13='CESY 4-3'!$C$17:$C$47)*(H$8='CESY 4-3'!$G$3:$AI$3)*'CESY 4-3'!$G$17:$AI$47)*'Unit Conversions'!$E$3</f>
        <v>929.32883939038686</v>
      </c>
      <c r="I13" s="27">
        <f t="array" ref="I13">SUMPRODUCT(($A13='CESY 4-3'!$C$17:$C$47)*(I$8='CESY 4-3'!$G$3:$AI$3)*'CESY 4-3'!$G$17:$AI$47)*'Unit Conversions'!$E$3</f>
        <v>575.66822977725678</v>
      </c>
      <c r="J13" s="53">
        <f t="shared" si="0"/>
        <v>9063.8012895662378</v>
      </c>
      <c r="K13" s="706" t="s">
        <v>255</v>
      </c>
    </row>
    <row r="14" spans="1:11">
      <c r="A14" t="s">
        <v>68</v>
      </c>
      <c r="B14" s="27">
        <f t="array" ref="B14">SUMPRODUCT(($A14='CESY 4-3'!$C$17:$C$47)*(B$8='CESY 4-3'!$G$3:$AI$3)*'CESY 4-3'!$G$17:$AI$47)*'Unit Conversions'!$E$3</f>
        <v>2902.1805392731535</v>
      </c>
      <c r="C14" s="27">
        <f t="array" ref="C14">SUMPRODUCT(($A14='CESY 4-3'!$C$17:$C$47)*(C$8='CESY 4-3'!$G$3:$AI$3)*'CESY 4-3'!$G$17:$AI$47)*'Unit Conversions'!$E$3</f>
        <v>1190.1436107854631</v>
      </c>
      <c r="D14" s="27">
        <f t="array" ref="D14">SUMPRODUCT(($A14='CESY 4-3'!$C$17:$C$47)*(D$8='CESY 4-3'!$G$3:$AI$3)*'CESY 4-3'!$G$17:$AI$47)*'Unit Conversions'!$E$3</f>
        <v>396.07854630715127</v>
      </c>
      <c r="E14" s="27">
        <f t="array" ref="E14">SUMPRODUCT(($A14='CESY 4-3'!$C$17:$C$47)*(E$8='CESY 4-3'!$G$3:$AI$3)*'CESY 4-3'!$G$17:$AI$47)*'Unit Conversions'!$E$3</f>
        <v>4092.368112543963</v>
      </c>
      <c r="F14" s="27">
        <f t="array" ref="F14">SUMPRODUCT(($A14='CESY 4-3'!$C$17:$C$47)*(F$8='CESY 4-3'!$G$3:$AI$3)*'CESY 4-3'!$G$17:$AI$47)*'Unit Conversions'!$E$3</f>
        <v>1975.9056271981246</v>
      </c>
      <c r="G14" s="27">
        <v>0</v>
      </c>
      <c r="H14" s="27">
        <f t="array" ref="H14">SUMPRODUCT(($A14='CESY 4-3'!$C$17:$C$47)*(H$8='CESY 4-3'!$G$3:$AI$3)*'CESY 4-3'!$G$17:$AI$47)*'Unit Conversions'!$E$3</f>
        <v>3191.661781946073</v>
      </c>
      <c r="I14" s="27">
        <f t="array" ref="I14">SUMPRODUCT(($A14='CESY 4-3'!$C$17:$C$47)*(I$8='CESY 4-3'!$G$3:$AI$3)*'CESY 4-3'!$G$17:$AI$47)*'Unit Conversions'!$E$3</f>
        <v>2750.9906213364602</v>
      </c>
      <c r="J14" s="53">
        <f t="shared" si="0"/>
        <v>16499.328839390389</v>
      </c>
      <c r="K14" s="706" t="s">
        <v>256</v>
      </c>
    </row>
    <row r="15" spans="1:11">
      <c r="A15" t="s">
        <v>69</v>
      </c>
      <c r="B15" s="27">
        <f t="array" ref="B15">SUMPRODUCT(($A15='CESY 4-3'!$C$17:$C$47)*(B$8='CESY 4-3'!$G$3:$AI$3)*'CESY 4-3'!$G$17:$AI$47)*'Unit Conversions'!$E$3</f>
        <v>36.362837045720987</v>
      </c>
      <c r="C15" s="27">
        <f t="array" ref="C15">SUMPRODUCT(($A15='CESY 4-3'!$C$17:$C$47)*(C$8='CESY 4-3'!$G$3:$AI$3)*'CESY 4-3'!$G$17:$AI$47)*'Unit Conversions'!$E$3</f>
        <v>1.6031652989449003</v>
      </c>
      <c r="D15" s="27">
        <f t="array" ref="D15">SUMPRODUCT(($A15='CESY 4-3'!$C$17:$C$47)*(D$8='CESY 4-3'!$G$3:$AI$3)*'CESY 4-3'!$G$17:$AI$47)*'Unit Conversions'!$E$3</f>
        <v>2.9894490035169987</v>
      </c>
      <c r="E15" s="27">
        <f t="array" ref="E15">SUMPRODUCT(($A15='CESY 4-3'!$C$17:$C$47)*(E$8='CESY 4-3'!$G$3:$AI$3)*'CESY 4-3'!$G$17:$AI$47)*'Unit Conversions'!$E$3</f>
        <v>21.195779601406798</v>
      </c>
      <c r="F15" s="27">
        <f t="array" ref="F15">SUMPRODUCT(($A15='CESY 4-3'!$C$17:$C$47)*(F$8='CESY 4-3'!$G$3:$AI$3)*'CESY 4-3'!$G$17:$AI$47)*'Unit Conversions'!$E$3</f>
        <v>72.523446658851114</v>
      </c>
      <c r="G15" s="27">
        <v>0</v>
      </c>
      <c r="H15" s="27">
        <f t="array" ref="H15">SUMPRODUCT(($A15='CESY 4-3'!$C$17:$C$47)*(H$8='CESY 4-3'!$G$3:$AI$3)*'CESY 4-3'!$G$17:$AI$47)*'Unit Conversions'!$E$3</f>
        <v>44.073856975381013</v>
      </c>
      <c r="I15" s="27">
        <f t="array" ref="I15">SUMPRODUCT(($A15='CESY 4-3'!$C$17:$C$47)*(I$8='CESY 4-3'!$G$3:$AI$3)*'CESY 4-3'!$G$17:$AI$47)*'Unit Conversions'!$E$3</f>
        <v>579.3991793669403</v>
      </c>
      <c r="J15" s="53">
        <f t="shared" si="0"/>
        <v>758.14771395076207</v>
      </c>
    </row>
    <row r="16" spans="1:11">
      <c r="A16" t="s">
        <v>70</v>
      </c>
      <c r="B16" s="27">
        <f t="array" ref="B16">SUMPRODUCT(($A16='CESY 4-3'!$C$17:$C$47)*(B$8='CESY 4-3'!$G$3:$AI$3)*'CESY 4-3'!$G$17:$AI$47)*'Unit Conversions'!$E$3</f>
        <v>4697.4853458382186</v>
      </c>
      <c r="C16" s="27">
        <f t="array" ref="C16">SUMPRODUCT(($A16='CESY 4-3'!$C$17:$C$47)*(C$8='CESY 4-3'!$G$3:$AI$3)*'CESY 4-3'!$G$17:$AI$47)*'Unit Conversions'!$E$3</f>
        <v>292.03106682297772</v>
      </c>
      <c r="D16" s="27">
        <f t="array" ref="D16">SUMPRODUCT(($A16='CESY 4-3'!$C$17:$C$47)*(D$8='CESY 4-3'!$G$3:$AI$3)*'CESY 4-3'!$G$17:$AI$47)*'Unit Conversions'!$E$3</f>
        <v>209.65709261430248</v>
      </c>
      <c r="E16" s="27">
        <f t="array" ref="E16">SUMPRODUCT(($A16='CESY 4-3'!$C$17:$C$47)*(E$8='CESY 4-3'!$G$3:$AI$3)*'CESY 4-3'!$G$17:$AI$47)*'Unit Conversions'!$E$3</f>
        <v>1391.8200468933178</v>
      </c>
      <c r="F16" s="27">
        <f t="array" ref="F16">SUMPRODUCT(($A16='CESY 4-3'!$C$17:$C$47)*(F$8='CESY 4-3'!$G$3:$AI$3)*'CESY 4-3'!$G$17:$AI$47)*'Unit Conversions'!$E$3</f>
        <v>952.19812426729197</v>
      </c>
      <c r="G16" s="27">
        <v>0</v>
      </c>
      <c r="H16" s="27">
        <f t="array" ref="H16">SUMPRODUCT(($A16='CESY 4-3'!$C$17:$C$47)*(H$8='CESY 4-3'!$G$3:$AI$3)*'CESY 4-3'!$G$17:$AI$47)*'Unit Conversions'!$E$3</f>
        <v>64.258499413833533</v>
      </c>
      <c r="I16" s="27">
        <f t="array" ref="I16">SUMPRODUCT(($A16='CESY 4-3'!$C$17:$C$47)*(I$8='CESY 4-3'!$G$3:$AI$3)*'CESY 4-3'!$G$17:$AI$47)*'Unit Conversions'!$E$3</f>
        <v>1447.5234466588511</v>
      </c>
      <c r="J16" s="53">
        <f t="shared" si="0"/>
        <v>9054.9736225087927</v>
      </c>
    </row>
    <row r="17" spans="1:12">
      <c r="A17" t="s">
        <v>71</v>
      </c>
      <c r="B17" s="27">
        <f t="array" ref="B17">SUMPRODUCT(($A17='CESY 4-3'!$C$17:$C$47)*(B$8='CESY 4-3'!$G$3:$AI$3)*'CESY 4-3'!$G$17:$AI$47)*'Unit Conversions'!$E$3</f>
        <v>2568.9595545134816</v>
      </c>
      <c r="C17" s="27">
        <f t="array" ref="C17">SUMPRODUCT(($A17='CESY 4-3'!$C$17:$C$47)*(C$8='CESY 4-3'!$G$3:$AI$3)*'CESY 4-3'!$G$17:$AI$47)*'Unit Conversions'!$E$3</f>
        <v>11204.997069167643</v>
      </c>
      <c r="D17" s="27">
        <f t="array" ref="D17">SUMPRODUCT(($A17='CESY 4-3'!$C$17:$C$47)*(D$8='CESY 4-3'!$G$3:$AI$3)*'CESY 4-3'!$G$17:$AI$47)*'Unit Conversions'!$E$3</f>
        <v>4319.6395076201643</v>
      </c>
      <c r="E17" s="27">
        <f t="array" ref="E17">SUMPRODUCT(($A17='CESY 4-3'!$C$17:$C$47)*(E$8='CESY 4-3'!$G$3:$AI$3)*'CESY 4-3'!$G$17:$AI$47)*'Unit Conversions'!$E$3</f>
        <v>38.021688159437282</v>
      </c>
      <c r="F17" s="27">
        <f t="array" ref="F17">SUMPRODUCT(($A17='CESY 4-3'!$C$17:$C$47)*(F$8='CESY 4-3'!$G$3:$AI$3)*'CESY 4-3'!$G$17:$AI$47)*'Unit Conversions'!$E$3</f>
        <v>536.08733880422051</v>
      </c>
      <c r="G17" s="27">
        <v>0</v>
      </c>
      <c r="H17" s="27">
        <f t="array" ref="H17">SUMPRODUCT(($A17='CESY 4-3'!$C$17:$C$47)*(H$8='CESY 4-3'!$G$3:$AI$3)*'CESY 4-3'!$G$17:$AI$47)*'Unit Conversions'!$E$3</f>
        <v>183.70457209847595</v>
      </c>
      <c r="I17" s="27">
        <f t="array" ref="I17">SUMPRODUCT(($A17='CESY 4-3'!$C$17:$C$47)*(I$8='CESY 4-3'!$G$3:$AI$3)*'CESY 4-3'!$G$17:$AI$47)*'Unit Conversions'!$E$3</f>
        <v>2471.2250879249709</v>
      </c>
      <c r="J17" s="53">
        <f t="shared" si="0"/>
        <v>21322.634818288392</v>
      </c>
    </row>
    <row r="18" spans="1:12">
      <c r="A18" t="s">
        <v>72</v>
      </c>
      <c r="B18" s="27">
        <f t="array" ref="B18">SUMPRODUCT(($A18='CESY 4-3'!$C$17:$C$47)*(B$8='CESY 4-3'!$G$3:$AI$3)*'CESY 4-3'!$G$17:$AI$47)*'Unit Conversions'!$E$3</f>
        <v>335.43376318874562</v>
      </c>
      <c r="C18" s="27">
        <f t="array" ref="C18">SUMPRODUCT(($A18='CESY 4-3'!$C$17:$C$47)*(C$8='CESY 4-3'!$G$3:$AI$3)*'CESY 4-3'!$G$17:$AI$47)*'Unit Conversions'!$E$3</f>
        <v>104.35228604923799</v>
      </c>
      <c r="D18" s="27">
        <f t="array" ref="D18">SUMPRODUCT(($A18='CESY 4-3'!$C$17:$C$47)*(D$8='CESY 4-3'!$G$3:$AI$3)*'CESY 4-3'!$G$17:$AI$47)*'Unit Conversions'!$E$3</f>
        <v>165.50703399765536</v>
      </c>
      <c r="E18" s="27">
        <f t="array" ref="E18">SUMPRODUCT(($A18='CESY 4-3'!$C$17:$C$47)*(E$8='CESY 4-3'!$G$3:$AI$3)*'CESY 4-3'!$G$17:$AI$47)*'Unit Conversions'!$E$3</f>
        <v>105.85287221570927</v>
      </c>
      <c r="F18" s="27">
        <f t="array" ref="F18">SUMPRODUCT(($A18='CESY 4-3'!$C$17:$C$47)*(F$8='CESY 4-3'!$G$3:$AI$3)*'CESY 4-3'!$G$17:$AI$47)*'Unit Conversions'!$E$3</f>
        <v>279.1998827667058</v>
      </c>
      <c r="G18" s="27">
        <v>0</v>
      </c>
      <c r="H18" s="27">
        <f t="array" ref="H18">SUMPRODUCT(($A18='CESY 4-3'!$C$17:$C$47)*(H$8='CESY 4-3'!$G$3:$AI$3)*'CESY 4-3'!$G$17:$AI$47)*'Unit Conversions'!$E$3</f>
        <v>309.17350527549826</v>
      </c>
      <c r="I18" s="27">
        <f t="array" ref="I18">SUMPRODUCT(($A18='CESY 4-3'!$C$17:$C$47)*(I$8='CESY 4-3'!$G$3:$AI$3)*'CESY 4-3'!$G$17:$AI$47)*'Unit Conversions'!$E$3</f>
        <v>2803.1477139507624</v>
      </c>
      <c r="J18" s="53">
        <f t="shared" si="0"/>
        <v>4102.6670574443142</v>
      </c>
    </row>
    <row r="19" spans="1:12">
      <c r="A19" t="s">
        <v>73</v>
      </c>
      <c r="B19" s="27">
        <f t="array" ref="B19">SUMPRODUCT(($A19='CESY 4-3'!$C$17:$C$47)*(B$8='CESY 4-3'!$G$3:$AI$3)*'CESY 4-3'!$G$17:$AI$47)*'Unit Conversions'!$E$3</f>
        <v>6.1195779601406803</v>
      </c>
      <c r="C19" s="27">
        <f t="array" ref="C19">SUMPRODUCT(($A19='CESY 4-3'!$C$17:$C$47)*(C$8='CESY 4-3'!$G$3:$AI$3)*'CESY 4-3'!$G$17:$AI$47)*'Unit Conversions'!$E$3</f>
        <v>54.091441969519344</v>
      </c>
      <c r="D19" s="27">
        <f t="array" ref="D19">SUMPRODUCT(($A19='CESY 4-3'!$C$17:$C$47)*(D$8='CESY 4-3'!$G$3:$AI$3)*'CESY 4-3'!$G$17:$AI$47)*'Unit Conversions'!$E$3</f>
        <v>3.4935521688159441</v>
      </c>
      <c r="E19" s="27">
        <f t="array" ref="E19">SUMPRODUCT(($A19='CESY 4-3'!$C$17:$C$47)*(E$8='CESY 4-3'!$G$3:$AI$3)*'CESY 4-3'!$G$17:$AI$47)*'Unit Conversions'!$E$3</f>
        <v>43.783704572098493</v>
      </c>
      <c r="F19" s="27">
        <f t="array" ref="F19">SUMPRODUCT(($A19='CESY 4-3'!$C$17:$C$47)*(F$8='CESY 4-3'!$G$3:$AI$3)*'CESY 4-3'!$G$17:$AI$47)*'Unit Conversions'!$E$3</f>
        <v>253.55803048065656</v>
      </c>
      <c r="G19" s="27">
        <v>0</v>
      </c>
      <c r="H19" s="27">
        <f t="array" ref="H19">SUMPRODUCT(($A19='CESY 4-3'!$C$17:$C$47)*(H$8='CESY 4-3'!$G$3:$AI$3)*'CESY 4-3'!$G$17:$AI$47)*'Unit Conversions'!$E$3</f>
        <v>38.774912075029313</v>
      </c>
      <c r="I19" s="27">
        <f t="array" ref="I19">SUMPRODUCT(($A19='CESY 4-3'!$C$17:$C$47)*(I$8='CESY 4-3'!$G$3:$AI$3)*'CESY 4-3'!$G$17:$AI$47)*'Unit Conversions'!$E$3</f>
        <v>1141.7203985932006</v>
      </c>
      <c r="J19" s="53">
        <f t="shared" si="0"/>
        <v>1541.541617819461</v>
      </c>
    </row>
    <row r="20" spans="1:12">
      <c r="A20" t="s">
        <v>74</v>
      </c>
      <c r="B20" s="27">
        <f t="array" ref="B20">SUMPRODUCT(($A20='CESY 4-3'!$C$17:$C$47)*(B$8='CESY 4-3'!$G$3:$AI$3)*'CESY 4-3'!$G$17:$AI$47)*'Unit Conversions'!$E$3</f>
        <v>10.234466588511138</v>
      </c>
      <c r="C20" s="27">
        <f t="array" ref="C20">SUMPRODUCT(($A20='CESY 4-3'!$C$17:$C$47)*(C$8='CESY 4-3'!$G$3:$AI$3)*'CESY 4-3'!$G$17:$AI$47)*'Unit Conversions'!$E$3</f>
        <v>4.14419695193435</v>
      </c>
      <c r="D20" s="27">
        <f t="array" ref="D20">SUMPRODUCT(($A20='CESY 4-3'!$C$17:$C$47)*(D$8='CESY 4-3'!$G$3:$AI$3)*'CESY 4-3'!$G$17:$AI$47)*'Unit Conversions'!$E$3</f>
        <v>1.0990621336459556</v>
      </c>
      <c r="E20" s="27">
        <f t="array" ref="E20">SUMPRODUCT(($A20='CESY 4-3'!$C$17:$C$47)*(E$8='CESY 4-3'!$G$3:$AI$3)*'CESY 4-3'!$G$17:$AI$47)*'Unit Conversions'!$E$3</f>
        <v>26.699882766705748</v>
      </c>
      <c r="F20" s="27">
        <f t="array" ref="F20">SUMPRODUCT(($A20='CESY 4-3'!$C$17:$C$47)*(F$8='CESY 4-3'!$G$3:$AI$3)*'CESY 4-3'!$G$17:$AI$47)*'Unit Conversions'!$E$3</f>
        <v>242.00762016412662</v>
      </c>
      <c r="G20" s="27">
        <v>0</v>
      </c>
      <c r="H20" s="27">
        <f t="array" ref="H20">SUMPRODUCT(($A20='CESY 4-3'!$C$17:$C$47)*(H$8='CESY 4-3'!$G$3:$AI$3)*'CESY 4-3'!$G$17:$AI$47)*'Unit Conversions'!$E$3</f>
        <v>29.264361078546312</v>
      </c>
      <c r="I20" s="27">
        <f t="array" ref="I20">SUMPRODUCT(($A20='CESY 4-3'!$C$17:$C$47)*(I$8='CESY 4-3'!$G$3:$AI$3)*'CESY 4-3'!$G$17:$AI$47)*'Unit Conversions'!$E$3</f>
        <v>570.22274325908563</v>
      </c>
      <c r="J20" s="53">
        <f t="shared" si="0"/>
        <v>883.67233294255573</v>
      </c>
    </row>
    <row r="21" spans="1:12">
      <c r="A21" t="s">
        <v>75</v>
      </c>
      <c r="B21" s="27">
        <f t="array" ref="B21">SUMPRODUCT(($A21='CESY 4-3'!$C$17:$C$47)*(B$8='CESY 4-3'!$G$3:$AI$3)*'CESY 4-3'!$G$17:$AI$47)*'Unit Conversions'!$E$3</f>
        <v>4.7948417350527555</v>
      </c>
      <c r="C21" s="27">
        <f t="array" ref="C21">SUMPRODUCT(($A21='CESY 4-3'!$C$17:$C$47)*(C$8='CESY 4-3'!$G$3:$AI$3)*'CESY 4-3'!$G$17:$AI$47)*'Unit Conversions'!$E$3</f>
        <v>1.7584994138335287E-2</v>
      </c>
      <c r="D21" s="27">
        <f t="array" ref="D21">SUMPRODUCT(($A21='CESY 4-3'!$C$17:$C$47)*(D$8='CESY 4-3'!$G$3:$AI$3)*'CESY 4-3'!$G$17:$AI$47)*'Unit Conversions'!$E$3</f>
        <v>2.0164126611957798</v>
      </c>
      <c r="E21" s="27">
        <f t="array" ref="E21">SUMPRODUCT(($A21='CESY 4-3'!$C$17:$C$47)*(E$8='CESY 4-3'!$G$3:$AI$3)*'CESY 4-3'!$G$17:$AI$47)*'Unit Conversions'!$E$3</f>
        <v>14.589683470105509</v>
      </c>
      <c r="F21" s="27">
        <f t="array" ref="F21">SUMPRODUCT(($A21='CESY 4-3'!$C$17:$C$47)*(F$8='CESY 4-3'!$G$3:$AI$3)*'CESY 4-3'!$G$17:$AI$47)*'Unit Conversions'!$E$3</f>
        <v>193.0216881594373</v>
      </c>
      <c r="G21" s="27">
        <v>0</v>
      </c>
      <c r="H21" s="27">
        <f t="array" ref="H21">SUMPRODUCT(($A21='CESY 4-3'!$C$17:$C$47)*(H$8='CESY 4-3'!$G$3:$AI$3)*'CESY 4-3'!$G$17:$AI$47)*'Unit Conversions'!$E$3</f>
        <v>34.519343493552171</v>
      </c>
      <c r="I21" s="27">
        <f t="array" ref="I21">SUMPRODUCT(($A21='CESY 4-3'!$C$17:$C$47)*(I$8='CESY 4-3'!$G$3:$AI$3)*'CESY 4-3'!$G$17:$AI$47)*'Unit Conversions'!$E$3</f>
        <v>749.64830011723336</v>
      </c>
      <c r="J21" s="53">
        <f t="shared" si="0"/>
        <v>998.60785463071522</v>
      </c>
    </row>
    <row r="22" spans="1:12">
      <c r="A22" t="s">
        <v>76</v>
      </c>
      <c r="B22" s="27">
        <f t="array" ref="B22">SUMPRODUCT(($A22='CESY 4-3'!$C$17:$C$47)*(B$8='CESY 4-3'!$G$3:$AI$3)*'CESY 4-3'!$G$17:$AI$47)*'Unit Conversions'!$E$3</f>
        <v>49.129542790152406</v>
      </c>
      <c r="C22" s="27">
        <f t="array" ref="C22">SUMPRODUCT(($A22='CESY 4-3'!$C$17:$C$47)*(C$8='CESY 4-3'!$G$3:$AI$3)*'CESY 4-3'!$G$17:$AI$47)*'Unit Conversions'!$E$3</f>
        <v>129.64536928487692</v>
      </c>
      <c r="D22" s="27">
        <f t="array" ref="D22">SUMPRODUCT(($A22='CESY 4-3'!$C$17:$C$47)*(D$8='CESY 4-3'!$G$3:$AI$3)*'CESY 4-3'!$G$17:$AI$47)*'Unit Conversions'!$E$3</f>
        <v>36.400937866354049</v>
      </c>
      <c r="E22" s="27">
        <f t="array" ref="E22">SUMPRODUCT(($A22='CESY 4-3'!$C$17:$C$47)*(E$8='CESY 4-3'!$G$3:$AI$3)*'CESY 4-3'!$G$17:$AI$47)*'Unit Conversions'!$E$3</f>
        <v>17.734466588511136</v>
      </c>
      <c r="F22" s="27">
        <f t="array" ref="F22">SUMPRODUCT(($A22='CESY 4-3'!$C$17:$C$47)*(F$8='CESY 4-3'!$G$3:$AI$3)*'CESY 4-3'!$G$17:$AI$47)*'Unit Conversions'!$E$3</f>
        <v>265.04103165298949</v>
      </c>
      <c r="G22" s="27">
        <v>0</v>
      </c>
      <c r="H22" s="27">
        <f t="array" ref="H22">SUMPRODUCT(($A22='CESY 4-3'!$C$17:$C$47)*(H$8='CESY 4-3'!$G$3:$AI$3)*'CESY 4-3'!$G$17:$AI$47)*'Unit Conversions'!$E$3</f>
        <v>7.8898007033997661</v>
      </c>
      <c r="I22" s="27">
        <f t="array" ref="I22">SUMPRODUCT(($A22='CESY 4-3'!$C$17:$C$47)*(I$8='CESY 4-3'!$G$3:$AI$3)*'CESY 4-3'!$G$17:$AI$47)*'Unit Conversions'!$E$3</f>
        <v>594.07092614302462</v>
      </c>
      <c r="J22" s="53">
        <f t="shared" si="0"/>
        <v>1099.9120750293084</v>
      </c>
    </row>
    <row r="23" spans="1:12">
      <c r="A23" t="s">
        <v>77</v>
      </c>
      <c r="B23" s="27">
        <f t="array" ref="B23">SUMPRODUCT(($A23='CESY 4-3'!$C$17:$C$47)*(B$8='CESY 4-3'!$G$3:$AI$3)*'CESY 4-3'!$G$17:$AI$47)*'Unit Conversions'!$E$3</f>
        <v>1.3628370457209849</v>
      </c>
      <c r="C23" s="27">
        <f t="array" ref="C23">SUMPRODUCT(($A23='CESY 4-3'!$C$17:$C$47)*(C$8='CESY 4-3'!$G$3:$AI$3)*'CESY 4-3'!$G$17:$AI$47)*'Unit Conversions'!$E$3</f>
        <v>1.1723329425556858E-2</v>
      </c>
      <c r="D23" s="27">
        <f t="array" ref="D23">SUMPRODUCT(($A23='CESY 4-3'!$C$17:$C$47)*(D$8='CESY 4-3'!$G$3:$AI$3)*'CESY 4-3'!$G$17:$AI$47)*'Unit Conversions'!$E$3</f>
        <v>0.22567409144196954</v>
      </c>
      <c r="E23" s="27">
        <f t="array" ref="E23">SUMPRODUCT(($A23='CESY 4-3'!$C$17:$C$47)*(E$8='CESY 4-3'!$G$3:$AI$3)*'CESY 4-3'!$G$17:$AI$47)*'Unit Conversions'!$E$3</f>
        <v>8.4056271981242663</v>
      </c>
      <c r="F23" s="27">
        <f t="array" ref="F23">SUMPRODUCT(($A23='CESY 4-3'!$C$17:$C$47)*(F$8='CESY 4-3'!$G$3:$AI$3)*'CESY 4-3'!$G$17:$AI$47)*'Unit Conversions'!$E$3</f>
        <v>49.618991793669402</v>
      </c>
      <c r="G23" s="27">
        <v>0</v>
      </c>
      <c r="H23" s="27">
        <f t="array" ref="H23">SUMPRODUCT(($A23='CESY 4-3'!$C$17:$C$47)*(H$8='CESY 4-3'!$G$3:$AI$3)*'CESY 4-3'!$G$17:$AI$47)*'Unit Conversions'!$E$3</f>
        <v>2.9454865181711609</v>
      </c>
      <c r="I23" s="27">
        <f t="array" ref="I23">SUMPRODUCT(($A23='CESY 4-3'!$C$17:$C$47)*(I$8='CESY 4-3'!$G$3:$AI$3)*'CESY 4-3'!$G$17:$AI$47)*'Unit Conversions'!$E$3</f>
        <v>314.14419695193436</v>
      </c>
      <c r="J23" s="53">
        <f t="shared" si="0"/>
        <v>376.71453692848769</v>
      </c>
    </row>
    <row r="25" spans="1:12">
      <c r="A25" s="535" t="s">
        <v>257</v>
      </c>
      <c r="B25" s="535" t="s">
        <v>247</v>
      </c>
      <c r="C25" s="535"/>
      <c r="D25" s="536"/>
      <c r="E25" s="535" t="s">
        <v>248</v>
      </c>
      <c r="F25" s="535" t="s">
        <v>249</v>
      </c>
      <c r="G25" s="535"/>
      <c r="H25" s="535"/>
      <c r="I25" s="788" t="s">
        <v>258</v>
      </c>
    </row>
    <row r="26" spans="1:12" ht="30">
      <c r="A26" s="36" t="s">
        <v>114</v>
      </c>
      <c r="B26" s="37" t="s">
        <v>40</v>
      </c>
      <c r="C26" s="37" t="s">
        <v>41</v>
      </c>
      <c r="D26" s="37" t="s">
        <v>42</v>
      </c>
      <c r="E26" s="37" t="s">
        <v>43</v>
      </c>
      <c r="F26" s="37" t="s">
        <v>44</v>
      </c>
      <c r="G26" s="37" t="s">
        <v>45</v>
      </c>
      <c r="H26" s="37" t="s">
        <v>46</v>
      </c>
      <c r="I26" s="37" t="s">
        <v>141</v>
      </c>
      <c r="J26" s="54" t="s">
        <v>125</v>
      </c>
      <c r="K26" s="101"/>
      <c r="L26" s="101"/>
    </row>
    <row r="27" spans="1:12">
      <c r="A27" t="s">
        <v>63</v>
      </c>
      <c r="B27" s="27">
        <f>'Indonesia Energy Use'!B186</f>
        <v>229.09266570439203</v>
      </c>
      <c r="C27" s="27">
        <f>'Indonesia Energy Use'!C186</f>
        <v>0.66421677953800007</v>
      </c>
      <c r="D27" s="27">
        <f>'Indonesia Energy Use'!D186</f>
        <v>0</v>
      </c>
      <c r="E27" s="27">
        <f>'Indonesia Energy Use'!E186</f>
        <v>23.713475409663999</v>
      </c>
      <c r="F27" s="27">
        <f>'Indonesia Energy Use'!F186</f>
        <v>26.428537409544997</v>
      </c>
      <c r="G27" s="27">
        <f>'Indonesia Energy Use'!G186</f>
        <v>197.49645147217731</v>
      </c>
      <c r="H27" s="27">
        <f>'Indonesia Energy Use'!H186</f>
        <v>0</v>
      </c>
      <c r="I27" s="27">
        <f>'Indonesia Energy Use'!I186</f>
        <v>97.337302058963814</v>
      </c>
      <c r="J27" s="53">
        <f>SUM(B27:I27)</f>
        <v>574.73264883428021</v>
      </c>
      <c r="K27" s="27"/>
      <c r="L27" s="27"/>
    </row>
    <row r="28" spans="1:12">
      <c r="A28" t="s">
        <v>64</v>
      </c>
      <c r="B28" s="27">
        <f>'Indonesia Energy Use'!B187</f>
        <v>61.368880659828001</v>
      </c>
      <c r="C28" s="27">
        <f>'Indonesia Energy Use'!C187</f>
        <v>0.48112536949750007</v>
      </c>
      <c r="D28" s="27">
        <f>'Indonesia Energy Use'!D187</f>
        <v>0</v>
      </c>
      <c r="E28" s="27">
        <f>'Indonesia Energy Use'!E187</f>
        <v>6.5359051267320023</v>
      </c>
      <c r="F28" s="27">
        <f>'Indonesia Energy Use'!F187</f>
        <v>2.9610533090540003</v>
      </c>
      <c r="G28" s="27">
        <f>'Indonesia Energy Use'!G187</f>
        <v>1.348233630589091</v>
      </c>
      <c r="H28" s="27">
        <f>'Indonesia Energy Use'!H187</f>
        <v>0</v>
      </c>
      <c r="I28" s="27">
        <f>'Indonesia Energy Use'!I187</f>
        <v>123.53830267793199</v>
      </c>
      <c r="J28" s="53">
        <f t="shared" ref="J28:J41" si="1">SUM(B28:I28)</f>
        <v>196.23350077363258</v>
      </c>
      <c r="K28" s="27"/>
      <c r="L28" s="27"/>
    </row>
    <row r="29" spans="1:12">
      <c r="A29" t="s">
        <v>65</v>
      </c>
      <c r="B29" s="27">
        <f>'Indonesia Energy Use'!B188</f>
        <v>0.62501351035200003</v>
      </c>
      <c r="C29" s="27">
        <f>'Indonesia Energy Use'!C188</f>
        <v>3.5368507590000007E-3</v>
      </c>
      <c r="D29" s="27">
        <f>'Indonesia Energy Use'!D188</f>
        <v>0</v>
      </c>
      <c r="E29" s="27">
        <f>'Indonesia Energy Use'!E188</f>
        <v>2.8214240194619999</v>
      </c>
      <c r="F29" s="27">
        <f>'Indonesia Energy Use'!F188</f>
        <v>0.17023313327700001</v>
      </c>
      <c r="G29" s="27">
        <f>'Indonesia Energy Use'!G188</f>
        <v>0.47490814941272735</v>
      </c>
      <c r="H29" s="27">
        <f>'Indonesia Energy Use'!H188</f>
        <v>0</v>
      </c>
      <c r="I29" s="27">
        <f>'Indonesia Energy Use'!I188</f>
        <v>27.131202834744482</v>
      </c>
      <c r="J29" s="53">
        <f t="shared" si="1"/>
        <v>31.22631849800721</v>
      </c>
      <c r="K29" s="27"/>
      <c r="L29" s="27"/>
    </row>
    <row r="30" spans="1:12">
      <c r="A30" t="s">
        <v>66</v>
      </c>
      <c r="B30" s="27">
        <f>'Indonesia Energy Use'!B189</f>
        <v>33.159510027503998</v>
      </c>
      <c r="C30" s="27">
        <f>'Indonesia Energy Use'!C189</f>
        <v>1.4926874891500002E-2</v>
      </c>
      <c r="D30" s="27">
        <f>'Indonesia Energy Use'!D189</f>
        <v>0</v>
      </c>
      <c r="E30" s="27">
        <f>'Indonesia Energy Use'!E189</f>
        <v>2.4694353501379998</v>
      </c>
      <c r="F30" s="27">
        <f>'Indonesia Energy Use'!F189</f>
        <v>24.939413822492</v>
      </c>
      <c r="G30" s="27">
        <f>'Indonesia Energy Use'!G189</f>
        <v>1.1987112412554546</v>
      </c>
      <c r="H30" s="27">
        <f>'Indonesia Energy Use'!H189</f>
        <v>0</v>
      </c>
      <c r="I30" s="27">
        <f>'Indonesia Energy Use'!I189</f>
        <v>52.486760392383772</v>
      </c>
      <c r="J30" s="53">
        <f t="shared" si="1"/>
        <v>114.26875770866472</v>
      </c>
      <c r="K30" s="27"/>
      <c r="L30" s="27"/>
    </row>
    <row r="31" spans="1:12">
      <c r="A31" t="s">
        <v>67</v>
      </c>
      <c r="B31" s="27">
        <f>'Indonesia Energy Use'!B190</f>
        <v>0.13996923234</v>
      </c>
      <c r="C31" s="27">
        <f>'Indonesia Energy Use'!C190</f>
        <v>0.18598840212550002</v>
      </c>
      <c r="D31" s="27">
        <f>'Indonesia Energy Use'!D190</f>
        <v>0</v>
      </c>
      <c r="E31" s="27">
        <f>'Indonesia Energy Use'!E190</f>
        <v>0.74588700684600007</v>
      </c>
      <c r="F31" s="27">
        <f>'Indonesia Energy Use'!F190</f>
        <v>3.8497142242910001</v>
      </c>
      <c r="G31" s="27">
        <f>'Indonesia Energy Use'!G190</f>
        <v>0.11877545799909091</v>
      </c>
      <c r="H31" s="27">
        <f>'Indonesia Energy Use'!H190</f>
        <v>0</v>
      </c>
      <c r="I31" s="27">
        <f>'Indonesia Energy Use'!I190</f>
        <v>11.678125789675011</v>
      </c>
      <c r="J31" s="53">
        <f t="shared" si="1"/>
        <v>16.718460113276603</v>
      </c>
      <c r="K31" s="27"/>
      <c r="L31" s="27"/>
    </row>
    <row r="32" spans="1:12">
      <c r="A32" t="s">
        <v>68</v>
      </c>
      <c r="B32" s="27">
        <f>'Indonesia Energy Use'!B191</f>
        <v>48.217769937876</v>
      </c>
      <c r="C32" s="27">
        <f>'Indonesia Energy Use'!C191</f>
        <v>0.30302433223400005</v>
      </c>
      <c r="D32" s="27">
        <f>'Indonesia Energy Use'!D191</f>
        <v>0</v>
      </c>
      <c r="E32" s="27">
        <f>'Indonesia Energy Use'!E191</f>
        <v>3.282292295426001</v>
      </c>
      <c r="F32" s="27">
        <f>'Indonesia Energy Use'!F191</f>
        <v>38.355432553871999</v>
      </c>
      <c r="G32" s="27">
        <f>'Indonesia Energy Use'!G191</f>
        <v>7.0803456762490917</v>
      </c>
      <c r="H32" s="27">
        <f>'Indonesia Energy Use'!H191</f>
        <v>0</v>
      </c>
      <c r="I32" s="27">
        <f>'Indonesia Energy Use'!I191</f>
        <v>80.723940120320961</v>
      </c>
      <c r="J32" s="53">
        <f t="shared" si="1"/>
        <v>177.96280491597804</v>
      </c>
      <c r="K32" s="27"/>
      <c r="L32" s="27"/>
    </row>
    <row r="33" spans="1:14">
      <c r="A33" t="s">
        <v>69</v>
      </c>
      <c r="B33" s="27">
        <f>'Indonesia Energy Use'!B192</f>
        <v>13.868269731624</v>
      </c>
      <c r="C33" s="27">
        <f>'Indonesia Energy Use'!C192</f>
        <v>0.22121425123850003</v>
      </c>
      <c r="D33" s="27">
        <f>'Indonesia Energy Use'!D192</f>
        <v>0</v>
      </c>
      <c r="E33" s="27">
        <f>'Indonesia Energy Use'!E192</f>
        <v>4.0494753993819996</v>
      </c>
      <c r="F33" s="27">
        <f>'Indonesia Energy Use'!F192</f>
        <v>14.219776646515999</v>
      </c>
      <c r="G33" s="27">
        <f>'Indonesia Energy Use'!G192</f>
        <v>18.258115146584547</v>
      </c>
      <c r="H33" s="27">
        <f>'Indonesia Energy Use'!H192</f>
        <v>0</v>
      </c>
      <c r="I33" s="27">
        <f>'Indonesia Energy Use'!I192</f>
        <v>55.087189998751278</v>
      </c>
      <c r="J33" s="53">
        <f t="shared" si="1"/>
        <v>105.70404117409632</v>
      </c>
      <c r="K33" s="27"/>
      <c r="L33" s="27"/>
    </row>
    <row r="34" spans="1:14">
      <c r="A34" t="s">
        <v>70</v>
      </c>
      <c r="B34" s="27">
        <f>'Indonesia Energy Use'!B193</f>
        <v>286.99674426603599</v>
      </c>
      <c r="C34" s="27">
        <f>'Indonesia Energy Use'!C193</f>
        <v>0.16993825884750002</v>
      </c>
      <c r="D34" s="27">
        <f>'Indonesia Energy Use'!D193</f>
        <v>0</v>
      </c>
      <c r="E34" s="27">
        <f>'Indonesia Energy Use'!E193</f>
        <v>8.6804273325720001</v>
      </c>
      <c r="F34" s="27">
        <f>'Indonesia Energy Use'!F193</f>
        <v>35.902715844980001</v>
      </c>
      <c r="G34" s="27">
        <f>'Indonesia Energy Use'!G193</f>
        <v>33.698017825998186</v>
      </c>
      <c r="H34" s="27">
        <f>'Indonesia Energy Use'!H193</f>
        <v>0</v>
      </c>
      <c r="I34" s="27">
        <f>'Indonesia Energy Use'!I193</f>
        <v>108.99473116927071</v>
      </c>
      <c r="J34" s="53">
        <f t="shared" si="1"/>
        <v>474.44257469770434</v>
      </c>
      <c r="K34" s="27"/>
      <c r="L34" s="27"/>
    </row>
    <row r="35" spans="1:14">
      <c r="A35" t="s">
        <v>71</v>
      </c>
      <c r="B35" s="27">
        <f>'Indonesia Energy Use'!B194</f>
        <v>121.07105004554393</v>
      </c>
      <c r="C35" s="27">
        <f>'Indonesia Energy Use'!C194</f>
        <v>528.07400511149194</v>
      </c>
      <c r="D35" s="27">
        <f>'Indonesia Energy Use'!D194</f>
        <v>0</v>
      </c>
      <c r="E35" s="27">
        <f>'Indonesia Energy Use'!E194</f>
        <v>11.617293103426</v>
      </c>
      <c r="F35" s="27">
        <f>'Indonesia Energy Use'!F194</f>
        <v>3.1505757719979997</v>
      </c>
      <c r="G35" s="27">
        <f>'Indonesia Energy Use'!G194</f>
        <v>7.3449240201818172E-2</v>
      </c>
      <c r="H35" s="27">
        <f>'Indonesia Energy Use'!H194</f>
        <v>0</v>
      </c>
      <c r="I35" s="27">
        <f>'Indonesia Energy Use'!I194</f>
        <v>108.29593658600633</v>
      </c>
      <c r="J35" s="53">
        <f t="shared" si="1"/>
        <v>772.28230985866799</v>
      </c>
      <c r="K35" s="27"/>
      <c r="L35" s="27"/>
    </row>
    <row r="36" spans="1:14">
      <c r="A36" t="s">
        <v>72</v>
      </c>
      <c r="B36" s="27">
        <f>'Indonesia Energy Use'!B195</f>
        <v>431.47925351101929</v>
      </c>
      <c r="C36" s="27">
        <f>'Indonesia Energy Use'!C195</f>
        <v>1.8441368725000001E-2</v>
      </c>
      <c r="D36" s="27">
        <f>'Indonesia Energy Use'!D195</f>
        <v>0</v>
      </c>
      <c r="E36" s="27">
        <f>'Indonesia Energy Use'!E195</f>
        <v>3.2432704084920001</v>
      </c>
      <c r="F36" s="27">
        <f>'Indonesia Energy Use'!F195</f>
        <v>3.039299063299</v>
      </c>
      <c r="G36" s="27">
        <f>'Indonesia Energy Use'!G195</f>
        <v>7.866249829958182</v>
      </c>
      <c r="H36" s="27">
        <f>'Indonesia Energy Use'!H195</f>
        <v>0</v>
      </c>
      <c r="I36" s="27">
        <f>'Indonesia Energy Use'!I195</f>
        <v>27.677096132195995</v>
      </c>
      <c r="J36" s="53">
        <f t="shared" si="1"/>
        <v>473.32361031368941</v>
      </c>
      <c r="K36" s="27"/>
      <c r="L36" s="27"/>
    </row>
    <row r="37" spans="1:14">
      <c r="A37" t="s">
        <v>73</v>
      </c>
      <c r="B37" s="27">
        <f>'Indonesia Energy Use'!B196</f>
        <v>0</v>
      </c>
      <c r="C37" s="27">
        <f>'Indonesia Energy Use'!C196</f>
        <v>3.5652240000000004E-6</v>
      </c>
      <c r="D37" s="27">
        <f>'Indonesia Energy Use'!D196</f>
        <v>0</v>
      </c>
      <c r="E37" s="27">
        <f>'Indonesia Energy Use'!E196</f>
        <v>1.9221428067540003</v>
      </c>
      <c r="F37" s="27">
        <f>'Indonesia Energy Use'!F196</f>
        <v>0.58199745772900002</v>
      </c>
      <c r="G37" s="27">
        <f>'Indonesia Energy Use'!G196</f>
        <v>7.0994476510909094E-2</v>
      </c>
      <c r="H37" s="27">
        <f>'Indonesia Energy Use'!H196</f>
        <v>0</v>
      </c>
      <c r="I37" s="27">
        <f>'Indonesia Energy Use'!I196</f>
        <v>7.583798282305791</v>
      </c>
      <c r="J37" s="53">
        <f t="shared" si="1"/>
        <v>10.158936588523702</v>
      </c>
      <c r="K37" s="27"/>
      <c r="L37" s="27"/>
    </row>
    <row r="38" spans="1:14">
      <c r="A38" t="s">
        <v>74</v>
      </c>
      <c r="B38" s="27">
        <f>'Indonesia Energy Use'!B197</f>
        <v>2.1887292000000001E-5</v>
      </c>
      <c r="C38" s="27">
        <f>'Indonesia Energy Use'!C197</f>
        <v>3.2832469676500005E-2</v>
      </c>
      <c r="D38" s="27">
        <f>'Indonesia Energy Use'!D197</f>
        <v>0</v>
      </c>
      <c r="E38" s="27">
        <f>'Indonesia Energy Use'!E197</f>
        <v>5.2256148743519999</v>
      </c>
      <c r="F38" s="27">
        <f>'Indonesia Energy Use'!F197</f>
        <v>6.7342102110200006</v>
      </c>
      <c r="G38" s="27">
        <f>'Indonesia Energy Use'!G197</f>
        <v>0.22680717330727274</v>
      </c>
      <c r="H38" s="27">
        <f>'Indonesia Energy Use'!H197</f>
        <v>0</v>
      </c>
      <c r="I38" s="27">
        <f>'Indonesia Energy Use'!I197</f>
        <v>59.90687912117761</v>
      </c>
      <c r="J38" s="53">
        <f t="shared" si="1"/>
        <v>72.126365736825377</v>
      </c>
      <c r="K38" s="27"/>
      <c r="L38" s="27"/>
    </row>
    <row r="39" spans="1:14">
      <c r="A39" t="s">
        <v>75</v>
      </c>
      <c r="B39" s="27">
        <f>'Indonesia Energy Use'!B198</f>
        <v>4.4087353402680005</v>
      </c>
      <c r="C39" s="27">
        <f>'Indonesia Energy Use'!C198</f>
        <v>1.3430000740000001E-3</v>
      </c>
      <c r="D39" s="27">
        <f>'Indonesia Energy Use'!D198</f>
        <v>0</v>
      </c>
      <c r="E39" s="27">
        <f>'Indonesia Energy Use'!E198</f>
        <v>1.4532855103220002</v>
      </c>
      <c r="F39" s="27">
        <f>'Indonesia Energy Use'!F198</f>
        <v>3.1819665354439999</v>
      </c>
      <c r="G39" s="27">
        <f>'Indonesia Energy Use'!G198</f>
        <v>0.97936024518818188</v>
      </c>
      <c r="H39" s="27">
        <f>'Indonesia Energy Use'!H198</f>
        <v>0</v>
      </c>
      <c r="I39" s="27">
        <f>'Indonesia Energy Use'!I198</f>
        <v>36.066415436299586</v>
      </c>
      <c r="J39" s="53">
        <f t="shared" si="1"/>
        <v>46.091106067595767</v>
      </c>
      <c r="K39" s="27"/>
      <c r="L39" s="27"/>
    </row>
    <row r="40" spans="1:14">
      <c r="A40" t="s">
        <v>76</v>
      </c>
      <c r="B40" s="27">
        <f>'Indonesia Energy Use'!B199</f>
        <v>0.23415024981600002</v>
      </c>
      <c r="C40" s="27">
        <f>'Indonesia Energy Use'!C199</f>
        <v>4.1972589880000001E-3</v>
      </c>
      <c r="D40" s="27">
        <f>'Indonesia Energy Use'!D199</f>
        <v>0</v>
      </c>
      <c r="E40" s="27">
        <f>'Indonesia Energy Use'!E199</f>
        <v>12.179454934088</v>
      </c>
      <c r="F40" s="27">
        <f>'Indonesia Energy Use'!F199</f>
        <v>2.4602422911640001</v>
      </c>
      <c r="G40" s="27">
        <f>'Indonesia Energy Use'!G199</f>
        <v>9.6705323370909091E-2</v>
      </c>
      <c r="H40" s="27">
        <f>'Indonesia Energy Use'!H199</f>
        <v>0</v>
      </c>
      <c r="I40" s="27">
        <f>'Indonesia Energy Use'!I199</f>
        <v>14.820627688174838</v>
      </c>
      <c r="J40" s="53">
        <f t="shared" si="1"/>
        <v>29.795377745601748</v>
      </c>
      <c r="K40" s="27"/>
      <c r="L40" s="27"/>
    </row>
    <row r="41" spans="1:14">
      <c r="A41" t="s">
        <v>77</v>
      </c>
      <c r="B41" s="27">
        <f>'Indonesia Energy Use'!B200</f>
        <v>9.1007360135999998E-2</v>
      </c>
      <c r="C41" s="27">
        <f>'Indonesia Energy Use'!C200</f>
        <v>3.5706956285000003E-3</v>
      </c>
      <c r="D41" s="27">
        <f>'Indonesia Energy Use'!D200</f>
        <v>0</v>
      </c>
      <c r="E41" s="27">
        <f>'Indonesia Energy Use'!E200</f>
        <v>1.4414647206400002</v>
      </c>
      <c r="F41" s="27">
        <f>'Indonesia Energy Use'!F200</f>
        <v>0.21740872513699999</v>
      </c>
      <c r="G41" s="27">
        <f>'Indonesia Energy Use'!G200</f>
        <v>2.5313337556363637E-2</v>
      </c>
      <c r="H41" s="27">
        <f>'Indonesia Energy Use'!H200</f>
        <v>0</v>
      </c>
      <c r="I41" s="27">
        <f>'Indonesia Energy Use'!I200</f>
        <v>4.7589574357473037</v>
      </c>
      <c r="J41" s="53">
        <f t="shared" si="1"/>
        <v>6.5377222748451675</v>
      </c>
      <c r="K41" s="27"/>
      <c r="L41" s="27"/>
    </row>
    <row r="42" spans="1:14">
      <c r="K42" s="27"/>
      <c r="L42" s="27"/>
      <c r="M42" s="27"/>
    </row>
    <row r="43" spans="1:14">
      <c r="A43" s="535" t="s">
        <v>259</v>
      </c>
      <c r="B43" s="535" t="s">
        <v>247</v>
      </c>
      <c r="C43" s="535"/>
      <c r="D43" s="536"/>
      <c r="E43" s="535" t="s">
        <v>248</v>
      </c>
      <c r="F43" s="535" t="s">
        <v>249</v>
      </c>
      <c r="G43" s="535"/>
      <c r="H43" s="536"/>
      <c r="I43" s="788" t="s">
        <v>260</v>
      </c>
    </row>
    <row r="44" spans="1:14" ht="30">
      <c r="A44" s="36" t="s">
        <v>114</v>
      </c>
      <c r="B44" s="37" t="s">
        <v>40</v>
      </c>
      <c r="C44" s="37" t="s">
        <v>41</v>
      </c>
      <c r="D44" s="37" t="s">
        <v>42</v>
      </c>
      <c r="E44" s="37" t="s">
        <v>43</v>
      </c>
      <c r="F44" s="37" t="s">
        <v>44</v>
      </c>
      <c r="G44" s="37" t="s">
        <v>45</v>
      </c>
      <c r="H44" s="37" t="s">
        <v>46</v>
      </c>
      <c r="I44" s="37" t="s">
        <v>141</v>
      </c>
      <c r="J44" s="54" t="s">
        <v>125</v>
      </c>
      <c r="K44" s="101"/>
      <c r="L44" s="101"/>
      <c r="M44" s="101"/>
      <c r="N44" s="101"/>
    </row>
    <row r="45" spans="1:14">
      <c r="A45" t="s">
        <v>63</v>
      </c>
      <c r="B45" s="940">
        <f>'Vietnam Energy Use'!B226</f>
        <v>19.678562967438264</v>
      </c>
      <c r="C45" s="940">
        <f>'Vietnam Energy Use'!C226</f>
        <v>0</v>
      </c>
      <c r="D45" s="940">
        <f>'Vietnam Energy Use'!D226</f>
        <v>0</v>
      </c>
      <c r="E45" s="940">
        <f>'Vietnam Energy Use'!E226</f>
        <v>7.5270302382406644</v>
      </c>
      <c r="F45" s="940">
        <f>'Vietnam Energy Use'!F226</f>
        <v>0.97997350554216878</v>
      </c>
      <c r="G45" s="940">
        <f>'Vietnam Energy Use'!G226</f>
        <v>9.8903382593545377</v>
      </c>
      <c r="H45" s="940">
        <f>'Vietnam Energy Use'!H226</f>
        <v>0</v>
      </c>
      <c r="I45" s="940">
        <f>'Vietnam Energy Use'!I226</f>
        <v>67.996799999999993</v>
      </c>
      <c r="J45" s="53">
        <f>SUM(B45:I45)</f>
        <v>106.07270497057563</v>
      </c>
      <c r="K45" s="27"/>
      <c r="L45" s="27"/>
      <c r="M45" s="27"/>
      <c r="N45" s="27"/>
    </row>
    <row r="46" spans="1:14">
      <c r="A46" t="s">
        <v>64</v>
      </c>
      <c r="B46" s="940">
        <f>'Vietnam Energy Use'!B227</f>
        <v>55.855315089395482</v>
      </c>
      <c r="C46" s="940">
        <f>'Vietnam Energy Use'!C227</f>
        <v>0</v>
      </c>
      <c r="D46" s="940">
        <f>'Vietnam Energy Use'!D227</f>
        <v>0</v>
      </c>
      <c r="E46" s="940">
        <f>'Vietnam Energy Use'!E227</f>
        <v>4.9864868027081597</v>
      </c>
      <c r="F46" s="940">
        <f>'Vietnam Energy Use'!F227</f>
        <v>0.218609474313253</v>
      </c>
      <c r="G46" s="940">
        <f>'Vietnam Energy Use'!G227</f>
        <v>0</v>
      </c>
      <c r="H46" s="940">
        <f>'Vietnam Energy Use'!H227</f>
        <v>0</v>
      </c>
      <c r="I46" s="940">
        <f>'Vietnam Energy Use'!I227</f>
        <v>54.705599999999997</v>
      </c>
      <c r="J46" s="53">
        <f t="shared" ref="J46:J59" si="2">SUM(B46:I46)</f>
        <v>115.76601136641689</v>
      </c>
      <c r="K46" s="27"/>
      <c r="L46" s="27"/>
      <c r="M46" s="27"/>
      <c r="N46" s="27"/>
    </row>
    <row r="47" spans="1:14">
      <c r="A47" t="s">
        <v>65</v>
      </c>
      <c r="B47" s="940">
        <f>'Vietnam Energy Use'!B228</f>
        <v>0.23604336892760547</v>
      </c>
      <c r="C47" s="940">
        <f>'Vietnam Energy Use'!C228</f>
        <v>0</v>
      </c>
      <c r="D47" s="940">
        <f>'Vietnam Energy Use'!D228</f>
        <v>0</v>
      </c>
      <c r="E47" s="940">
        <f>'Vietnam Energy Use'!E228</f>
        <v>2.3665000345344223</v>
      </c>
      <c r="F47" s="940">
        <f>'Vietnam Energy Use'!F228</f>
        <v>0</v>
      </c>
      <c r="G47" s="940">
        <f>'Vietnam Energy Use'!G228</f>
        <v>97.365884706749171</v>
      </c>
      <c r="H47" s="940">
        <f>'Vietnam Energy Use'!H228</f>
        <v>0</v>
      </c>
      <c r="I47" s="940">
        <f>'Vietnam Energy Use'!I228</f>
        <v>21.520800000000001</v>
      </c>
      <c r="J47" s="53">
        <f t="shared" si="2"/>
        <v>121.4892281102112</v>
      </c>
      <c r="K47" s="27"/>
      <c r="L47" s="27"/>
      <c r="M47" s="27"/>
      <c r="N47" s="27"/>
    </row>
    <row r="48" spans="1:14">
      <c r="A48" t="s">
        <v>66</v>
      </c>
      <c r="B48" s="940">
        <f>'Vietnam Energy Use'!B229</f>
        <v>27.80342419263058</v>
      </c>
      <c r="C48" s="940">
        <f>'Vietnam Energy Use'!C229</f>
        <v>0</v>
      </c>
      <c r="D48" s="940">
        <f>'Vietnam Energy Use'!D229</f>
        <v>0</v>
      </c>
      <c r="E48" s="940">
        <f>'Vietnam Energy Use'!E229</f>
        <v>1.8318731130736132</v>
      </c>
      <c r="F48" s="940">
        <f>'Vietnam Energy Use'!F229</f>
        <v>0.25253163412048196</v>
      </c>
      <c r="G48" s="940">
        <f>'Vietnam Energy Use'!G229</f>
        <v>62.481207823484979</v>
      </c>
      <c r="H48" s="940">
        <f>'Vietnam Energy Use'!H229</f>
        <v>0</v>
      </c>
      <c r="I48" s="940">
        <f>'Vietnam Energy Use'!I229</f>
        <v>13.492800000000001</v>
      </c>
      <c r="J48" s="53">
        <f t="shared" si="2"/>
        <v>105.86183676330965</v>
      </c>
      <c r="K48" s="27"/>
      <c r="L48" s="27"/>
      <c r="M48" s="27"/>
      <c r="N48" s="27"/>
    </row>
    <row r="49" spans="1:14">
      <c r="A49" t="s">
        <v>67</v>
      </c>
      <c r="B49" s="940">
        <f>'Vietnam Energy Use'!B230</f>
        <v>0</v>
      </c>
      <c r="C49" s="940">
        <f>'Vietnam Energy Use'!C230</f>
        <v>0</v>
      </c>
      <c r="D49" s="940">
        <f>'Vietnam Energy Use'!D230</f>
        <v>0</v>
      </c>
      <c r="E49" s="940">
        <f>'Vietnam Energy Use'!E230</f>
        <v>93.533112000000003</v>
      </c>
      <c r="F49" s="940">
        <f>'Vietnam Energy Use'!F230</f>
        <v>0</v>
      </c>
      <c r="G49" s="940">
        <f>'Vietnam Energy Use'!G230</f>
        <v>3.4638992618325255</v>
      </c>
      <c r="H49" s="940">
        <f>'Vietnam Energy Use'!H230</f>
        <v>0</v>
      </c>
      <c r="I49" s="940">
        <f>'Vietnam Energy Use'!I230</f>
        <v>10.703509188618249</v>
      </c>
      <c r="J49" s="53">
        <f t="shared" si="2"/>
        <v>107.70052045045077</v>
      </c>
      <c r="K49" s="27"/>
      <c r="L49" s="27"/>
      <c r="M49" s="27"/>
      <c r="N49" s="27"/>
    </row>
    <row r="50" spans="1:14">
      <c r="A50" t="s">
        <v>68</v>
      </c>
      <c r="B50" s="940">
        <f>'Vietnam Energy Use'!B231</f>
        <v>37.891172380484036</v>
      </c>
      <c r="C50" s="940">
        <f>'Vietnam Energy Use'!C231</f>
        <v>0</v>
      </c>
      <c r="D50" s="940">
        <f>'Vietnam Energy Use'!D231</f>
        <v>0</v>
      </c>
      <c r="E50" s="940">
        <f>'Vietnam Energy Use'!E231</f>
        <v>8.0498649728710454</v>
      </c>
      <c r="F50" s="940">
        <f>'Vietnam Energy Use'!F231</f>
        <v>16.579355394909211</v>
      </c>
      <c r="G50" s="940">
        <f>'Vietnam Energy Use'!G231</f>
        <v>5.1584020693196564E-4</v>
      </c>
      <c r="H50" s="940">
        <f>'Vietnam Energy Use'!H231</f>
        <v>0</v>
      </c>
      <c r="I50" s="940">
        <f>'Vietnam Energy Use'!I231</f>
        <v>30.186793122499765</v>
      </c>
      <c r="J50" s="53">
        <f t="shared" si="2"/>
        <v>92.707701710970994</v>
      </c>
      <c r="K50" s="27"/>
      <c r="L50" s="27"/>
      <c r="M50" s="27"/>
      <c r="N50" s="27"/>
    </row>
    <row r="51" spans="1:14">
      <c r="A51" t="s">
        <v>69</v>
      </c>
      <c r="B51" s="940">
        <f>'Vietnam Energy Use'!B232</f>
        <v>0</v>
      </c>
      <c r="C51" s="940">
        <f>'Vietnam Energy Use'!C232</f>
        <v>0</v>
      </c>
      <c r="D51" s="940">
        <f>'Vietnam Energy Use'!D232</f>
        <v>0</v>
      </c>
      <c r="E51" s="940">
        <f>'Vietnam Energy Use'!E232</f>
        <v>0</v>
      </c>
      <c r="F51" s="940">
        <f>'Vietnam Energy Use'!F232</f>
        <v>0.60787224075343993</v>
      </c>
      <c r="G51" s="940">
        <f>'Vietnam Energy Use'!G232</f>
        <v>0</v>
      </c>
      <c r="H51" s="940">
        <f>'Vietnam Energy Use'!H232</f>
        <v>0</v>
      </c>
      <c r="I51" s="940">
        <f>'Vietnam Energy Use'!I232</f>
        <v>12.156406877500235</v>
      </c>
      <c r="J51" s="53">
        <f t="shared" si="2"/>
        <v>12.764279118253675</v>
      </c>
      <c r="K51" s="27"/>
      <c r="L51" s="27"/>
      <c r="M51" s="27"/>
      <c r="N51" s="27"/>
    </row>
    <row r="52" spans="1:14">
      <c r="A52" t="s">
        <v>70</v>
      </c>
      <c r="B52" s="940">
        <f>'Vietnam Energy Use'!B233</f>
        <v>444.95417376374303</v>
      </c>
      <c r="C52" s="940">
        <f>'Vietnam Energy Use'!C233</f>
        <v>0</v>
      </c>
      <c r="D52" s="940">
        <f>'Vietnam Energy Use'!D233</f>
        <v>0</v>
      </c>
      <c r="E52" s="940">
        <f>'Vietnam Energy Use'!E233</f>
        <v>21.440487840634081</v>
      </c>
      <c r="F52" s="940">
        <f>'Vietnam Energy Use'!F233</f>
        <v>7.6136403122891574</v>
      </c>
      <c r="G52" s="940">
        <f>'Vietnam Energy Use'!G233</f>
        <v>37.715880252706185</v>
      </c>
      <c r="H52" s="940">
        <f>'Vietnam Energy Use'!H233</f>
        <v>0</v>
      </c>
      <c r="I52" s="940">
        <f>'Vietnam Energy Use'!I233</f>
        <v>41.331600000000002</v>
      </c>
      <c r="J52" s="53">
        <f t="shared" si="2"/>
        <v>553.05578216937249</v>
      </c>
      <c r="K52" s="27"/>
      <c r="L52" s="27"/>
      <c r="M52" s="27"/>
      <c r="N52" s="27"/>
    </row>
    <row r="53" spans="1:14">
      <c r="A53" t="s">
        <v>71</v>
      </c>
      <c r="B53" s="940">
        <f>'Vietnam Energy Use'!B234</f>
        <v>369.87578719396708</v>
      </c>
      <c r="C53" s="940">
        <f>'Vietnam Energy Use'!C234</f>
        <v>0</v>
      </c>
      <c r="D53" s="940">
        <f>'Vietnam Energy Use'!D234</f>
        <v>0</v>
      </c>
      <c r="E53" s="940">
        <f>'Vietnam Energy Use'!E234</f>
        <v>0</v>
      </c>
      <c r="F53" s="940">
        <f>'Vietnam Energy Use'!F234</f>
        <v>0</v>
      </c>
      <c r="G53" s="940">
        <f>'Vietnam Energy Use'!G234</f>
        <v>0</v>
      </c>
      <c r="H53" s="940">
        <f>'Vietnam Energy Use'!H234</f>
        <v>0</v>
      </c>
      <c r="I53" s="940">
        <f>'Vietnam Energy Use'!I234</f>
        <v>29.846770904459106</v>
      </c>
      <c r="J53" s="53">
        <f t="shared" si="2"/>
        <v>399.72255809842619</v>
      </c>
      <c r="K53" s="27"/>
      <c r="L53" s="27"/>
      <c r="M53" s="27"/>
      <c r="N53" s="27"/>
    </row>
    <row r="54" spans="1:14">
      <c r="A54" t="s">
        <v>72</v>
      </c>
      <c r="B54" s="940">
        <f>'Vietnam Energy Use'!B235</f>
        <v>129.63600245277198</v>
      </c>
      <c r="C54" s="940">
        <f>'Vietnam Energy Use'!C235</f>
        <v>0</v>
      </c>
      <c r="D54" s="940">
        <f>'Vietnam Energy Use'!D235</f>
        <v>0</v>
      </c>
      <c r="E54" s="940">
        <f>'Vietnam Energy Use'!E235</f>
        <v>0</v>
      </c>
      <c r="F54" s="940">
        <f>'Vietnam Energy Use'!F235</f>
        <v>0</v>
      </c>
      <c r="G54" s="940">
        <f>'Vietnam Energy Use'!G235</f>
        <v>0</v>
      </c>
      <c r="H54" s="940">
        <f>'Vietnam Energy Use'!H235</f>
        <v>0</v>
      </c>
      <c r="I54" s="940">
        <f>'Vietnam Energy Use'!I235</f>
        <v>10.460852535201832</v>
      </c>
      <c r="J54" s="53">
        <f t="shared" si="2"/>
        <v>140.09685498797381</v>
      </c>
      <c r="K54" s="27"/>
      <c r="L54" s="27"/>
      <c r="M54" s="27"/>
      <c r="N54" s="27"/>
    </row>
    <row r="55" spans="1:14">
      <c r="A55" t="s">
        <v>73</v>
      </c>
      <c r="B55" s="940">
        <f>'Vietnam Energy Use'!B236</f>
        <v>4.9693340826864309E-2</v>
      </c>
      <c r="C55" s="940">
        <f>'Vietnam Energy Use'!C236</f>
        <v>0</v>
      </c>
      <c r="D55" s="940">
        <f>'Vietnam Energy Use'!D236</f>
        <v>0</v>
      </c>
      <c r="E55" s="940">
        <f>'Vietnam Energy Use'!E236</f>
        <v>9.5907153183128955</v>
      </c>
      <c r="F55" s="940">
        <f>'Vietnam Energy Use'!F236</f>
        <v>1.1307386602409639</v>
      </c>
      <c r="G55" s="940">
        <f>'Vietnam Energy Use'!G236</f>
        <v>0</v>
      </c>
      <c r="H55" s="940">
        <f>'Vietnam Energy Use'!H236</f>
        <v>0</v>
      </c>
      <c r="I55" s="940">
        <f>'Vietnam Energy Use'!I236</f>
        <v>4.7880000000000003</v>
      </c>
      <c r="J55" s="53">
        <f t="shared" si="2"/>
        <v>15.559147319380724</v>
      </c>
      <c r="K55" s="27"/>
      <c r="L55" s="27"/>
      <c r="M55" s="27"/>
      <c r="N55" s="27"/>
    </row>
    <row r="56" spans="1:14">
      <c r="A56" t="s">
        <v>74</v>
      </c>
      <c r="B56" s="940">
        <f>'Vietnam Energy Use'!B237</f>
        <v>0</v>
      </c>
      <c r="C56" s="940">
        <f>'Vietnam Energy Use'!C237</f>
        <v>0</v>
      </c>
      <c r="D56" s="940">
        <f>'Vietnam Energy Use'!D237</f>
        <v>0</v>
      </c>
      <c r="E56" s="940">
        <f>'Vietnam Energy Use'!E237</f>
        <v>5.4905793669255853</v>
      </c>
      <c r="F56" s="940">
        <f>'Vietnam Energy Use'!F237</f>
        <v>0.6030606187951808</v>
      </c>
      <c r="G56" s="940">
        <f>'Vietnam Energy Use'!G237</f>
        <v>0</v>
      </c>
      <c r="H56" s="940">
        <f>'Vietnam Energy Use'!H237</f>
        <v>0</v>
      </c>
      <c r="I56" s="940">
        <f>'Vietnam Energy Use'!I237</f>
        <v>3.2292000000000001</v>
      </c>
      <c r="J56" s="53">
        <f t="shared" si="2"/>
        <v>9.3228399857207656</v>
      </c>
      <c r="K56" s="27"/>
      <c r="L56" s="27"/>
      <c r="M56" s="27"/>
      <c r="N56" s="27"/>
    </row>
    <row r="57" spans="1:14">
      <c r="A57" t="s">
        <v>75</v>
      </c>
      <c r="B57" s="940">
        <f>'Vietnam Energy Use'!B238</f>
        <v>0</v>
      </c>
      <c r="C57" s="940">
        <f>'Vietnam Energy Use'!C238</f>
        <v>0</v>
      </c>
      <c r="D57" s="940">
        <f>'Vietnam Energy Use'!D238</f>
        <v>0</v>
      </c>
      <c r="E57" s="940">
        <f>'Vietnam Energy Use'!E238</f>
        <v>0</v>
      </c>
      <c r="F57" s="940">
        <f>'Vietnam Energy Use'!F238</f>
        <v>0</v>
      </c>
      <c r="G57" s="940">
        <f>'Vietnam Energy Use'!G238</f>
        <v>0</v>
      </c>
      <c r="H57" s="940">
        <f>'Vietnam Energy Use'!H238</f>
        <v>0</v>
      </c>
      <c r="I57" s="940">
        <f>'Vietnam Energy Use'!I238</f>
        <v>36.871200000000002</v>
      </c>
      <c r="J57" s="53">
        <f t="shared" si="2"/>
        <v>36.871200000000002</v>
      </c>
      <c r="K57" s="27"/>
      <c r="L57" s="27"/>
      <c r="M57" s="27"/>
      <c r="N57" s="27"/>
    </row>
    <row r="58" spans="1:14">
      <c r="A58" t="s">
        <v>76</v>
      </c>
      <c r="B58" s="940">
        <f>'Vietnam Energy Use'!B239</f>
        <v>72.346639899906634</v>
      </c>
      <c r="C58" s="940">
        <f>'Vietnam Energy Use'!C239</f>
        <v>0</v>
      </c>
      <c r="D58" s="940">
        <f>'Vietnam Energy Use'!D239</f>
        <v>0</v>
      </c>
      <c r="E58" s="940">
        <f>'Vietnam Energy Use'!E239</f>
        <v>0</v>
      </c>
      <c r="F58" s="940">
        <f>'Vietnam Energy Use'!F239</f>
        <v>0</v>
      </c>
      <c r="G58" s="940">
        <f>'Vietnam Energy Use'!G239</f>
        <v>0</v>
      </c>
      <c r="H58" s="940">
        <f>'Vietnam Energy Use'!H239</f>
        <v>0</v>
      </c>
      <c r="I58" s="940">
        <f>'Vietnam Energy Use'!I239</f>
        <v>5.8379425243846654</v>
      </c>
      <c r="J58" s="53">
        <f t="shared" si="2"/>
        <v>78.184582424291307</v>
      </c>
      <c r="K58" s="27"/>
      <c r="L58" s="27"/>
      <c r="M58" s="27"/>
      <c r="N58" s="27"/>
    </row>
    <row r="59" spans="1:14">
      <c r="A59" t="s">
        <v>77</v>
      </c>
      <c r="B59" s="940">
        <f>'Vietnam Energy Use'!B240</f>
        <v>32.573984912009557</v>
      </c>
      <c r="C59" s="940">
        <f>'Vietnam Energy Use'!C240</f>
        <v>0</v>
      </c>
      <c r="D59" s="940">
        <f>'Vietnam Energy Use'!D240</f>
        <v>0</v>
      </c>
      <c r="E59" s="940">
        <f>'Vietnam Energy Use'!E240</f>
        <v>2.9516598614890794</v>
      </c>
      <c r="F59" s="940">
        <f>'Vietnam Energy Use'!F240</f>
        <v>0.12815038149397592</v>
      </c>
      <c r="G59" s="940">
        <f>'Vietnam Energy Use'!G240</f>
        <v>3.3626978556656963</v>
      </c>
      <c r="H59" s="940">
        <f>'Vietnam Energy Use'!H240</f>
        <v>0</v>
      </c>
      <c r="I59" s="940">
        <f>'Vietnam Energy Use'!I240</f>
        <v>64.371600000000001</v>
      </c>
      <c r="J59" s="53">
        <f t="shared" si="2"/>
        <v>103.38809301065831</v>
      </c>
      <c r="K59" s="27"/>
      <c r="L59" s="27"/>
      <c r="M59" s="27"/>
      <c r="N59" s="27"/>
    </row>
    <row r="61" spans="1:14">
      <c r="A61" s="535" t="s">
        <v>261</v>
      </c>
      <c r="B61" s="535" t="s">
        <v>247</v>
      </c>
      <c r="C61" s="535"/>
      <c r="D61" s="536"/>
      <c r="E61" s="535" t="s">
        <v>248</v>
      </c>
      <c r="F61" s="535" t="s">
        <v>249</v>
      </c>
      <c r="G61" s="535"/>
      <c r="H61" s="536"/>
      <c r="I61" s="788" t="s">
        <v>262</v>
      </c>
    </row>
    <row r="62" spans="1:14" ht="30">
      <c r="A62" s="36" t="s">
        <v>114</v>
      </c>
      <c r="B62" s="37" t="s">
        <v>40</v>
      </c>
      <c r="C62" s="37" t="s">
        <v>41</v>
      </c>
      <c r="D62" s="37" t="s">
        <v>42</v>
      </c>
      <c r="E62" s="37" t="s">
        <v>43</v>
      </c>
      <c r="F62" s="37" t="s">
        <v>44</v>
      </c>
      <c r="G62" s="37" t="s">
        <v>45</v>
      </c>
      <c r="H62" s="37" t="s">
        <v>46</v>
      </c>
      <c r="I62" s="37" t="s">
        <v>141</v>
      </c>
      <c r="J62" s="54" t="s">
        <v>125</v>
      </c>
    </row>
    <row r="63" spans="1:14">
      <c r="A63" t="s">
        <v>63</v>
      </c>
      <c r="B63" s="27">
        <f>'AEO T25 Food'!C24*'Unit Conversions'!$E$4</f>
        <v>135.8406802436007</v>
      </c>
      <c r="C63" s="27">
        <v>0</v>
      </c>
      <c r="D63" s="27">
        <v>0</v>
      </c>
      <c r="E63" s="27">
        <f>'AEO T25 Food'!C22*'Unit Conversions'!$E$4</f>
        <v>3.4598909447787931</v>
      </c>
      <c r="F63" s="27">
        <f>'AEO T25 Food'!C23*'Unit Conversions'!$E$4</f>
        <v>685.43823288423653</v>
      </c>
      <c r="G63" s="27">
        <f>'AEO T25 Food'!C25*'Unit Conversions'!$E$4</f>
        <v>46.036562682063789</v>
      </c>
      <c r="H63" s="27">
        <v>0</v>
      </c>
      <c r="I63" s="27">
        <f>'AEO T25 Food'!C26*'Unit Conversions'!$E$4</f>
        <v>316.86000430042452</v>
      </c>
      <c r="J63" s="53">
        <f>SUM(B63:I63)</f>
        <v>1187.6353710551043</v>
      </c>
    </row>
    <row r="64" spans="1:14">
      <c r="A64" t="s">
        <v>64</v>
      </c>
      <c r="B64" s="27">
        <f>'U.S. Textiles'!F10</f>
        <v>1.0550599938764318</v>
      </c>
      <c r="C64" s="27">
        <v>0</v>
      </c>
      <c r="D64" s="27">
        <v>0</v>
      </c>
      <c r="E64" s="27">
        <f>'U.S. Textiles'!D10</f>
        <v>1.0550599938764318</v>
      </c>
      <c r="F64" s="27">
        <f>'U.S. Textiles'!E10</f>
        <v>39.037219773427978</v>
      </c>
      <c r="G64" s="27">
        <v>0</v>
      </c>
      <c r="H64" s="27">
        <v>0</v>
      </c>
      <c r="I64" s="27">
        <f>'U.S. Textiles'!C10</f>
        <v>52.752999693821593</v>
      </c>
      <c r="J64" s="53">
        <f t="shared" ref="J64:J77" si="3">SUM(B64:I64)</f>
        <v>93.900339455002438</v>
      </c>
      <c r="K64" t="s">
        <v>263</v>
      </c>
    </row>
    <row r="65" spans="1:11">
      <c r="A65" t="s">
        <v>65</v>
      </c>
      <c r="B65" s="27">
        <f>'AEO T33 Other Mfg'!C22*'Unit Conversions'!$E$4</f>
        <v>0</v>
      </c>
      <c r="C65" s="27">
        <v>0</v>
      </c>
      <c r="D65" s="27">
        <v>0</v>
      </c>
      <c r="E65" s="27">
        <f>'AEO T33 Other Mfg'!C20*'Unit Conversions'!$E$4</f>
        <v>7.6036253549485586</v>
      </c>
      <c r="F65" s="27">
        <f>'AEO T33 Other Mfg'!C21*'Unit Conversions'!$E$4</f>
        <v>59.007444925340792</v>
      </c>
      <c r="G65" s="27">
        <f>'AEO T33 Other Mfg'!C24*'Unit Conversions'!$E$4</f>
        <v>313.56249025388331</v>
      </c>
      <c r="H65" s="27">
        <v>0</v>
      </c>
      <c r="I65" s="27">
        <f>'AEO T33 Other Mfg'!C25*'Unit Conversions'!$E$4</f>
        <v>69.38457084485195</v>
      </c>
      <c r="J65" s="53">
        <f t="shared" si="3"/>
        <v>449.55813137902464</v>
      </c>
    </row>
    <row r="66" spans="1:11">
      <c r="A66" t="s">
        <v>66</v>
      </c>
      <c r="B66" s="27">
        <f>'AEO T26 Paper'!C25*'Unit Conversions'!$E$4</f>
        <v>34.690377873957047</v>
      </c>
      <c r="C66" s="27">
        <v>0</v>
      </c>
      <c r="D66" s="27">
        <v>0</v>
      </c>
      <c r="E66" s="27">
        <f>'AEO T26 Paper'!C23*'Unit Conversions'!$E$4</f>
        <v>41.349071452249987</v>
      </c>
      <c r="F66" s="27">
        <f>'AEO T26 Paper'!C24*'Unit Conversions'!$E$4</f>
        <v>605.47757712646819</v>
      </c>
      <c r="G66" s="27">
        <f>'AEO T26 Paper'!C26*'Unit Conversions'!$E$4</f>
        <v>958.76368175423556</v>
      </c>
      <c r="H66" s="27">
        <v>0</v>
      </c>
      <c r="I66" s="27">
        <f>'AEO T26 Paper'!C27*'Unit Conversions'!$E$4</f>
        <v>207.27715814104337</v>
      </c>
      <c r="J66" s="53">
        <f t="shared" si="3"/>
        <v>1847.5578663479541</v>
      </c>
    </row>
    <row r="67" spans="1:11">
      <c r="A67" t="s">
        <v>67</v>
      </c>
      <c r="B67" s="27">
        <f>'AEO T24 Refining'!C31*'Unit Conversions'!$E$4</f>
        <v>25.321439853034363</v>
      </c>
      <c r="C67" s="27">
        <v>0</v>
      </c>
      <c r="D67" s="27">
        <v>0</v>
      </c>
      <c r="E67" s="27">
        <f>'AEO T24 Refining'!C26*'Unit Conversions'!$E$4</f>
        <v>1847.9598600315207</v>
      </c>
      <c r="F67" s="27">
        <f>'AEO T24 Refining'!C28*'Unit Conversions'!$E$4</f>
        <v>1452.0400977660793</v>
      </c>
      <c r="G67" s="27">
        <f>'AEO T24 Refining'!C32*'Unit Conversions'!$E$4</f>
        <v>968.62531169109866</v>
      </c>
      <c r="H67" s="27">
        <v>0</v>
      </c>
      <c r="I67" s="27">
        <f>'AEO T24 Refining'!C33*'Unit Conversions'!$E$4</f>
        <v>197.53148879304723</v>
      </c>
      <c r="J67" s="53">
        <f t="shared" si="3"/>
        <v>4491.4781981347805</v>
      </c>
    </row>
    <row r="68" spans="1:11">
      <c r="A68" t="s">
        <v>68</v>
      </c>
      <c r="B68" s="27">
        <f>'AEO T27 Chemicals'!C26*'Unit Conversions'!$E$4</f>
        <v>64.361734071284488</v>
      </c>
      <c r="C68" s="27">
        <v>0</v>
      </c>
      <c r="D68" s="27">
        <v>0</v>
      </c>
      <c r="E68" s="27">
        <f>'AEO T27 Chemicals'!C24*'Unit Conversions'!$E$4</f>
        <v>402.5773817926609</v>
      </c>
      <c r="F68" s="27">
        <f>'AEO T27 Chemicals'!C25*'Unit Conversions'!$E$4</f>
        <v>2325.2726338327775</v>
      </c>
      <c r="G68" s="27">
        <f>'AEO T27 Chemicals'!C27*'Unit Conversions'!$E$4</f>
        <v>7.0794525589108568E-3</v>
      </c>
      <c r="H68" s="27">
        <v>0</v>
      </c>
      <c r="I68" s="27">
        <f>'AEO T27 Chemicals'!C28*'Unit Conversions'!$E$4</f>
        <v>414.75217168273838</v>
      </c>
      <c r="J68" s="53">
        <f t="shared" si="3"/>
        <v>3206.9710008320203</v>
      </c>
    </row>
    <row r="69" spans="1:11">
      <c r="A69" t="s">
        <v>69</v>
      </c>
      <c r="B69" s="27">
        <f>'AEO T33 Other Mfg'!C34*'Unit Conversions'!$E$4</f>
        <v>0</v>
      </c>
      <c r="C69" s="27">
        <v>0</v>
      </c>
      <c r="D69" s="27">
        <v>0</v>
      </c>
      <c r="E69" s="27">
        <f>'AEO T33 Other Mfg'!C32*'Unit Conversions'!$E$4</f>
        <v>0.49780473667074132</v>
      </c>
      <c r="F69" s="27">
        <f>'AEO T33 Other Mfg'!C33*'Unit Conversions'!$E$4</f>
        <v>85.254743180461475</v>
      </c>
      <c r="G69" s="27">
        <f>'AEO T33 Other Mfg'!C36*'Unit Conversions'!$E$4</f>
        <v>0</v>
      </c>
      <c r="H69" s="27">
        <v>0</v>
      </c>
      <c r="I69" s="27">
        <f>'AEO T33 Other Mfg'!C37*'Unit Conversions'!$E$4</f>
        <v>167.0232452927971</v>
      </c>
      <c r="J69" s="53">
        <f t="shared" si="3"/>
        <v>252.7757932099293</v>
      </c>
    </row>
    <row r="70" spans="1:11">
      <c r="A70" t="s">
        <v>70</v>
      </c>
      <c r="B70" s="27">
        <f>'AEO T29 Cement'!C25*'Unit Conversions'!$E$4</f>
        <v>136.63764302129513</v>
      </c>
      <c r="C70" s="27">
        <v>0</v>
      </c>
      <c r="D70" s="27">
        <v>0</v>
      </c>
      <c r="E70" s="27">
        <f>'AEO T29 Cement'!C23*'Unit Conversions'!$E$4</f>
        <v>80.611334467311821</v>
      </c>
      <c r="F70" s="27">
        <f>'AEO T29 Cement'!C24*'Unit Conversions'!$E$4</f>
        <v>106.4008263651896</v>
      </c>
      <c r="G70" s="27">
        <f>'AEO T29 Cement'!C28*'Unit Conversions'!$E$4</f>
        <v>50.374252991147841</v>
      </c>
      <c r="H70" s="27">
        <v>0</v>
      </c>
      <c r="I70" s="27">
        <f>'AEO T29 Cement'!C29*'Unit Conversions'!$E$4</f>
        <v>55.265460479879266</v>
      </c>
      <c r="J70" s="53">
        <f t="shared" si="3"/>
        <v>429.28951732482369</v>
      </c>
    </row>
    <row r="71" spans="1:11">
      <c r="A71" t="s">
        <v>71</v>
      </c>
      <c r="B71" s="27">
        <f>'AEO T30 Steel'!C26*'Unit Conversions'!$E$4</f>
        <v>130.75781161144167</v>
      </c>
      <c r="C71" s="27">
        <f>('AEO T30 Steel'!C24+'AEO T30 Steel'!C25)*'Unit Conversions'!$E$4</f>
        <v>411.03895133788996</v>
      </c>
      <c r="D71" s="27">
        <v>0</v>
      </c>
      <c r="E71" s="27">
        <f>'AEO T30 Steel'!C22*'Unit Conversions'!$E$4</f>
        <v>3.5513741417878242</v>
      </c>
      <c r="F71" s="27">
        <f>'AEO T30 Steel'!C23*'Unit Conversions'!$E$4</f>
        <v>310.94699336388362</v>
      </c>
      <c r="G71" s="27">
        <f>'AEO T30 Steel'!C28*'Unit Conversions'!$E$4</f>
        <v>0</v>
      </c>
      <c r="H71" s="27">
        <v>0</v>
      </c>
      <c r="I71" s="27">
        <f>'AEO T30 Steel'!C29*'Unit Conversions'!$E$4</f>
        <v>224.05828826644569</v>
      </c>
      <c r="J71" s="53">
        <f t="shared" si="3"/>
        <v>1080.3534187214489</v>
      </c>
    </row>
    <row r="72" spans="1:11">
      <c r="A72" t="s">
        <v>72</v>
      </c>
      <c r="B72" s="27">
        <f>'AEO T31 Aluminum'!C25*'Unit Conversions'!$E$4</f>
        <v>0</v>
      </c>
      <c r="C72" s="27">
        <v>0</v>
      </c>
      <c r="D72" s="27">
        <v>0</v>
      </c>
      <c r="E72" s="27">
        <f>'AEO T31 Aluminum'!C23*'Unit Conversions'!$E$4</f>
        <v>0.89111105624799147</v>
      </c>
      <c r="F72" s="27">
        <f>'AEO T31 Aluminum'!C24*'Unit Conversions'!$E$4</f>
        <v>107.25409452957724</v>
      </c>
      <c r="G72" s="27">
        <f>'AEO T31 Aluminum'!C26*'Unit Conversions'!$E$4</f>
        <v>0</v>
      </c>
      <c r="H72" s="27">
        <v>0</v>
      </c>
      <c r="I72" s="27">
        <f>'AEO T31 Aluminum'!C27*'Unit Conversions'!$E$4</f>
        <v>92.209894901253762</v>
      </c>
      <c r="J72" s="53">
        <f t="shared" si="3"/>
        <v>200.355100487079</v>
      </c>
    </row>
    <row r="73" spans="1:11">
      <c r="A73" t="s">
        <v>73</v>
      </c>
      <c r="B73" s="27">
        <f>'AEO T32 Metal Prods'!C36*'Unit Conversions'!$E$4</f>
        <v>0</v>
      </c>
      <c r="C73" s="27">
        <v>0</v>
      </c>
      <c r="D73" s="27">
        <v>0</v>
      </c>
      <c r="E73" s="27">
        <f>'AEO T32 Metal Prods'!C34*'Unit Conversions'!$E$4</f>
        <v>1.3836573739092526</v>
      </c>
      <c r="F73" s="27">
        <f>'AEO T32 Metal Prods'!C35*'Unit Conversions'!$E$4</f>
        <v>52.093591417888788</v>
      </c>
      <c r="G73" s="27">
        <f>'AEO T32 Metal Prods'!C37*'Unit Conversions'!$E$4</f>
        <v>0</v>
      </c>
      <c r="H73" s="27">
        <v>0</v>
      </c>
      <c r="I73" s="27">
        <f>'AEO T32 Metal Prods'!C38*'Unit Conversions'!$E$4</f>
        <v>77.22735403403243</v>
      </c>
      <c r="J73" s="53">
        <f t="shared" si="3"/>
        <v>130.70460282583048</v>
      </c>
    </row>
    <row r="74" spans="1:11">
      <c r="A74" t="s">
        <v>74</v>
      </c>
      <c r="B74" s="27">
        <f>'AEO T32 Metal Prods'!C60*'Unit Conversions'!$E$4</f>
        <v>0</v>
      </c>
      <c r="C74" s="27">
        <v>0</v>
      </c>
      <c r="D74" s="27">
        <v>0</v>
      </c>
      <c r="E74" s="27">
        <f>'AEO T32 Metal Prods'!C58*'Unit Conversions'!$E$4</f>
        <v>7.6673573089386577</v>
      </c>
      <c r="F74" s="27">
        <f>'AEO T32 Metal Prods'!C59*'Unit Conversions'!$E$4</f>
        <v>154.52414156626187</v>
      </c>
      <c r="G74" s="27">
        <f>'AEO T32 Metal Prods'!C61*'Unit Conversions'!$E$4</f>
        <v>0</v>
      </c>
      <c r="H74" s="27">
        <v>0</v>
      </c>
      <c r="I74" s="27">
        <f>'AEO T32 Metal Prods'!C62*'Unit Conversions'!$E$4</f>
        <v>174.36432846380944</v>
      </c>
      <c r="J74" s="53">
        <f t="shared" si="3"/>
        <v>336.55582733900997</v>
      </c>
    </row>
    <row r="75" spans="1:11">
      <c r="A75" t="s">
        <v>75</v>
      </c>
      <c r="B75" s="27">
        <f>('AEO T32 Metal Prods'!C48+'AEO T32 Metal Prods'!C73)*'Unit Conversions'!$E$4</f>
        <v>0</v>
      </c>
      <c r="C75" s="27">
        <v>0</v>
      </c>
      <c r="D75" s="27">
        <v>0</v>
      </c>
      <c r="E75" s="27">
        <f>('AEO T32 Metal Prods'!C46+'AEO T32 Metal Prods'!C71)*'Unit Conversions'!$E$4</f>
        <v>0.25127836344158039</v>
      </c>
      <c r="F75" s="27">
        <f>('AEO T32 Metal Prods'!C47+'AEO T32 Metal Prods'!C72)*'Unit Conversions'!$E$4</f>
        <v>60.246232011490875</v>
      </c>
      <c r="G75" s="27">
        <f>('AEO T32 Metal Prods'!C49+'AEO T32 Metal Prods'!C74)*'Unit Conversions'!$E$4</f>
        <v>0</v>
      </c>
      <c r="H75" s="27">
        <v>0</v>
      </c>
      <c r="I75" s="27">
        <f>('AEO T32 Metal Prods'!C50+'AEO T32 Metal Prods'!C75)*'Unit Conversions'!$E$4</f>
        <v>147.94593851490177</v>
      </c>
      <c r="J75" s="53">
        <f t="shared" si="3"/>
        <v>208.44344888983423</v>
      </c>
    </row>
    <row r="76" spans="1:11">
      <c r="A76" t="s">
        <v>76</v>
      </c>
      <c r="B76" s="27">
        <f>'AEO T32 Metal Prods'!C24*'Unit Conversions'!$E$4</f>
        <v>0</v>
      </c>
      <c r="C76" s="27">
        <v>0</v>
      </c>
      <c r="D76" s="27">
        <v>0</v>
      </c>
      <c r="E76" s="27">
        <f>'AEO T32 Metal Prods'!C21*'Unit Conversions'!$E$4</f>
        <v>0.47701372443141238</v>
      </c>
      <c r="F76" s="27">
        <f>'AEO T32 Metal Prods'!C22*'Unit Conversions'!$E$4</f>
        <v>108.22643781993375</v>
      </c>
      <c r="G76" s="27">
        <f>'AEO T32 Metal Prods'!C25*'Unit Conversions'!$E$4</f>
        <v>0</v>
      </c>
      <c r="H76" s="27">
        <v>0</v>
      </c>
      <c r="I76" s="27">
        <f>'AEO T32 Metal Prods'!C26*'Unit Conversions'!$E$4</f>
        <v>132.70223337209623</v>
      </c>
      <c r="J76" s="53">
        <f t="shared" si="3"/>
        <v>241.40568491646138</v>
      </c>
    </row>
    <row r="77" spans="1:11">
      <c r="A77" t="s">
        <v>77</v>
      </c>
      <c r="B77" s="27">
        <f>'AEO T33 Other Mfg'!C48*'Unit Conversions'!$E$4-B64</f>
        <v>27.418745082101601</v>
      </c>
      <c r="C77" s="27">
        <v>0</v>
      </c>
      <c r="D77" s="27">
        <v>0</v>
      </c>
      <c r="E77" s="27">
        <f>'AEO T33 Other Mfg'!C46*'Unit Conversions'!$E$4-E64</f>
        <v>78.514045064144483</v>
      </c>
      <c r="F77" s="27">
        <f>'AEO T33 Other Mfg'!C47*'Unit Conversions'!$E$4-F64</f>
        <v>724.39605200770529</v>
      </c>
      <c r="G77" s="27">
        <f>'AEO T33 Other Mfg'!C50*'Unit Conversions'!$E$4-G64</f>
        <v>23.736938093510812</v>
      </c>
      <c r="H77" s="27">
        <v>0</v>
      </c>
      <c r="I77" s="27">
        <f>'AEO T33 Other Mfg'!C51*'Unit Conversions'!$E$4-I64</f>
        <v>454.90253672294563</v>
      </c>
      <c r="J77" s="53">
        <f t="shared" si="3"/>
        <v>1308.9683169704078</v>
      </c>
      <c r="K77" t="s">
        <v>264</v>
      </c>
    </row>
  </sheetData>
  <pageMargins left="0.7" right="0.7" top="0.75" bottom="0.75" header="0.3" footer="0.3"/>
  <headerFooter>
    <oddFooter>&amp;R_x000D_&amp;1#&amp;"Aptos"&amp;10&amp;K000000 Official Use Only</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5BBB2-002F-4516-A34D-C3A24C7F6973}">
  <sheetPr>
    <tabColor rgb="FF92D050"/>
  </sheetPr>
  <dimension ref="A1:L210"/>
  <sheetViews>
    <sheetView zoomScale="130" zoomScaleNormal="130" workbookViewId="0">
      <pane ySplit="1" topLeftCell="A2" activePane="bottomLeft" state="frozen"/>
      <selection pane="bottomLeft"/>
    </sheetView>
  </sheetViews>
  <sheetFormatPr defaultRowHeight="15"/>
  <cols>
    <col min="1" max="1" width="50.140625" customWidth="1"/>
    <col min="2" max="5" width="12.7109375" customWidth="1"/>
    <col min="6" max="6" width="15" style="542" customWidth="1"/>
    <col min="7" max="9" width="15.28515625" style="49" customWidth="1"/>
    <col min="10" max="11" width="15.28515625" style="545" customWidth="1"/>
    <col min="12" max="12" width="59.42578125" customWidth="1"/>
  </cols>
  <sheetData>
    <row r="1" spans="1:12" s="23" customFormat="1">
      <c r="A1" s="24" t="s">
        <v>265</v>
      </c>
      <c r="B1" s="48" t="s">
        <v>17</v>
      </c>
      <c r="C1" s="48" t="s">
        <v>142</v>
      </c>
      <c r="D1" s="48" t="s">
        <v>166</v>
      </c>
      <c r="E1" s="48" t="s">
        <v>167</v>
      </c>
      <c r="F1" s="541" t="s">
        <v>116</v>
      </c>
      <c r="G1" s="48" t="s">
        <v>266</v>
      </c>
      <c r="H1" s="48" t="s">
        <v>267</v>
      </c>
      <c r="I1" s="48" t="s">
        <v>268</v>
      </c>
      <c r="J1" s="541" t="s">
        <v>269</v>
      </c>
      <c r="K1" s="543" t="s">
        <v>270</v>
      </c>
      <c r="L1" s="48" t="s">
        <v>271</v>
      </c>
    </row>
    <row r="2" spans="1:12">
      <c r="A2" s="535" t="s">
        <v>272</v>
      </c>
    </row>
    <row r="3" spans="1:12">
      <c r="A3" t="s">
        <v>273</v>
      </c>
      <c r="B3" s="27">
        <f>'EPS China Non-Energy Fuel Use'!D4/10^12*'Unit Conversions'!$E$4</f>
        <v>1093.2426150548199</v>
      </c>
      <c r="C3" s="540">
        <f>B3*(SUM('Energy Use Data'!$B$32:$I$32)/SUM('Energy Use Data'!$B$14:$I$14))</f>
        <v>11.791784024835703</v>
      </c>
      <c r="D3" s="27">
        <f>'Vietnam Energy Use'!B250</f>
        <v>14.311682158136922</v>
      </c>
      <c r="E3" s="27">
        <f>SUM('AEO T30 Steel'!C24:C25)*'Unit Conversions'!$E$4</f>
        <v>411.03895133788996</v>
      </c>
      <c r="F3" s="545" t="s">
        <v>183</v>
      </c>
      <c r="G3" s="49">
        <v>5</v>
      </c>
      <c r="H3" s="549" t="s">
        <v>274</v>
      </c>
      <c r="I3" s="49">
        <v>74</v>
      </c>
      <c r="J3" s="545">
        <v>46</v>
      </c>
      <c r="K3" s="550">
        <f>INDEX($B3:$E3,MATCH(Graphs!$B$1,$B$1:$E$1,0))</f>
        <v>1093.2426150548199</v>
      </c>
      <c r="L3" s="576"/>
    </row>
    <row r="4" spans="1:12">
      <c r="A4" t="s">
        <v>275</v>
      </c>
      <c r="B4" s="27">
        <f>'EPS China Non-Energy Fuel Use'!D5/10^12*'Unit Conversions'!$E$4</f>
        <v>420.22723038100116</v>
      </c>
      <c r="C4" s="540">
        <f>(B4+B5)*(SUM('Energy Use Data'!$B$32:$I$32)/SUM('Energy Use Data'!$B$14:$I$14))</f>
        <v>30.753922734484668</v>
      </c>
      <c r="D4" s="27">
        <f>'Vietnam Energy Use'!B251</f>
        <v>36.824389035180722</v>
      </c>
      <c r="E4" s="27">
        <f>'AEO T27 Chemicals'!C34*'Unit Conversions'!$E$4</f>
        <v>1167.0019626226006</v>
      </c>
      <c r="F4" s="545" t="s">
        <v>183</v>
      </c>
      <c r="G4" s="49">
        <v>5</v>
      </c>
      <c r="H4" s="549" t="s">
        <v>274</v>
      </c>
      <c r="I4" s="49">
        <v>74</v>
      </c>
      <c r="J4" s="545">
        <v>46</v>
      </c>
      <c r="K4" s="550">
        <f>INDEX($B4:$E4,MATCH(Graphs!$B$1,$B$1:$E$1,0))</f>
        <v>420.22723038100116</v>
      </c>
    </row>
    <row r="5" spans="1:12">
      <c r="A5" t="s">
        <v>276</v>
      </c>
      <c r="B5" s="27">
        <f>'EPS China Non-Energy Fuel Use'!D11/10^12*'Unit Conversions'!$E$4</f>
        <v>2431.0375860902577</v>
      </c>
      <c r="C5" s="540">
        <v>0</v>
      </c>
      <c r="D5" s="27">
        <f>'Vietnam Energy Use'!B252</f>
        <v>0.69003959890610767</v>
      </c>
      <c r="E5" s="27">
        <f>'AEO T27 Chemicals'!C31*'Unit Conversions'!$E$4</f>
        <v>3870.4875875356902</v>
      </c>
      <c r="F5" s="545" t="s">
        <v>183</v>
      </c>
      <c r="G5" s="49">
        <v>5</v>
      </c>
      <c r="H5" s="549" t="s">
        <v>277</v>
      </c>
      <c r="I5" s="49">
        <v>74</v>
      </c>
      <c r="J5" s="545">
        <v>46</v>
      </c>
      <c r="K5" s="550">
        <f>INDEX($B5:$E5,MATCH(Graphs!$B$1,$B$1:$E$1,0))</f>
        <v>2431.0375860902577</v>
      </c>
      <c r="L5" t="s">
        <v>278</v>
      </c>
    </row>
    <row r="6" spans="1:12">
      <c r="A6" t="s">
        <v>279</v>
      </c>
      <c r="B6" s="27">
        <f>SUM('EPS China Non-Energy Fuel Use'!D7,'EPS China Non-Energy Fuel Use'!D10)/10^12*'Unit Conversions'!$E$4</f>
        <v>714.10300803934615</v>
      </c>
      <c r="C6" s="540">
        <f>B6*(SUM('Energy Use Data'!$B$32:$I$32)/SUM('Energy Use Data'!$B$14:$I$14))</f>
        <v>7.7023602321459457</v>
      </c>
      <c r="D6" s="27">
        <f>'Vietnam Energy Use'!B253</f>
        <v>9.3824595983557408</v>
      </c>
      <c r="E6" s="27">
        <f>'AEO T27 Chemicals'!C33*'Unit Conversions'!$E$4</f>
        <v>553.16613903116365</v>
      </c>
      <c r="F6" s="545" t="s">
        <v>183</v>
      </c>
      <c r="G6" s="49">
        <v>5</v>
      </c>
      <c r="H6" s="549" t="s">
        <v>274</v>
      </c>
      <c r="I6" s="49">
        <v>74</v>
      </c>
      <c r="J6" s="545">
        <v>46</v>
      </c>
      <c r="K6" s="550">
        <f>INDEX($B6:$E6,MATCH(Graphs!$B$1,$B$1:$E$1,0))</f>
        <v>714.10300803934615</v>
      </c>
    </row>
    <row r="7" spans="1:12">
      <c r="A7" s="552"/>
      <c r="B7" s="552"/>
      <c r="C7" s="552"/>
      <c r="D7" s="552"/>
      <c r="E7" s="552"/>
      <c r="F7" s="553"/>
      <c r="G7" s="554"/>
      <c r="H7" s="554"/>
      <c r="I7" s="554"/>
      <c r="J7" s="555"/>
      <c r="K7" s="555"/>
      <c r="L7" s="552"/>
    </row>
    <row r="8" spans="1:12">
      <c r="A8" s="535" t="s">
        <v>280</v>
      </c>
      <c r="B8" s="27"/>
      <c r="F8" s="545"/>
      <c r="K8" s="550"/>
    </row>
    <row r="9" spans="1:12">
      <c r="A9" t="s">
        <v>281</v>
      </c>
      <c r="B9" s="50">
        <f>274.7/820.3</f>
        <v>0.33487748384737293</v>
      </c>
      <c r="C9" s="46">
        <f>$B9</f>
        <v>0.33487748384737293</v>
      </c>
      <c r="D9" s="46">
        <f t="shared" ref="D9:E9" si="0">$B9</f>
        <v>0.33487748384737293</v>
      </c>
      <c r="E9" s="46">
        <f t="shared" si="0"/>
        <v>0.33487748384737293</v>
      </c>
      <c r="F9" s="545" t="s">
        <v>282</v>
      </c>
      <c r="G9" s="49">
        <v>6</v>
      </c>
      <c r="H9" s="49">
        <v>6</v>
      </c>
      <c r="I9" s="49">
        <v>6</v>
      </c>
      <c r="J9" s="545">
        <v>6</v>
      </c>
      <c r="K9" s="551">
        <f>INDEX($B9:$E9,MATCH(Graphs!$B$1,$B$1:$E$1,0))</f>
        <v>0.33487748384737293</v>
      </c>
      <c r="L9" t="s">
        <v>283</v>
      </c>
    </row>
    <row r="10" spans="1:12">
      <c r="A10" t="s">
        <v>284</v>
      </c>
      <c r="B10" s="50">
        <f>(222.2+107.2)/820.3</f>
        <v>0.40156040472997684</v>
      </c>
      <c r="C10" s="46">
        <f t="shared" ref="C10:E11" si="1">$B10</f>
        <v>0.40156040472997684</v>
      </c>
      <c r="D10" s="46">
        <f t="shared" si="1"/>
        <v>0.40156040472997684</v>
      </c>
      <c r="E10" s="46">
        <f t="shared" si="1"/>
        <v>0.40156040472997684</v>
      </c>
      <c r="F10" s="545" t="s">
        <v>282</v>
      </c>
      <c r="G10" s="49">
        <v>6</v>
      </c>
      <c r="H10" s="49">
        <v>6</v>
      </c>
      <c r="I10" s="49">
        <v>6</v>
      </c>
      <c r="J10" s="545">
        <v>6</v>
      </c>
      <c r="K10" s="551">
        <f>INDEX($B10:$E10,MATCH(Graphs!$B$1,$B$1:$E$1,0))</f>
        <v>0.40156040472997684</v>
      </c>
      <c r="L10" t="s">
        <v>283</v>
      </c>
    </row>
    <row r="11" spans="1:12">
      <c r="A11" t="s">
        <v>285</v>
      </c>
      <c r="B11" s="50">
        <f>1-SUM(B9:B10)</f>
        <v>0.26356211142265029</v>
      </c>
      <c r="C11" s="46">
        <f t="shared" si="1"/>
        <v>0.26356211142265029</v>
      </c>
      <c r="D11" s="46">
        <f t="shared" si="1"/>
        <v>0.26356211142265029</v>
      </c>
      <c r="E11" s="46">
        <f t="shared" si="1"/>
        <v>0.26356211142265029</v>
      </c>
      <c r="F11" s="545" t="s">
        <v>282</v>
      </c>
      <c r="G11" s="49">
        <v>6</v>
      </c>
      <c r="H11" s="49">
        <v>6</v>
      </c>
      <c r="I11" s="49">
        <v>6</v>
      </c>
      <c r="J11" s="545">
        <v>6</v>
      </c>
      <c r="K11" s="551">
        <f>INDEX($B11:$E11,MATCH(Graphs!$B$1,$B$1:$E$1,0))</f>
        <v>0.26356211142265029</v>
      </c>
      <c r="L11" t="s">
        <v>283</v>
      </c>
    </row>
    <row r="12" spans="1:12">
      <c r="A12" s="552"/>
      <c r="B12" s="552"/>
      <c r="C12" s="552"/>
      <c r="D12" s="552"/>
      <c r="E12" s="552"/>
      <c r="F12" s="553"/>
      <c r="G12" s="554"/>
      <c r="H12" s="554"/>
      <c r="I12" s="554"/>
      <c r="J12" s="555"/>
      <c r="K12" s="555"/>
      <c r="L12" s="552"/>
    </row>
    <row r="13" spans="1:12">
      <c r="A13" s="535" t="s">
        <v>286</v>
      </c>
      <c r="B13" s="50"/>
      <c r="C13" s="46"/>
      <c r="D13" s="46"/>
      <c r="E13" s="46"/>
      <c r="F13" s="545"/>
      <c r="K13" s="551"/>
    </row>
    <row r="14" spans="1:12">
      <c r="A14" t="s">
        <v>287</v>
      </c>
      <c r="B14" s="790">
        <f>'CO2 Process Emis'!I4/1000</f>
        <v>979</v>
      </c>
      <c r="C14">
        <f>'CO2 Process Emis'!I5/1000</f>
        <v>29.2</v>
      </c>
      <c r="D14">
        <f>'CO2 Process Emis'!I7/1000</f>
        <v>65.3</v>
      </c>
      <c r="E14">
        <f>'CO2 Process Emis'!I6/1000</f>
        <v>66.400000000000006</v>
      </c>
      <c r="F14" s="545" t="s">
        <v>288</v>
      </c>
      <c r="G14" s="49">
        <v>67</v>
      </c>
      <c r="H14" s="49">
        <v>67</v>
      </c>
      <c r="I14" s="49">
        <v>67</v>
      </c>
      <c r="J14" s="545">
        <v>67</v>
      </c>
      <c r="K14" s="1014">
        <f>INDEX($B14:$E14,MATCH(Graphs!$B$1,$B$1:$E$1,0))</f>
        <v>979</v>
      </c>
    </row>
    <row r="15" spans="1:12">
      <c r="A15" s="552"/>
      <c r="B15" s="552"/>
      <c r="C15" s="552"/>
      <c r="D15" s="552"/>
      <c r="E15" s="552"/>
      <c r="F15" s="553"/>
      <c r="G15" s="554"/>
      <c r="H15" s="554"/>
      <c r="I15" s="554"/>
      <c r="J15" s="555"/>
      <c r="K15" s="555"/>
      <c r="L15" s="552"/>
    </row>
    <row r="16" spans="1:12">
      <c r="A16" s="535" t="s">
        <v>289</v>
      </c>
    </row>
    <row r="17" spans="1:12">
      <c r="A17" t="s">
        <v>63</v>
      </c>
      <c r="B17" s="50"/>
      <c r="C17" s="46">
        <v>0.3</v>
      </c>
      <c r="D17" s="61">
        <f>'Vietnam Demand Projections'!F39</f>
        <v>1.3245833852847344</v>
      </c>
      <c r="E17" s="50">
        <f>('AEO T25 Food'!AE15-'AEO T25 Food'!C15)/'AEO T25 Food'!C15</f>
        <v>0.35231781349727892</v>
      </c>
      <c r="F17" s="545" t="s">
        <v>282</v>
      </c>
      <c r="H17" s="49">
        <v>41</v>
      </c>
      <c r="I17" s="49">
        <v>69</v>
      </c>
      <c r="J17" s="545">
        <v>46</v>
      </c>
      <c r="K17" s="551">
        <f>INDEX($B17:$E17,MATCH(Graphs!$B$1,$B$1:$E$1,0))</f>
        <v>0</v>
      </c>
      <c r="L17" t="s">
        <v>290</v>
      </c>
    </row>
    <row r="18" spans="1:12">
      <c r="A18" t="s">
        <v>64</v>
      </c>
      <c r="B18" s="50"/>
      <c r="C18" s="46">
        <f>AVERAGE(90%,180%)</f>
        <v>1.35</v>
      </c>
      <c r="D18" s="61">
        <f>'Vietnam Demand Projections'!F40</f>
        <v>2.4093889650842772</v>
      </c>
      <c r="F18" s="545" t="s">
        <v>282</v>
      </c>
      <c r="H18" s="49">
        <v>41</v>
      </c>
      <c r="I18" s="49">
        <v>69</v>
      </c>
      <c r="K18" s="551">
        <f>INDEX($B18:$E18,MATCH(Graphs!$B$1,$B$1:$E$1,0))</f>
        <v>0</v>
      </c>
    </row>
    <row r="19" spans="1:12">
      <c r="A19" t="s">
        <v>65</v>
      </c>
      <c r="B19" s="50"/>
      <c r="C19" s="46">
        <f>C20</f>
        <v>0.9</v>
      </c>
      <c r="D19" s="61">
        <f>'Vietnam Demand Projections'!F41</f>
        <v>3.0292778678268726</v>
      </c>
      <c r="E19" s="50">
        <f>('AEO T33 Other Mfg'!AE56-'AEO T33 Other Mfg'!C56)/'AEO T33 Other Mfg'!C56</f>
        <v>1.6911493694124032E-2</v>
      </c>
      <c r="F19" s="545" t="s">
        <v>282</v>
      </c>
      <c r="H19" s="549" t="s">
        <v>291</v>
      </c>
      <c r="I19" s="49">
        <v>69</v>
      </c>
      <c r="J19" s="545">
        <v>46</v>
      </c>
      <c r="K19" s="551">
        <f>INDEX($B19:$E19,MATCH(Graphs!$B$1,$B$1:$E$1,0))</f>
        <v>0</v>
      </c>
    </row>
    <row r="20" spans="1:12">
      <c r="A20" t="s">
        <v>66</v>
      </c>
      <c r="B20" s="50"/>
      <c r="C20" s="46">
        <v>0.9</v>
      </c>
      <c r="D20" s="61">
        <f>'Vietnam Demand Projections'!F42</f>
        <v>1.4795556109703829</v>
      </c>
      <c r="E20" s="50">
        <f>('AEO T26 Paper'!AE15-'AEO T26 Paper'!C15)/'AEO T26 Paper'!C15</f>
        <v>9.4818069847961581E-2</v>
      </c>
      <c r="F20" s="545" t="s">
        <v>282</v>
      </c>
      <c r="H20" s="49">
        <v>41</v>
      </c>
      <c r="I20" s="49">
        <v>69</v>
      </c>
      <c r="J20" s="545">
        <v>46</v>
      </c>
      <c r="K20" s="551">
        <f>INDEX($B20:$E20,MATCH(Graphs!$B$1,$B$1:$E$1,0))</f>
        <v>0</v>
      </c>
    </row>
    <row r="21" spans="1:12">
      <c r="A21" t="s">
        <v>67</v>
      </c>
      <c r="B21" s="50">
        <f>'Refining Demand Projection'!$B$83</f>
        <v>2.7322404371584699E-2</v>
      </c>
      <c r="C21" s="50">
        <f>'Refining Demand Projection'!$B$83</f>
        <v>2.7322404371584699E-2</v>
      </c>
      <c r="D21" s="50">
        <f>'Refining Demand Projection'!$B$83</f>
        <v>2.7322404371584699E-2</v>
      </c>
      <c r="E21" s="938">
        <f>('AEO T24 Refining'!AE15-'AEO T24 Refining'!C15)/'AEO T24 Refining'!C15</f>
        <v>8.2575953947306671E-2</v>
      </c>
      <c r="F21" s="545" t="s">
        <v>282</v>
      </c>
      <c r="G21" s="49">
        <v>24</v>
      </c>
      <c r="H21" s="49">
        <v>24</v>
      </c>
      <c r="I21" s="49">
        <v>24</v>
      </c>
      <c r="J21" s="545">
        <v>46</v>
      </c>
      <c r="K21" s="551">
        <f>INDEX($B21:$E21,MATCH(Graphs!$B$1,$B$1:$E$1,0))</f>
        <v>2.7322404371584699E-2</v>
      </c>
      <c r="L21" t="s">
        <v>292</v>
      </c>
    </row>
    <row r="22" spans="1:12">
      <c r="A22" t="s">
        <v>68</v>
      </c>
      <c r="B22" s="50">
        <f>B36</f>
        <v>0.45422656140354467</v>
      </c>
      <c r="C22" s="50">
        <f>C36</f>
        <v>0.44501743059774196</v>
      </c>
      <c r="D22" s="61">
        <f>'Vietnam Demand Projections'!F44</f>
        <v>2.4093889650842772</v>
      </c>
      <c r="E22" s="50">
        <f>('AEO T27 Chemicals'!AE15-'AEO T27 Chemicals'!C15)/'AEO T27 Chemicals'!C15</f>
        <v>0.38927696388587524</v>
      </c>
      <c r="F22" s="545" t="s">
        <v>282</v>
      </c>
      <c r="G22" s="49" t="s">
        <v>293</v>
      </c>
      <c r="H22" s="49" t="s">
        <v>293</v>
      </c>
      <c r="I22" s="49">
        <v>69</v>
      </c>
      <c r="J22" s="545">
        <v>46</v>
      </c>
      <c r="K22" s="551">
        <f>INDEX($B22:$E22,MATCH(Graphs!$B$1,$B$1:$E$1,0))</f>
        <v>0.45422656140354467</v>
      </c>
      <c r="L22" t="s">
        <v>294</v>
      </c>
    </row>
    <row r="23" spans="1:12">
      <c r="A23" t="s">
        <v>69</v>
      </c>
      <c r="B23" s="50">
        <f>B34</f>
        <v>0.97478991596638653</v>
      </c>
      <c r="C23" s="50">
        <f>AVERAGE(B23,D23)</f>
        <v>1.6920894405253315</v>
      </c>
      <c r="D23" s="61">
        <f>'Vietnam Demand Projections'!F45</f>
        <v>2.4093889650842764</v>
      </c>
      <c r="E23" s="50">
        <f>('AEO T33 Other Mfg'!AE57-'AEO T33 Other Mfg'!C57)/'AEO T33 Other Mfg'!C57</f>
        <v>0.5229162684522084</v>
      </c>
      <c r="F23" s="545" t="s">
        <v>282</v>
      </c>
      <c r="G23" s="49">
        <v>7</v>
      </c>
      <c r="H23" s="549" t="s">
        <v>295</v>
      </c>
      <c r="I23" s="49">
        <v>69</v>
      </c>
      <c r="J23" s="545">
        <v>46</v>
      </c>
      <c r="K23" s="551">
        <f>INDEX($B23:$E23,MATCH(Graphs!$B$1,$B$1:$E$1,0))</f>
        <v>0.97478991596638653</v>
      </c>
    </row>
    <row r="24" spans="1:12">
      <c r="A24" t="s">
        <v>70</v>
      </c>
      <c r="B24" s="50">
        <f>-(2404-1698)/2404</f>
        <v>-0.29367720465890185</v>
      </c>
      <c r="C24" s="46">
        <v>0.37425481210250217</v>
      </c>
      <c r="D24" s="61">
        <f>'Vietnam Demand Projections'!F46</f>
        <v>0.23977780548519165</v>
      </c>
      <c r="E24" s="50">
        <f>('AEO T29 Cement'!AE15-'AEO T29 Cement'!C15)/'AEO T29 Cement'!C15</f>
        <v>0.22968226532048652</v>
      </c>
      <c r="F24" s="545" t="s">
        <v>282</v>
      </c>
      <c r="G24" s="49" t="s">
        <v>296</v>
      </c>
      <c r="H24" s="49">
        <v>41</v>
      </c>
      <c r="I24" s="49">
        <v>69</v>
      </c>
      <c r="J24" s="545">
        <v>46</v>
      </c>
      <c r="K24" s="551">
        <f>INDEX($B24:$E24,MATCH(Graphs!$B$1,$B$1:$E$1,0))</f>
        <v>-0.29367720465890185</v>
      </c>
    </row>
    <row r="25" spans="1:12">
      <c r="A25" t="s">
        <v>71</v>
      </c>
      <c r="B25" s="50">
        <f>-450/2103</f>
        <v>-0.21398002853067047</v>
      </c>
      <c r="C25" s="46">
        <v>0.9</v>
      </c>
      <c r="D25" s="61">
        <f>'Vietnam Demand Projections'!F47</f>
        <v>1.4795556109703831</v>
      </c>
      <c r="E25" s="50">
        <f>('AEO T30 Steel'!AE15-'AEO T30 Steel'!C15)/'AEO T30 Steel'!C15</f>
        <v>0.1435547751522244</v>
      </c>
      <c r="F25" s="545" t="s">
        <v>282</v>
      </c>
      <c r="G25" s="49">
        <v>2</v>
      </c>
      <c r="H25" s="49">
        <v>41</v>
      </c>
      <c r="I25" s="49">
        <v>69</v>
      </c>
      <c r="J25" s="545">
        <v>46</v>
      </c>
      <c r="K25" s="551">
        <f>INDEX($B25:$E25,MATCH(Graphs!$B$1,$B$1:$E$1,0))</f>
        <v>-0.21398002853067047</v>
      </c>
    </row>
    <row r="26" spans="1:12">
      <c r="A26" t="s">
        <v>72</v>
      </c>
      <c r="B26" s="50">
        <v>0.15</v>
      </c>
      <c r="C26" s="46">
        <f t="shared" ref="C26:C31" si="2">$C$25</f>
        <v>0.9</v>
      </c>
      <c r="D26" s="61">
        <f>'Vietnam Demand Projections'!F48</f>
        <v>1.4795556109703831</v>
      </c>
      <c r="E26" s="50">
        <f>('AEO T31 Aluminum'!AE15-'AEO T31 Aluminum'!C15)/'AEO T31 Aluminum'!C15</f>
        <v>0.36277748974174467</v>
      </c>
      <c r="F26" s="545" t="s">
        <v>282</v>
      </c>
      <c r="G26" s="49">
        <v>9</v>
      </c>
      <c r="H26" s="549" t="s">
        <v>297</v>
      </c>
      <c r="I26" s="49">
        <v>69</v>
      </c>
      <c r="J26" s="545">
        <v>46</v>
      </c>
      <c r="K26" s="551">
        <f>INDEX($B26:$E26,MATCH(Graphs!$B$1,$B$1:$E$1,0))</f>
        <v>0.15</v>
      </c>
    </row>
    <row r="27" spans="1:12">
      <c r="A27" t="s">
        <v>73</v>
      </c>
      <c r="B27" s="50">
        <f>-450/2103</f>
        <v>-0.21398002853067047</v>
      </c>
      <c r="C27" s="46">
        <f t="shared" si="2"/>
        <v>0.9</v>
      </c>
      <c r="D27" s="61">
        <f>'Vietnam Demand Projections'!F49</f>
        <v>2.7193334164555742</v>
      </c>
      <c r="E27" s="50">
        <f>('AEO T32 Metal Prods'!AE80-'AEO T32 Metal Prods'!C80)/'AEO T32 Metal Prods'!C80</f>
        <v>0.46565661191355617</v>
      </c>
      <c r="F27" s="545" t="s">
        <v>282</v>
      </c>
      <c r="G27" s="49">
        <v>2</v>
      </c>
      <c r="H27" s="549" t="s">
        <v>297</v>
      </c>
      <c r="I27" s="49">
        <v>69</v>
      </c>
      <c r="J27" s="545">
        <v>46</v>
      </c>
      <c r="K27" s="551">
        <f>INDEX($B27:$E27,MATCH(Graphs!$B$1,$B$1:$E$1,0))</f>
        <v>-0.21398002853067047</v>
      </c>
    </row>
    <row r="28" spans="1:12">
      <c r="A28" t="s">
        <v>74</v>
      </c>
      <c r="B28" s="50">
        <f>-450/2103</f>
        <v>-0.21398002853067047</v>
      </c>
      <c r="C28" s="46">
        <f t="shared" si="2"/>
        <v>0.9</v>
      </c>
      <c r="D28" s="61">
        <f>'Vietnam Demand Projections'!F50</f>
        <v>5.5088334787972553</v>
      </c>
      <c r="E28" s="50">
        <f>('AEO T32 Metal Prods'!AE82-'AEO T32 Metal Prods'!C82)/'AEO T32 Metal Prods'!C82</f>
        <v>0.49001624784479186</v>
      </c>
      <c r="F28" s="545" t="s">
        <v>282</v>
      </c>
      <c r="G28" s="49">
        <v>2</v>
      </c>
      <c r="H28" s="549" t="s">
        <v>297</v>
      </c>
      <c r="I28" s="49">
        <v>69</v>
      </c>
      <c r="J28" s="545">
        <v>46</v>
      </c>
      <c r="K28" s="551">
        <f>INDEX($B28:$E28,MATCH(Graphs!$B$1,$B$1:$E$1,0))</f>
        <v>-0.21398002853067047</v>
      </c>
    </row>
    <row r="29" spans="1:12">
      <c r="A29" t="s">
        <v>75</v>
      </c>
      <c r="B29" s="50">
        <f>-450/2103</f>
        <v>-0.21398002853067047</v>
      </c>
      <c r="C29" s="46">
        <f t="shared" si="2"/>
        <v>0.9</v>
      </c>
      <c r="D29" s="61">
        <f>'Vietnam Demand Projections'!F51</f>
        <v>2.4093889650842768</v>
      </c>
      <c r="E29" s="50">
        <f>(SUM('AEO T32 Metal Prods'!AE81,'AEO T32 Metal Prods'!AE83)-SUM('AEO T32 Metal Prods'!C81,'AEO T32 Metal Prods'!C83))/SUM('AEO T32 Metal Prods'!C81,'AEO T32 Metal Prods'!C83)</f>
        <v>0.94518727394791402</v>
      </c>
      <c r="F29" s="545" t="s">
        <v>282</v>
      </c>
      <c r="G29" s="49">
        <v>2</v>
      </c>
      <c r="H29" s="549" t="s">
        <v>297</v>
      </c>
      <c r="I29" s="49">
        <v>69</v>
      </c>
      <c r="J29" s="545">
        <v>46</v>
      </c>
      <c r="K29" s="551">
        <f>INDEX($B29:$E29,MATCH(Graphs!$B$1,$B$1:$E$1,0))</f>
        <v>-0.21398002853067047</v>
      </c>
    </row>
    <row r="30" spans="1:12">
      <c r="A30" t="s">
        <v>76</v>
      </c>
      <c r="B30" s="50">
        <f>-450/2103</f>
        <v>-0.21398002853067047</v>
      </c>
      <c r="C30" s="46">
        <f t="shared" si="2"/>
        <v>0.9</v>
      </c>
      <c r="D30" s="61">
        <f>'Vietnam Demand Projections'!F52</f>
        <v>1.4795556109703831</v>
      </c>
      <c r="E30" s="50">
        <f>('AEO T32 Metal Prods'!AE79-'AEO T32 Metal Prods'!C79)/'AEO T32 Metal Prods'!C79</f>
        <v>0.42603279771327823</v>
      </c>
      <c r="F30" s="545" t="s">
        <v>282</v>
      </c>
      <c r="G30" s="49">
        <v>2</v>
      </c>
      <c r="H30" s="549" t="s">
        <v>297</v>
      </c>
      <c r="I30" s="49">
        <v>69</v>
      </c>
      <c r="J30" s="545">
        <v>46</v>
      </c>
      <c r="K30" s="551">
        <f>INDEX($B30:$E30,MATCH(Graphs!$B$1,$B$1:$E$1,0))</f>
        <v>-0.21398002853067047</v>
      </c>
    </row>
    <row r="31" spans="1:12">
      <c r="A31" t="s">
        <v>77</v>
      </c>
      <c r="B31" s="50"/>
      <c r="C31" s="46">
        <f t="shared" si="2"/>
        <v>0.9</v>
      </c>
      <c r="D31" s="61">
        <f>'Vietnam Demand Projections'!F53</f>
        <v>3.6491667705694679</v>
      </c>
      <c r="E31" s="50">
        <f>('AEO T33 Other Mfg'!AE58-'AEO T33 Other Mfg'!C58)/'AEO T33 Other Mfg'!C58</f>
        <v>0.4438137724239628</v>
      </c>
      <c r="F31" s="545" t="s">
        <v>282</v>
      </c>
      <c r="H31" s="549" t="s">
        <v>297</v>
      </c>
      <c r="I31" s="49">
        <v>69</v>
      </c>
      <c r="J31" s="545">
        <v>46</v>
      </c>
      <c r="K31" s="551">
        <f>INDEX($B31:$E31,MATCH(Graphs!$B$1,$B$1:$E$1,0))</f>
        <v>0</v>
      </c>
    </row>
    <row r="32" spans="1:12">
      <c r="A32" s="548" t="s">
        <v>298</v>
      </c>
      <c r="F32" s="545"/>
      <c r="K32" s="551"/>
    </row>
    <row r="33" spans="1:12">
      <c r="A33" t="s">
        <v>281</v>
      </c>
      <c r="B33" s="46">
        <f>(57-48)/48</f>
        <v>0.1875</v>
      </c>
      <c r="C33" s="46">
        <v>0.16</v>
      </c>
      <c r="D33" s="46"/>
      <c r="F33" s="545" t="s">
        <v>282</v>
      </c>
      <c r="G33" s="49">
        <v>26</v>
      </c>
      <c r="H33" s="49">
        <v>41</v>
      </c>
      <c r="K33" s="551"/>
      <c r="L33" t="s">
        <v>299</v>
      </c>
    </row>
    <row r="34" spans="1:12">
      <c r="A34" t="s">
        <v>284</v>
      </c>
      <c r="B34" s="50">
        <f>-(119-235)/119</f>
        <v>0.97478991596638653</v>
      </c>
      <c r="C34" s="544">
        <f>$B34</f>
        <v>0.97478991596638653</v>
      </c>
      <c r="D34" s="46"/>
      <c r="F34" s="545" t="s">
        <v>282</v>
      </c>
      <c r="G34" s="49">
        <v>7</v>
      </c>
      <c r="H34" s="549" t="s">
        <v>300</v>
      </c>
      <c r="K34" s="551"/>
      <c r="L34" t="s">
        <v>299</v>
      </c>
    </row>
    <row r="35" spans="1:12">
      <c r="A35" t="s">
        <v>285</v>
      </c>
      <c r="C35" s="46"/>
      <c r="F35" s="545" t="s">
        <v>282</v>
      </c>
      <c r="H35" s="49">
        <v>41</v>
      </c>
      <c r="K35" s="551"/>
      <c r="L35" t="s">
        <v>301</v>
      </c>
    </row>
    <row r="36" spans="1:12">
      <c r="A36" s="23" t="s">
        <v>302</v>
      </c>
      <c r="B36" s="547">
        <f>SUMPRODUCT(B33:B35,B$9:B$11)</f>
        <v>0.45422656140354467</v>
      </c>
      <c r="C36" s="547">
        <f>SUMPRODUCT(C33:C35,C$9:C$11)</f>
        <v>0.44501743059774196</v>
      </c>
      <c r="D36" s="547">
        <f>SUMPRODUCT(D33:D35,D$9:D$11)</f>
        <v>0</v>
      </c>
      <c r="E36" s="547">
        <f>SUMPRODUCT(E33:E35,E$9:E$11)</f>
        <v>0</v>
      </c>
      <c r="F36" s="545" t="s">
        <v>282</v>
      </c>
      <c r="L36" t="s">
        <v>299</v>
      </c>
    </row>
    <row r="37" spans="1:12">
      <c r="A37" s="552"/>
      <c r="B37" s="552"/>
      <c r="C37" s="552"/>
      <c r="D37" s="552"/>
      <c r="E37" s="552"/>
      <c r="F37" s="553"/>
      <c r="G37" s="554"/>
      <c r="H37" s="554"/>
      <c r="I37" s="554"/>
      <c r="J37" s="555"/>
      <c r="K37" s="555"/>
      <c r="L37" s="552"/>
    </row>
    <row r="38" spans="1:12">
      <c r="A38" s="535" t="s">
        <v>303</v>
      </c>
    </row>
    <row r="39" spans="1:12">
      <c r="A39" t="s">
        <v>63</v>
      </c>
      <c r="B39" s="46"/>
      <c r="F39" s="545" t="s">
        <v>282</v>
      </c>
      <c r="K39" s="551">
        <f>INDEX($B39:$E39,MATCH(Graphs!$B$1,$B$1:$E$1,0))</f>
        <v>0</v>
      </c>
    </row>
    <row r="40" spans="1:12">
      <c r="A40" t="s">
        <v>64</v>
      </c>
      <c r="F40" s="545" t="s">
        <v>282</v>
      </c>
      <c r="K40" s="551">
        <f>INDEX($B40:$E40,MATCH(Graphs!$B$1,$B$1:$E$1,0))</f>
        <v>0</v>
      </c>
    </row>
    <row r="41" spans="1:12">
      <c r="A41" t="s">
        <v>65</v>
      </c>
      <c r="F41" s="545" t="s">
        <v>282</v>
      </c>
      <c r="K41" s="551">
        <f>INDEX($B41:$E41,MATCH(Graphs!$B$1,$B$1:$E$1,0))</f>
        <v>0</v>
      </c>
    </row>
    <row r="42" spans="1:12">
      <c r="A42" t="s">
        <v>66</v>
      </c>
      <c r="B42" s="46">
        <v>0.05</v>
      </c>
      <c r="C42" s="46">
        <v>0.09</v>
      </c>
      <c r="D42" s="46">
        <v>0.1</v>
      </c>
      <c r="E42" s="46">
        <v>0.15</v>
      </c>
      <c r="F42" s="545" t="s">
        <v>282</v>
      </c>
      <c r="G42" s="49">
        <v>25</v>
      </c>
      <c r="H42" s="49">
        <v>41</v>
      </c>
      <c r="I42" s="49">
        <v>76</v>
      </c>
      <c r="J42" s="545">
        <v>65</v>
      </c>
      <c r="K42" s="551">
        <f>INDEX($B42:$E42,MATCH(Graphs!$B$1,$B$1:$E$1,0))</f>
        <v>0.05</v>
      </c>
    </row>
    <row r="43" spans="1:12">
      <c r="A43" t="s">
        <v>67</v>
      </c>
      <c r="F43" s="545" t="s">
        <v>282</v>
      </c>
      <c r="K43" s="551">
        <f>INDEX($B43:$E43,MATCH(Graphs!$B$1,$B$1:$E$1,0))</f>
        <v>0</v>
      </c>
    </row>
    <row r="44" spans="1:12">
      <c r="A44" t="s">
        <v>68</v>
      </c>
      <c r="B44" s="46">
        <f>B58</f>
        <v>0.23796899294438706</v>
      </c>
      <c r="C44" s="46">
        <f>C58</f>
        <v>0.1382166280629038</v>
      </c>
      <c r="D44" s="46">
        <v>0.1</v>
      </c>
      <c r="E44" s="46">
        <f>E58</f>
        <v>7.7982567353407292E-2</v>
      </c>
      <c r="F44" s="545" t="s">
        <v>282</v>
      </c>
      <c r="G44" s="49" t="s">
        <v>293</v>
      </c>
      <c r="H44" s="49" t="s">
        <v>293</v>
      </c>
      <c r="I44" s="49">
        <v>76</v>
      </c>
      <c r="J44" s="545" t="s">
        <v>293</v>
      </c>
      <c r="K44" s="551">
        <f>INDEX($B44:$E44,MATCH(Graphs!$B$1,$B$1:$E$1,0))</f>
        <v>0.23796899294438706</v>
      </c>
      <c r="L44" t="s">
        <v>304</v>
      </c>
    </row>
    <row r="45" spans="1:12">
      <c r="A45" t="s">
        <v>69</v>
      </c>
      <c r="B45" s="46"/>
      <c r="F45" s="545" t="s">
        <v>282</v>
      </c>
      <c r="K45" s="551">
        <f>INDEX($B45:$E45,MATCH(Graphs!$B$1,$B$1:$E$1,0))</f>
        <v>0</v>
      </c>
    </row>
    <row r="46" spans="1:12">
      <c r="A46" t="s">
        <v>70</v>
      </c>
      <c r="B46" s="46">
        <v>0.22</v>
      </c>
      <c r="C46" s="56">
        <v>0.10887001358983474</v>
      </c>
      <c r="D46" s="46">
        <v>0.1</v>
      </c>
      <c r="E46" s="46">
        <v>0.15</v>
      </c>
      <c r="F46" s="545" t="s">
        <v>282</v>
      </c>
      <c r="G46" s="49">
        <v>3</v>
      </c>
      <c r="H46" s="49">
        <v>41</v>
      </c>
      <c r="I46" s="49">
        <v>76</v>
      </c>
      <c r="J46" s="545">
        <v>65</v>
      </c>
      <c r="K46" s="551">
        <f>INDEX($B46:$E46,MATCH(Graphs!$B$1,$B$1:$E$1,0))</f>
        <v>0.22</v>
      </c>
    </row>
    <row r="47" spans="1:12">
      <c r="A47" t="s">
        <v>71</v>
      </c>
      <c r="B47" s="46">
        <v>0.13</v>
      </c>
      <c r="C47" s="56">
        <v>5.609124466638455E-2</v>
      </c>
      <c r="D47" s="46">
        <v>0.1</v>
      </c>
      <c r="E47" s="46">
        <v>0.15</v>
      </c>
      <c r="F47" s="545" t="s">
        <v>282</v>
      </c>
      <c r="G47" s="49">
        <v>2</v>
      </c>
      <c r="H47" s="49">
        <v>41</v>
      </c>
      <c r="I47" s="49">
        <v>76</v>
      </c>
      <c r="J47" s="545">
        <v>65</v>
      </c>
      <c r="K47" s="551">
        <f>INDEX($B47:$E47,MATCH(Graphs!$B$1,$B$1:$E$1,0))</f>
        <v>0.13</v>
      </c>
    </row>
    <row r="48" spans="1:12">
      <c r="A48" t="s">
        <v>72</v>
      </c>
      <c r="B48" s="46">
        <v>0.13</v>
      </c>
      <c r="C48" s="544">
        <f>C47</f>
        <v>5.609124466638455E-2</v>
      </c>
      <c r="D48" s="46">
        <v>0.1</v>
      </c>
      <c r="E48" s="46">
        <v>0.15</v>
      </c>
      <c r="F48" s="545" t="s">
        <v>282</v>
      </c>
      <c r="G48" s="49">
        <v>2</v>
      </c>
      <c r="H48" s="549" t="s">
        <v>297</v>
      </c>
      <c r="I48" s="49">
        <v>76</v>
      </c>
      <c r="J48" s="545">
        <v>65</v>
      </c>
      <c r="K48" s="551">
        <f>INDEX($B48:$E48,MATCH(Graphs!$B$1,$B$1:$E$1,0))</f>
        <v>0.13</v>
      </c>
    </row>
    <row r="49" spans="1:12">
      <c r="A49" t="s">
        <v>73</v>
      </c>
      <c r="B49" s="46"/>
      <c r="F49" s="545" t="s">
        <v>282</v>
      </c>
      <c r="K49" s="551">
        <f>INDEX($B49:$E49,MATCH(Graphs!$B$1,$B$1:$E$1,0))</f>
        <v>0</v>
      </c>
    </row>
    <row r="50" spans="1:12">
      <c r="A50" t="s">
        <v>74</v>
      </c>
      <c r="B50" s="46"/>
      <c r="F50" s="545" t="s">
        <v>282</v>
      </c>
      <c r="K50" s="551">
        <f>INDEX($B50:$E50,MATCH(Graphs!$B$1,$B$1:$E$1,0))</f>
        <v>0</v>
      </c>
    </row>
    <row r="51" spans="1:12">
      <c r="A51" t="s">
        <v>75</v>
      </c>
      <c r="B51" s="46"/>
      <c r="F51" s="545" t="s">
        <v>282</v>
      </c>
      <c r="K51" s="551">
        <f>INDEX($B51:$E51,MATCH(Graphs!$B$1,$B$1:$E$1,0))</f>
        <v>0</v>
      </c>
    </row>
    <row r="52" spans="1:12">
      <c r="A52" t="s">
        <v>76</v>
      </c>
      <c r="B52" s="46"/>
      <c r="F52" s="545" t="s">
        <v>282</v>
      </c>
      <c r="K52" s="551">
        <f>INDEX($B52:$E52,MATCH(Graphs!$B$1,$B$1:$E$1,0))</f>
        <v>0</v>
      </c>
    </row>
    <row r="53" spans="1:12">
      <c r="A53" t="s">
        <v>77</v>
      </c>
      <c r="F53" s="545" t="s">
        <v>282</v>
      </c>
      <c r="K53" s="551">
        <f>INDEX($B53:$E53,MATCH(Graphs!$B$1,$B$1:$E$1,0))</f>
        <v>0</v>
      </c>
    </row>
    <row r="54" spans="1:12">
      <c r="A54" s="548" t="s">
        <v>298</v>
      </c>
      <c r="F54" s="545"/>
    </row>
    <row r="55" spans="1:12">
      <c r="A55" t="s">
        <v>281</v>
      </c>
      <c r="B55" s="46">
        <f>20/57</f>
        <v>0.35087719298245612</v>
      </c>
      <c r="C55" s="61">
        <v>5.2999999999999999E-2</v>
      </c>
      <c r="D55" s="774">
        <f>C55</f>
        <v>5.2999999999999999E-2</v>
      </c>
      <c r="E55" s="61">
        <f>C55</f>
        <v>5.2999999999999999E-2</v>
      </c>
      <c r="F55" s="545" t="s">
        <v>282</v>
      </c>
      <c r="G55" s="49">
        <v>26</v>
      </c>
      <c r="H55" s="49">
        <v>41</v>
      </c>
      <c r="I55" s="549" t="s">
        <v>305</v>
      </c>
      <c r="J55" s="961" t="s">
        <v>305</v>
      </c>
      <c r="L55" t="s">
        <v>299</v>
      </c>
    </row>
    <row r="56" spans="1:12">
      <c r="A56" t="s">
        <v>284</v>
      </c>
      <c r="B56" s="46">
        <v>0.3</v>
      </c>
      <c r="C56" s="46">
        <v>0.3</v>
      </c>
      <c r="D56" s="46">
        <v>0.3</v>
      </c>
      <c r="E56" s="46">
        <v>0.15</v>
      </c>
      <c r="F56" s="545" t="s">
        <v>282</v>
      </c>
      <c r="G56" s="49">
        <v>8</v>
      </c>
      <c r="H56" s="49">
        <v>8</v>
      </c>
      <c r="I56" s="49">
        <v>8</v>
      </c>
      <c r="J56" s="545">
        <v>65</v>
      </c>
      <c r="L56" t="s">
        <v>306</v>
      </c>
    </row>
    <row r="57" spans="1:12">
      <c r="A57" t="s">
        <v>285</v>
      </c>
      <c r="F57" s="545" t="s">
        <v>282</v>
      </c>
      <c r="L57" t="s">
        <v>299</v>
      </c>
    </row>
    <row r="58" spans="1:12">
      <c r="A58" s="23" t="s">
        <v>302</v>
      </c>
      <c r="B58" s="547">
        <f>SUMPRODUCT(B55:B57,B$9:B$11)</f>
        <v>0.23796899294438706</v>
      </c>
      <c r="C58" s="547">
        <f>SUMPRODUCT(C55:C57,C$9:C$11)</f>
        <v>0.1382166280629038</v>
      </c>
      <c r="D58" s="547">
        <f>SUMPRODUCT(D55:D57,D$9:D$11)</f>
        <v>0.1382166280629038</v>
      </c>
      <c r="E58" s="547">
        <f>SUMPRODUCT(E55:E57,E$9:E$11)</f>
        <v>7.7982567353407292E-2</v>
      </c>
      <c r="F58" s="545" t="s">
        <v>282</v>
      </c>
      <c r="L58" t="s">
        <v>299</v>
      </c>
    </row>
    <row r="59" spans="1:12">
      <c r="A59" s="552"/>
      <c r="B59" s="552"/>
      <c r="C59" s="552"/>
      <c r="D59" s="552"/>
      <c r="E59" s="552"/>
      <c r="F59" s="553"/>
      <c r="G59" s="554"/>
      <c r="H59" s="554"/>
      <c r="I59" s="554"/>
      <c r="J59" s="555"/>
      <c r="K59" s="555"/>
      <c r="L59" s="552"/>
    </row>
    <row r="60" spans="1:12">
      <c r="A60" s="535" t="s">
        <v>307</v>
      </c>
    </row>
    <row r="61" spans="1:12">
      <c r="A61" t="s">
        <v>63</v>
      </c>
      <c r="F61" s="545" t="s">
        <v>282</v>
      </c>
      <c r="K61" s="551">
        <f>INDEX($B61:$E61,MATCH(Graphs!$B$1,$B$1:$E$1,0))</f>
        <v>0</v>
      </c>
    </row>
    <row r="62" spans="1:12">
      <c r="A62" t="s">
        <v>64</v>
      </c>
      <c r="C62" s="46">
        <v>7.0000000000000007E-2</v>
      </c>
      <c r="F62" s="545" t="s">
        <v>282</v>
      </c>
      <c r="H62" s="549" t="s">
        <v>308</v>
      </c>
      <c r="K62" s="551">
        <f>INDEX($B62:$E62,MATCH(Graphs!$B$1,$B$1:$E$1,0))</f>
        <v>0</v>
      </c>
    </row>
    <row r="63" spans="1:12">
      <c r="A63" t="s">
        <v>65</v>
      </c>
      <c r="F63" s="545" t="s">
        <v>282</v>
      </c>
      <c r="K63" s="551">
        <f>INDEX($B63:$E63,MATCH(Graphs!$B$1,$B$1:$E$1,0))</f>
        <v>0</v>
      </c>
    </row>
    <row r="64" spans="1:12">
      <c r="A64" t="s">
        <v>66</v>
      </c>
      <c r="F64" s="545" t="s">
        <v>282</v>
      </c>
      <c r="K64" s="551">
        <f>INDEX($B64:$E64,MATCH(Graphs!$B$1,$B$1:$E$1,0))</f>
        <v>0</v>
      </c>
    </row>
    <row r="65" spans="1:12">
      <c r="A65" t="s">
        <v>67</v>
      </c>
      <c r="F65" s="545" t="s">
        <v>282</v>
      </c>
      <c r="K65" s="551">
        <f>INDEX($B65:$E65,MATCH(Graphs!$B$1,$B$1:$E$1,0))</f>
        <v>0</v>
      </c>
    </row>
    <row r="66" spans="1:12">
      <c r="A66" t="s">
        <v>68</v>
      </c>
      <c r="F66" s="545" t="s">
        <v>282</v>
      </c>
      <c r="K66" s="551">
        <f>INDEX($B66:$E66,MATCH(Graphs!$B$1,$B$1:$E$1,0))</f>
        <v>0</v>
      </c>
    </row>
    <row r="67" spans="1:12">
      <c r="A67" t="s">
        <v>69</v>
      </c>
      <c r="F67" s="545" t="s">
        <v>282</v>
      </c>
      <c r="K67" s="551">
        <f>INDEX($B67:$E67,MATCH(Graphs!$B$1,$B$1:$E$1,0))</f>
        <v>0</v>
      </c>
    </row>
    <row r="68" spans="1:12">
      <c r="A68" t="s">
        <v>70</v>
      </c>
      <c r="B68" s="46">
        <v>0.25</v>
      </c>
      <c r="C68" s="46">
        <v>7.0000000000000007E-2</v>
      </c>
      <c r="D68" s="776">
        <f>AVERAGE(B68:C68)</f>
        <v>0.16</v>
      </c>
      <c r="F68" s="545" t="s">
        <v>282</v>
      </c>
      <c r="G68" s="49">
        <v>2</v>
      </c>
      <c r="H68" s="49">
        <v>41</v>
      </c>
      <c r="I68" s="549" t="s">
        <v>309</v>
      </c>
      <c r="K68" s="551">
        <f>INDEX($B68:$E68,MATCH(Graphs!$B$1,$B$1:$E$1,0))</f>
        <v>0.25</v>
      </c>
      <c r="L68" t="s">
        <v>310</v>
      </c>
    </row>
    <row r="69" spans="1:12">
      <c r="A69" t="s">
        <v>71</v>
      </c>
      <c r="B69" s="46">
        <v>0.25</v>
      </c>
      <c r="C69" s="46">
        <v>7.0000000000000007E-2</v>
      </c>
      <c r="D69" s="776">
        <f t="shared" ref="D69:D74" si="3">AVERAGE(B69:C69)</f>
        <v>0.16</v>
      </c>
      <c r="F69" s="545" t="s">
        <v>282</v>
      </c>
      <c r="G69" s="49">
        <v>2</v>
      </c>
      <c r="H69" s="49">
        <v>41</v>
      </c>
      <c r="I69" s="549" t="s">
        <v>309</v>
      </c>
      <c r="K69" s="551">
        <f>INDEX($B69:$E69,MATCH(Graphs!$B$1,$B$1:$E$1,0))</f>
        <v>0.25</v>
      </c>
      <c r="L69" t="s">
        <v>310</v>
      </c>
    </row>
    <row r="70" spans="1:12">
      <c r="A70" t="s">
        <v>72</v>
      </c>
      <c r="B70" s="46">
        <v>0.25</v>
      </c>
      <c r="C70" s="46">
        <v>7.0000000000000007E-2</v>
      </c>
      <c r="D70" s="776">
        <f t="shared" si="3"/>
        <v>0.16</v>
      </c>
      <c r="F70" s="545" t="s">
        <v>282</v>
      </c>
      <c r="G70" s="49">
        <v>2</v>
      </c>
      <c r="H70" s="49">
        <v>41</v>
      </c>
      <c r="I70" s="549" t="s">
        <v>309</v>
      </c>
      <c r="K70" s="551">
        <f>INDEX($B70:$E70,MATCH(Graphs!$B$1,$B$1:$E$1,0))</f>
        <v>0.25</v>
      </c>
      <c r="L70" t="s">
        <v>310</v>
      </c>
    </row>
    <row r="71" spans="1:12">
      <c r="A71" t="s">
        <v>73</v>
      </c>
      <c r="B71" s="46">
        <v>0.25</v>
      </c>
      <c r="C71" s="46">
        <v>7.0000000000000007E-2</v>
      </c>
      <c r="D71" s="776">
        <f t="shared" si="3"/>
        <v>0.16</v>
      </c>
      <c r="F71" s="545" t="s">
        <v>282</v>
      </c>
      <c r="G71" s="49">
        <v>2</v>
      </c>
      <c r="H71" s="49">
        <v>41</v>
      </c>
      <c r="I71" s="549" t="s">
        <v>309</v>
      </c>
      <c r="K71" s="551">
        <f>INDEX($B71:$E71,MATCH(Graphs!$B$1,$B$1:$E$1,0))</f>
        <v>0.25</v>
      </c>
      <c r="L71" t="s">
        <v>310</v>
      </c>
    </row>
    <row r="72" spans="1:12">
      <c r="A72" t="s">
        <v>74</v>
      </c>
      <c r="B72" s="46">
        <v>0.25</v>
      </c>
      <c r="C72" s="46">
        <v>7.0000000000000007E-2</v>
      </c>
      <c r="D72" s="776">
        <f t="shared" si="3"/>
        <v>0.16</v>
      </c>
      <c r="F72" s="545" t="s">
        <v>282</v>
      </c>
      <c r="G72" s="49">
        <v>2</v>
      </c>
      <c r="H72" s="49">
        <v>41</v>
      </c>
      <c r="I72" s="549" t="s">
        <v>309</v>
      </c>
      <c r="K72" s="551">
        <f>INDEX($B72:$E72,MATCH(Graphs!$B$1,$B$1:$E$1,0))</f>
        <v>0.25</v>
      </c>
      <c r="L72" t="s">
        <v>310</v>
      </c>
    </row>
    <row r="73" spans="1:12">
      <c r="A73" t="s">
        <v>75</v>
      </c>
      <c r="B73" s="46">
        <v>0.25</v>
      </c>
      <c r="C73" s="46">
        <v>7.0000000000000007E-2</v>
      </c>
      <c r="D73" s="776">
        <f t="shared" si="3"/>
        <v>0.16</v>
      </c>
      <c r="F73" s="545" t="s">
        <v>282</v>
      </c>
      <c r="G73" s="49">
        <v>2</v>
      </c>
      <c r="H73" s="49">
        <v>41</v>
      </c>
      <c r="I73" s="549" t="s">
        <v>309</v>
      </c>
      <c r="K73" s="551">
        <f>INDEX($B73:$E73,MATCH(Graphs!$B$1,$B$1:$E$1,0))</f>
        <v>0.25</v>
      </c>
      <c r="L73" t="s">
        <v>310</v>
      </c>
    </row>
    <row r="74" spans="1:12">
      <c r="A74" t="s">
        <v>76</v>
      </c>
      <c r="B74" s="46">
        <v>0.25</v>
      </c>
      <c r="C74" s="46">
        <v>7.0000000000000007E-2</v>
      </c>
      <c r="D74" s="776">
        <f t="shared" si="3"/>
        <v>0.16</v>
      </c>
      <c r="F74" s="545" t="s">
        <v>282</v>
      </c>
      <c r="G74" s="49">
        <v>2</v>
      </c>
      <c r="H74" s="49">
        <v>41</v>
      </c>
      <c r="I74" s="549" t="s">
        <v>309</v>
      </c>
      <c r="K74" s="551">
        <f>INDEX($B74:$E74,MATCH(Graphs!$B$1,$B$1:$E$1,0))</f>
        <v>0.25</v>
      </c>
      <c r="L74" t="s">
        <v>310</v>
      </c>
    </row>
    <row r="75" spans="1:12">
      <c r="A75" t="s">
        <v>77</v>
      </c>
      <c r="F75" s="545" t="s">
        <v>282</v>
      </c>
      <c r="K75" s="551"/>
    </row>
    <row r="76" spans="1:12">
      <c r="A76" s="548" t="s">
        <v>298</v>
      </c>
    </row>
    <row r="77" spans="1:12">
      <c r="A77" t="s">
        <v>281</v>
      </c>
      <c r="F77" s="545" t="s">
        <v>282</v>
      </c>
    </row>
    <row r="78" spans="1:12">
      <c r="A78" t="s">
        <v>284</v>
      </c>
      <c r="F78" s="545" t="s">
        <v>282</v>
      </c>
    </row>
    <row r="79" spans="1:12">
      <c r="A79" t="s">
        <v>285</v>
      </c>
      <c r="F79" s="545" t="s">
        <v>282</v>
      </c>
    </row>
    <row r="80" spans="1:12">
      <c r="A80" s="23" t="s">
        <v>302</v>
      </c>
      <c r="B80" s="547">
        <f>SUMPRODUCT(B77:B79,B$9:B$11)</f>
        <v>0</v>
      </c>
      <c r="C80" s="547">
        <f>SUMPRODUCT(C77:C79,C$9:C$11)</f>
        <v>0</v>
      </c>
      <c r="D80" s="547">
        <f>SUMPRODUCT(D77:D79,D$9:D$11)</f>
        <v>0</v>
      </c>
      <c r="E80" s="547">
        <f>SUMPRODUCT(E77:E79,E$9:E$11)</f>
        <v>0</v>
      </c>
      <c r="F80" s="545" t="s">
        <v>282</v>
      </c>
    </row>
    <row r="81" spans="1:12">
      <c r="A81" s="552"/>
      <c r="B81" s="552"/>
      <c r="C81" s="552"/>
      <c r="D81" s="552"/>
      <c r="E81" s="552"/>
      <c r="F81" s="553"/>
      <c r="G81" s="554"/>
      <c r="H81" s="554"/>
      <c r="I81" s="554"/>
      <c r="J81" s="555"/>
      <c r="K81" s="555"/>
      <c r="L81" s="552"/>
    </row>
    <row r="82" spans="1:12">
      <c r="A82" s="535" t="s">
        <v>311</v>
      </c>
    </row>
    <row r="83" spans="1:12">
      <c r="A83" t="s">
        <v>63</v>
      </c>
      <c r="B83" s="56">
        <v>0.06</v>
      </c>
      <c r="C83" s="544">
        <f>AVERAGE($B83,$D83)</f>
        <v>8.249999999999999E-2</v>
      </c>
      <c r="D83" s="61">
        <v>0.105</v>
      </c>
      <c r="E83" s="46">
        <v>0.25</v>
      </c>
      <c r="F83" s="545" t="s">
        <v>282</v>
      </c>
      <c r="G83" s="49">
        <v>25</v>
      </c>
      <c r="H83" s="549" t="s">
        <v>309</v>
      </c>
      <c r="I83" s="49">
        <v>40</v>
      </c>
      <c r="J83" s="545">
        <v>65</v>
      </c>
      <c r="K83" s="551">
        <f>INDEX($B83:$E83,MATCH(Graphs!$B$1,$B$1:$E$1,0))</f>
        <v>0.06</v>
      </c>
    </row>
    <row r="84" spans="1:12">
      <c r="A84" t="s">
        <v>64</v>
      </c>
      <c r="B84" s="56">
        <v>0.3</v>
      </c>
      <c r="C84" s="46">
        <v>0.32</v>
      </c>
      <c r="D84" s="46">
        <v>0.15</v>
      </c>
      <c r="E84" s="46">
        <v>0.25</v>
      </c>
      <c r="F84" s="545" t="s">
        <v>282</v>
      </c>
      <c r="G84" s="49">
        <v>28</v>
      </c>
      <c r="H84" s="49">
        <v>41</v>
      </c>
      <c r="I84" s="49">
        <v>40</v>
      </c>
      <c r="J84" s="545">
        <v>65</v>
      </c>
      <c r="K84" s="551">
        <f>INDEX($B84:$E84,MATCH(Graphs!$B$1,$B$1:$E$1,0))</f>
        <v>0.3</v>
      </c>
    </row>
    <row r="85" spans="1:12">
      <c r="A85" t="s">
        <v>65</v>
      </c>
      <c r="B85" s="56">
        <v>0.13</v>
      </c>
      <c r="C85" s="544">
        <f>AVERAGE($B85,$D85)</f>
        <v>0.14000000000000001</v>
      </c>
      <c r="D85" s="46">
        <v>0.15</v>
      </c>
      <c r="E85" s="46">
        <v>0.25</v>
      </c>
      <c r="F85" s="545" t="s">
        <v>282</v>
      </c>
      <c r="G85" s="49">
        <v>27</v>
      </c>
      <c r="H85" s="549" t="s">
        <v>309</v>
      </c>
      <c r="I85" s="49">
        <v>40</v>
      </c>
      <c r="J85" s="545">
        <v>65</v>
      </c>
      <c r="K85" s="551">
        <f>INDEX($B85:$E85,MATCH(Graphs!$B$1,$B$1:$E$1,0))</f>
        <v>0.13</v>
      </c>
    </row>
    <row r="86" spans="1:12">
      <c r="A86" t="s">
        <v>66</v>
      </c>
      <c r="B86" s="56">
        <v>0.15</v>
      </c>
      <c r="C86" s="46">
        <v>0.21</v>
      </c>
      <c r="D86" s="46">
        <v>0.19</v>
      </c>
      <c r="E86" s="46">
        <v>0.25</v>
      </c>
      <c r="F86" s="545" t="s">
        <v>282</v>
      </c>
      <c r="G86" s="49">
        <v>25</v>
      </c>
      <c r="H86" s="49">
        <v>41</v>
      </c>
      <c r="I86" s="49">
        <v>40</v>
      </c>
      <c r="J86" s="545">
        <v>65</v>
      </c>
      <c r="K86" s="551">
        <f>INDEX($B86:$E86,MATCH(Graphs!$B$1,$B$1:$E$1,0))</f>
        <v>0.15</v>
      </c>
    </row>
    <row r="87" spans="1:12">
      <c r="A87" t="s">
        <v>67</v>
      </c>
      <c r="B87" s="56">
        <v>0.1</v>
      </c>
      <c r="C87" s="544">
        <f>AVERAGE($B87,$D87)</f>
        <v>0.13</v>
      </c>
      <c r="D87" s="544">
        <f>D88</f>
        <v>0.16</v>
      </c>
      <c r="E87" s="46">
        <v>0.25</v>
      </c>
      <c r="F87" s="545" t="s">
        <v>282</v>
      </c>
      <c r="G87" s="49">
        <v>25</v>
      </c>
      <c r="H87" s="549" t="s">
        <v>309</v>
      </c>
      <c r="I87" s="549" t="s">
        <v>312</v>
      </c>
      <c r="J87" s="545">
        <v>65</v>
      </c>
      <c r="K87" s="551">
        <f>INDEX($B87:$E87,MATCH(Graphs!$B$1,$B$1:$E$1,0))</f>
        <v>0.1</v>
      </c>
    </row>
    <row r="88" spans="1:12">
      <c r="A88" t="s">
        <v>68</v>
      </c>
      <c r="B88" s="56">
        <f>B102</f>
        <v>0.19833292697793492</v>
      </c>
      <c r="C88" s="61">
        <v>0.19400000000000001</v>
      </c>
      <c r="D88" s="46">
        <v>0.16</v>
      </c>
      <c r="E88" s="46">
        <v>0.25</v>
      </c>
      <c r="F88" s="545" t="s">
        <v>282</v>
      </c>
      <c r="G88" s="49">
        <v>26</v>
      </c>
      <c r="H88" s="49">
        <v>41</v>
      </c>
      <c r="I88" s="49">
        <v>40</v>
      </c>
      <c r="J88" s="545">
        <v>65</v>
      </c>
      <c r="K88" s="551">
        <f>INDEX($B88:$E88,MATCH(Graphs!$B$1,$B$1:$E$1,0))</f>
        <v>0.19833292697793492</v>
      </c>
      <c r="L88" t="s">
        <v>294</v>
      </c>
    </row>
    <row r="89" spans="1:12">
      <c r="A89" t="s">
        <v>69</v>
      </c>
      <c r="B89" s="56">
        <f>(0.7/2)*6.5%</f>
        <v>2.2749999999999999E-2</v>
      </c>
      <c r="C89" s="544">
        <f>AVERAGE($B89,$D89)</f>
        <v>7.0749999999999993E-2</v>
      </c>
      <c r="D89" s="61">
        <f>AVERAGE(0.05,0.145,0.11,0.17)</f>
        <v>0.11874999999999999</v>
      </c>
      <c r="E89" s="46">
        <v>0.25</v>
      </c>
      <c r="F89" s="545" t="s">
        <v>282</v>
      </c>
      <c r="G89" s="49">
        <v>29</v>
      </c>
      <c r="H89" s="549" t="s">
        <v>309</v>
      </c>
      <c r="I89" s="49">
        <v>40</v>
      </c>
      <c r="J89" s="545">
        <v>65</v>
      </c>
      <c r="K89" s="551">
        <f>INDEX($B89:$E89,MATCH(Graphs!$B$1,$B$1:$E$1,0))</f>
        <v>2.2749999999999999E-2</v>
      </c>
    </row>
    <row r="90" spans="1:12">
      <c r="A90" t="s">
        <v>70</v>
      </c>
      <c r="B90" s="56">
        <v>0.14499999999999999</v>
      </c>
      <c r="C90" s="61">
        <v>0.157</v>
      </c>
      <c r="D90" s="46">
        <v>0.18</v>
      </c>
      <c r="E90" s="46">
        <v>0.25</v>
      </c>
      <c r="F90" s="545" t="s">
        <v>282</v>
      </c>
      <c r="G90" s="49">
        <v>26</v>
      </c>
      <c r="H90" s="49">
        <v>41</v>
      </c>
      <c r="I90" s="49">
        <v>40</v>
      </c>
      <c r="J90" s="545">
        <v>65</v>
      </c>
      <c r="K90" s="551">
        <f>INDEX($B90:$E90,MATCH(Graphs!$B$1,$B$1:$E$1,0))</f>
        <v>0.14499999999999999</v>
      </c>
    </row>
    <row r="91" spans="1:12">
      <c r="A91" t="s">
        <v>71</v>
      </c>
      <c r="B91" s="56">
        <f>319/(2103-450)</f>
        <v>0.19298245614035087</v>
      </c>
      <c r="C91" s="46">
        <v>0.24</v>
      </c>
      <c r="D91" s="46">
        <v>0.13</v>
      </c>
      <c r="E91" s="46">
        <v>0.25</v>
      </c>
      <c r="F91" s="545" t="s">
        <v>282</v>
      </c>
      <c r="G91" s="49">
        <v>2</v>
      </c>
      <c r="H91" s="49">
        <v>41</v>
      </c>
      <c r="I91" s="49">
        <v>40</v>
      </c>
      <c r="J91" s="545">
        <v>65</v>
      </c>
      <c r="K91" s="551">
        <f>INDEX($B91:$E91,MATCH(Graphs!$B$1,$B$1:$E$1,0))</f>
        <v>0.19298245614035087</v>
      </c>
    </row>
    <row r="92" spans="1:12">
      <c r="A92" t="s">
        <v>72</v>
      </c>
      <c r="B92" s="56">
        <v>0.1</v>
      </c>
      <c r="C92" s="544">
        <f t="shared" ref="C92:C97" si="4">AVERAGE($B92,$D92)</f>
        <v>0.1</v>
      </c>
      <c r="D92" s="544">
        <f>$B92</f>
        <v>0.1</v>
      </c>
      <c r="E92" s="46">
        <v>0.25</v>
      </c>
      <c r="F92" s="545" t="s">
        <v>282</v>
      </c>
      <c r="G92" s="49">
        <v>25</v>
      </c>
      <c r="H92" s="549" t="s">
        <v>309</v>
      </c>
      <c r="I92" s="549" t="s">
        <v>300</v>
      </c>
      <c r="J92" s="545">
        <v>65</v>
      </c>
      <c r="K92" s="551">
        <f>INDEX($B92:$E92,MATCH(Graphs!$B$1,$B$1:$E$1,0))</f>
        <v>0.1</v>
      </c>
    </row>
    <row r="93" spans="1:12">
      <c r="A93" t="s">
        <v>73</v>
      </c>
      <c r="B93" s="56">
        <f>(2.8/2)*6.5%</f>
        <v>9.0999999999999998E-2</v>
      </c>
      <c r="C93" s="544">
        <f t="shared" si="4"/>
        <v>7.0500000000000007E-2</v>
      </c>
      <c r="D93" s="46">
        <v>0.05</v>
      </c>
      <c r="E93" s="46">
        <v>0.25</v>
      </c>
      <c r="F93" s="545" t="s">
        <v>282</v>
      </c>
      <c r="G93" s="49">
        <v>29</v>
      </c>
      <c r="H93" s="549" t="s">
        <v>309</v>
      </c>
      <c r="I93" s="49">
        <v>40</v>
      </c>
      <c r="J93" s="545">
        <v>65</v>
      </c>
      <c r="K93" s="551">
        <f>INDEX($B93:$E93,MATCH(Graphs!$B$1,$B$1:$E$1,0))</f>
        <v>9.0999999999999998E-2</v>
      </c>
    </row>
    <row r="94" spans="1:12">
      <c r="A94" t="s">
        <v>74</v>
      </c>
      <c r="B94" s="56">
        <f>(1.8/2)*6.5%</f>
        <v>5.8500000000000003E-2</v>
      </c>
      <c r="C94" s="544">
        <f t="shared" si="4"/>
        <v>3.925E-2</v>
      </c>
      <c r="D94" s="46">
        <v>0.02</v>
      </c>
      <c r="E94" s="46">
        <v>0.25</v>
      </c>
      <c r="F94" s="545" t="s">
        <v>282</v>
      </c>
      <c r="G94" s="49">
        <v>29</v>
      </c>
      <c r="H94" s="549" t="s">
        <v>309</v>
      </c>
      <c r="I94" s="49">
        <v>40</v>
      </c>
      <c r="J94" s="545">
        <v>65</v>
      </c>
      <c r="K94" s="551">
        <f>INDEX($B94:$E94,MATCH(Graphs!$B$1,$B$1:$E$1,0))</f>
        <v>5.8500000000000003E-2</v>
      </c>
    </row>
    <row r="95" spans="1:12">
      <c r="A95" t="s">
        <v>75</v>
      </c>
      <c r="B95" s="56">
        <f>(4.8/2)*6.5%</f>
        <v>0.156</v>
      </c>
      <c r="C95" s="544">
        <f t="shared" si="4"/>
        <v>0.113</v>
      </c>
      <c r="D95" s="46">
        <v>7.0000000000000007E-2</v>
      </c>
      <c r="E95" s="46">
        <v>0.25</v>
      </c>
      <c r="F95" s="545" t="s">
        <v>282</v>
      </c>
      <c r="G95" s="49">
        <v>29</v>
      </c>
      <c r="H95" s="549" t="s">
        <v>309</v>
      </c>
      <c r="I95" s="49">
        <v>40</v>
      </c>
      <c r="J95" s="545">
        <v>65</v>
      </c>
      <c r="K95" s="551">
        <f>INDEX($B95:$E95,MATCH(Graphs!$B$1,$B$1:$E$1,0))</f>
        <v>0.156</v>
      </c>
    </row>
    <row r="96" spans="1:12">
      <c r="A96" t="s">
        <v>76</v>
      </c>
      <c r="B96" s="56">
        <f>(5.5/2)*6.5%</f>
        <v>0.17875000000000002</v>
      </c>
      <c r="C96" s="544">
        <f t="shared" si="4"/>
        <v>0.15437500000000001</v>
      </c>
      <c r="D96" s="46">
        <v>0.13</v>
      </c>
      <c r="E96" s="46">
        <v>0.25</v>
      </c>
      <c r="F96" s="545" t="s">
        <v>282</v>
      </c>
      <c r="G96" s="49">
        <v>29</v>
      </c>
      <c r="H96" s="549" t="s">
        <v>309</v>
      </c>
      <c r="I96" s="49">
        <v>40</v>
      </c>
      <c r="J96" s="545">
        <v>65</v>
      </c>
      <c r="K96" s="551">
        <f>INDEX($B96:$E96,MATCH(Graphs!$B$1,$B$1:$E$1,0))</f>
        <v>0.17875000000000002</v>
      </c>
    </row>
    <row r="97" spans="1:12">
      <c r="A97" t="s">
        <v>77</v>
      </c>
      <c r="B97" s="56">
        <f>6.5%</f>
        <v>6.5000000000000002E-2</v>
      </c>
      <c r="C97" s="544">
        <f t="shared" si="4"/>
        <v>4.7500000000000001E-2</v>
      </c>
      <c r="D97" s="46">
        <v>0.03</v>
      </c>
      <c r="E97" s="46">
        <v>0.25</v>
      </c>
      <c r="F97" s="545" t="s">
        <v>282</v>
      </c>
      <c r="G97" s="49">
        <v>29</v>
      </c>
      <c r="H97" s="549" t="s">
        <v>309</v>
      </c>
      <c r="I97" s="49">
        <v>40</v>
      </c>
      <c r="J97" s="545">
        <v>65</v>
      </c>
      <c r="K97" s="551">
        <f>INDEX($B97:$E97,MATCH(Graphs!$B$1,$B$1:$E$1,0))</f>
        <v>6.5000000000000002E-2</v>
      </c>
    </row>
    <row r="98" spans="1:12">
      <c r="A98" s="548" t="s">
        <v>298</v>
      </c>
    </row>
    <row r="99" spans="1:12">
      <c r="A99" t="s">
        <v>281</v>
      </c>
      <c r="B99" s="46">
        <v>0.22500000000000001</v>
      </c>
      <c r="F99" s="545" t="s">
        <v>282</v>
      </c>
      <c r="G99" s="49">
        <v>26</v>
      </c>
      <c r="L99" t="s">
        <v>299</v>
      </c>
    </row>
    <row r="100" spans="1:12">
      <c r="A100" t="s">
        <v>284</v>
      </c>
      <c r="B100" s="46">
        <v>0.17499999999999999</v>
      </c>
      <c r="F100" s="545" t="s">
        <v>282</v>
      </c>
      <c r="G100" s="49">
        <v>26</v>
      </c>
      <c r="L100" t="s">
        <v>299</v>
      </c>
    </row>
    <row r="101" spans="1:12">
      <c r="A101" t="s">
        <v>285</v>
      </c>
      <c r="B101" s="544">
        <f>AVERAGE(B99:B100)</f>
        <v>0.2</v>
      </c>
      <c r="F101" s="545" t="s">
        <v>282</v>
      </c>
      <c r="G101" s="549" t="s">
        <v>313</v>
      </c>
      <c r="L101" t="s">
        <v>299</v>
      </c>
    </row>
    <row r="102" spans="1:12">
      <c r="A102" s="23" t="s">
        <v>302</v>
      </c>
      <c r="B102" s="547">
        <f>SUMPRODUCT(B99:B101,B$9:B$11)</f>
        <v>0.19833292697793492</v>
      </c>
      <c r="C102" s="547">
        <f>SUMPRODUCT(C99:C101,C$9:C$11)</f>
        <v>0</v>
      </c>
      <c r="D102" s="547">
        <f>SUMPRODUCT(D99:D101,D$9:D$11)</f>
        <v>0</v>
      </c>
      <c r="E102" s="547">
        <f>SUMPRODUCT(E99:E101,E$9:E$11)</f>
        <v>0</v>
      </c>
      <c r="F102" s="545" t="s">
        <v>282</v>
      </c>
      <c r="L102" t="s">
        <v>299</v>
      </c>
    </row>
    <row r="103" spans="1:12">
      <c r="A103" s="552"/>
      <c r="B103" s="552"/>
      <c r="C103" s="552"/>
      <c r="D103" s="552"/>
      <c r="E103" s="552"/>
      <c r="F103" s="553"/>
      <c r="G103" s="554"/>
      <c r="H103" s="554"/>
      <c r="I103" s="554"/>
      <c r="J103" s="555"/>
      <c r="K103" s="555"/>
      <c r="L103" s="552"/>
    </row>
    <row r="104" spans="1:12">
      <c r="A104" s="535" t="s">
        <v>314</v>
      </c>
    </row>
    <row r="105" spans="1:12">
      <c r="A105" t="s">
        <v>40</v>
      </c>
      <c r="B105" s="500">
        <f t="array" ref="B105:B112">TRANSPOSE('China Energy Prices'!B22:I22)</f>
        <v>3.3334259280000003E-3</v>
      </c>
      <c r="C105" s="773">
        <f>$B105</f>
        <v>3.3334259280000003E-3</v>
      </c>
      <c r="D105" s="500">
        <f>AVERAGE('Vietnam Energy Prices'!B7:B13)/1000</f>
        <v>3.2914285714285719E-3</v>
      </c>
      <c r="E105" s="500">
        <f>'AEO T3 Fuel Prices'!C$34/10^3/'Unit Conversions'!$E$4</f>
        <v>2.6534974468266003E-3</v>
      </c>
      <c r="F105" s="542" t="s">
        <v>315</v>
      </c>
      <c r="G105" s="49">
        <v>14</v>
      </c>
      <c r="H105" s="549" t="s">
        <v>300</v>
      </c>
      <c r="I105" s="49">
        <v>66</v>
      </c>
      <c r="J105" s="545">
        <v>46</v>
      </c>
      <c r="K105" s="778">
        <f>INDEX($B105:$E105,MATCH(Graphs!$B$1,$B$1:$E$1,0))</f>
        <v>3.3334259280000003E-3</v>
      </c>
    </row>
    <row r="106" spans="1:12">
      <c r="A106" t="s">
        <v>41</v>
      </c>
      <c r="B106" s="500">
        <v>3.3334259280000003E-3</v>
      </c>
      <c r="C106" s="773">
        <f t="shared" ref="C106:C111" si="5">$B106</f>
        <v>3.3334259280000003E-3</v>
      </c>
      <c r="D106" s="773">
        <f>D105</f>
        <v>3.2914285714285719E-3</v>
      </c>
      <c r="E106" s="500">
        <f>'AEO T3 Fuel Prices'!C$33/10^3/'Unit Conversions'!$E$4</f>
        <v>5.1470295826949999E-3</v>
      </c>
      <c r="F106" s="542" t="s">
        <v>315</v>
      </c>
      <c r="G106" s="49">
        <v>14</v>
      </c>
      <c r="H106" s="549" t="s">
        <v>300</v>
      </c>
      <c r="I106" s="549" t="s">
        <v>316</v>
      </c>
      <c r="J106" s="545">
        <v>46</v>
      </c>
      <c r="K106" s="778">
        <f>INDEX($B106:$E106,MATCH(Graphs!$B$1,$B$1:$E$1,0))</f>
        <v>3.3334259280000003E-3</v>
      </c>
    </row>
    <row r="107" spans="1:12">
      <c r="A107" t="s">
        <v>42</v>
      </c>
      <c r="B107" s="500">
        <v>3.3334259280000003E-3</v>
      </c>
      <c r="C107" s="773">
        <f t="shared" si="5"/>
        <v>3.3334259280000003E-3</v>
      </c>
      <c r="D107" s="773">
        <f>D105</f>
        <v>3.2914285714285719E-3</v>
      </c>
      <c r="E107" s="500"/>
      <c r="F107" s="542" t="s">
        <v>315</v>
      </c>
      <c r="G107" s="49">
        <v>14</v>
      </c>
      <c r="H107" s="549" t="s">
        <v>300</v>
      </c>
      <c r="I107" s="549" t="s">
        <v>316</v>
      </c>
      <c r="J107" s="542"/>
      <c r="K107" s="778">
        <f>INDEX($B107:$E107,MATCH(Graphs!$B$1,$B$1:$E$1,0))</f>
        <v>3.3334259280000003E-3</v>
      </c>
    </row>
    <row r="108" spans="1:12">
      <c r="A108" t="s">
        <v>43</v>
      </c>
      <c r="B108" s="500">
        <v>1.5000416676000002E-2</v>
      </c>
      <c r="C108" s="773">
        <f t="shared" si="5"/>
        <v>1.5000416676000002E-2</v>
      </c>
      <c r="D108" s="500">
        <f>AVERAGE('Vietnam Energy Prices'!B34:B35)/1000</f>
        <v>8.4200000000000004E-3</v>
      </c>
      <c r="E108" s="500">
        <f>'AEO T3 Fuel Prices'!C$30/10^3/'Unit Conversions'!$E$4</f>
        <v>3.3350996345446804E-2</v>
      </c>
      <c r="F108" s="542" t="s">
        <v>315</v>
      </c>
      <c r="G108" s="49">
        <v>14</v>
      </c>
      <c r="H108" s="549" t="s">
        <v>300</v>
      </c>
      <c r="I108" s="49">
        <v>66</v>
      </c>
      <c r="J108" s="545">
        <v>46</v>
      </c>
      <c r="K108" s="778">
        <f>INDEX($B108:$E108,MATCH(Graphs!$B$1,$B$1:$E$1,0))</f>
        <v>1.5000416676000002E-2</v>
      </c>
    </row>
    <row r="109" spans="1:12">
      <c r="A109" t="s">
        <v>44</v>
      </c>
      <c r="B109" s="500">
        <v>1.250034723E-2</v>
      </c>
      <c r="C109" s="773">
        <f t="shared" si="5"/>
        <v>1.250034723E-2</v>
      </c>
      <c r="D109" s="500">
        <f>AVERAGE('Vietnam Energy Prices'!B17:B23)/1000</f>
        <v>8.9114285714285719E-3</v>
      </c>
      <c r="E109" s="500">
        <f>'AEO T3 Fuel Prices'!C$32/10^3/'Unit Conversions'!$E$4</f>
        <v>6.9483413668877999E-3</v>
      </c>
      <c r="F109" s="542" t="s">
        <v>315</v>
      </c>
      <c r="G109" s="49">
        <v>14</v>
      </c>
      <c r="H109" s="549" t="s">
        <v>300</v>
      </c>
      <c r="I109" s="49">
        <v>66</v>
      </c>
      <c r="J109" s="545">
        <v>46</v>
      </c>
      <c r="K109" s="778">
        <f>INDEX($B109:$E109,MATCH(Graphs!$B$1,$B$1:$E$1,0))</f>
        <v>1.250034723E-2</v>
      </c>
    </row>
    <row r="110" spans="1:12">
      <c r="A110" t="s">
        <v>45</v>
      </c>
      <c r="B110" s="500">
        <v>3.3334259280000003E-3</v>
      </c>
      <c r="C110" s="773">
        <f t="shared" si="5"/>
        <v>3.3334259280000003E-3</v>
      </c>
      <c r="D110" s="500">
        <f>AVERAGE('Vietnam Energy Prices'!B27:B29)/1000</f>
        <v>7.3099999999999997E-3</v>
      </c>
      <c r="F110" s="542" t="s">
        <v>315</v>
      </c>
      <c r="G110" s="558" t="s">
        <v>317</v>
      </c>
      <c r="H110" s="549" t="s">
        <v>300</v>
      </c>
      <c r="I110" s="49">
        <v>66</v>
      </c>
      <c r="J110" s="542"/>
      <c r="K110" s="778">
        <f>INDEX($B110:$E110,MATCH(Graphs!$B$1,$B$1:$E$1,0))</f>
        <v>3.3334259280000003E-3</v>
      </c>
    </row>
    <row r="111" spans="1:12">
      <c r="A111" t="s">
        <v>46</v>
      </c>
      <c r="B111" s="500">
        <v>1.7433764747983076E-2</v>
      </c>
      <c r="C111" s="773">
        <f t="shared" si="5"/>
        <v>1.7433764747983076E-2</v>
      </c>
      <c r="D111" s="773">
        <f>D105</f>
        <v>3.2914285714285719E-3</v>
      </c>
      <c r="E111" s="500"/>
      <c r="F111" s="542" t="s">
        <v>315</v>
      </c>
      <c r="G111" s="558" t="s">
        <v>317</v>
      </c>
      <c r="H111" s="549" t="s">
        <v>300</v>
      </c>
      <c r="I111" s="549" t="s">
        <v>316</v>
      </c>
      <c r="J111" s="542"/>
      <c r="K111" s="778">
        <f>INDEX($B111:$E111,MATCH(Graphs!$B$1,$B$1:$E$1,0))</f>
        <v>1.7433764747983076E-2</v>
      </c>
    </row>
    <row r="112" spans="1:12">
      <c r="A112" t="s">
        <v>141</v>
      </c>
      <c r="B112" s="500">
        <v>2.6945192918000002E-2</v>
      </c>
      <c r="C112" s="500">
        <f>'Indonesia Energy Prices'!$C$27</f>
        <v>2.6805278134063238E-2</v>
      </c>
      <c r="D112" s="500">
        <f>'Vietnam Energy Prices'!B44</f>
        <v>2.0278341062000004E-2</v>
      </c>
      <c r="E112" s="500">
        <f>'AEO T3 Fuel Prices'!C$36/10^3/'Unit Conversions'!$E$4</f>
        <v>2.3146577580175201E-2</v>
      </c>
      <c r="F112" s="542" t="s">
        <v>315</v>
      </c>
      <c r="G112" s="49">
        <v>14</v>
      </c>
      <c r="H112" s="49">
        <v>68</v>
      </c>
      <c r="I112" s="49">
        <v>66</v>
      </c>
      <c r="J112" s="545">
        <v>46</v>
      </c>
      <c r="K112" s="778">
        <f>INDEX($B112:$E112,MATCH(Graphs!$B$1,$B$1:$E$1,0))</f>
        <v>2.6945192918000002E-2</v>
      </c>
      <c r="L112" t="s">
        <v>318</v>
      </c>
    </row>
    <row r="113" spans="1:12">
      <c r="A113" s="535" t="s">
        <v>319</v>
      </c>
      <c r="E113" s="500"/>
    </row>
    <row r="114" spans="1:12">
      <c r="A114" t="s">
        <v>40</v>
      </c>
      <c r="B114" s="500">
        <f t="array" ref="B114:B121">TRANSPOSE('China Energy Prices'!B23:I23)</f>
        <v>3.8889969160000003E-3</v>
      </c>
      <c r="C114" s="773">
        <f t="shared" ref="C114:C121" si="6">$B114</f>
        <v>3.8889969160000003E-3</v>
      </c>
      <c r="D114" s="500">
        <f>AVERAGE('Vietnam Energy Prices'!F7:F13)/1000</f>
        <v>4.1142857142857144E-3</v>
      </c>
      <c r="E114" s="500">
        <f>'AEO T3 Fuel Prices'!AE$34/10^3/'Unit Conversions'!$E$4</f>
        <v>2.7176189189633999E-3</v>
      </c>
      <c r="F114" s="542" t="s">
        <v>315</v>
      </c>
      <c r="G114" s="49">
        <v>14</v>
      </c>
      <c r="H114" s="549" t="s">
        <v>300</v>
      </c>
      <c r="I114" s="49">
        <v>66</v>
      </c>
      <c r="J114" s="545">
        <v>46</v>
      </c>
      <c r="K114" s="778">
        <f>INDEX($B114:$E114,MATCH(Graphs!$B$1,$B$1:$E$1,0))</f>
        <v>3.8889969160000003E-3</v>
      </c>
    </row>
    <row r="115" spans="1:12">
      <c r="A115" t="s">
        <v>41</v>
      </c>
      <c r="B115" s="500">
        <v>3.8889969160000003E-3</v>
      </c>
      <c r="C115" s="773">
        <f t="shared" si="6"/>
        <v>3.8889969160000003E-3</v>
      </c>
      <c r="D115" s="773">
        <f>D114</f>
        <v>4.1142857142857144E-3</v>
      </c>
      <c r="E115" s="500">
        <f>'AEO T3 Fuel Prices'!AE$33/10^3/'Unit Conversions'!$E$4</f>
        <v>6.8491204689221999E-3</v>
      </c>
      <c r="F115" s="542" t="s">
        <v>315</v>
      </c>
      <c r="G115" s="49">
        <v>14</v>
      </c>
      <c r="H115" s="549" t="s">
        <v>300</v>
      </c>
      <c r="I115" s="549" t="s">
        <v>316</v>
      </c>
      <c r="J115" s="545">
        <v>46</v>
      </c>
      <c r="K115" s="778">
        <f>INDEX($B115:$E115,MATCH(Graphs!$B$1,$B$1:$E$1,0))</f>
        <v>3.8889969160000003E-3</v>
      </c>
    </row>
    <row r="116" spans="1:12">
      <c r="A116" t="s">
        <v>42</v>
      </c>
      <c r="B116" s="500">
        <v>3.8889969160000003E-3</v>
      </c>
      <c r="C116" s="773">
        <f t="shared" si="6"/>
        <v>3.8889969160000003E-3</v>
      </c>
      <c r="D116" s="773">
        <f>D114</f>
        <v>4.1142857142857144E-3</v>
      </c>
      <c r="E116" s="500"/>
      <c r="F116" s="542" t="s">
        <v>315</v>
      </c>
      <c r="G116" s="49">
        <v>14</v>
      </c>
      <c r="H116" s="549" t="s">
        <v>300</v>
      </c>
      <c r="I116" s="549" t="s">
        <v>316</v>
      </c>
      <c r="J116" s="542"/>
      <c r="K116" s="778">
        <f>INDEX($B116:$E116,MATCH(Graphs!$B$1,$B$1:$E$1,0))</f>
        <v>3.8889969160000003E-3</v>
      </c>
    </row>
    <row r="117" spans="1:12">
      <c r="A117" t="s">
        <v>43</v>
      </c>
      <c r="B117" s="500">
        <v>1.9167199086000002E-2</v>
      </c>
      <c r="C117" s="773">
        <f t="shared" si="6"/>
        <v>1.9167199086000002E-2</v>
      </c>
      <c r="D117" s="500">
        <f>AVERAGE('Vietnam Energy Prices'!F34:F35)/1000</f>
        <v>9.5250000000000005E-3</v>
      </c>
      <c r="E117" s="500">
        <f>'AEO T3 Fuel Prices'!AE$30/10^3/'Unit Conversions'!$E$4</f>
        <v>2.3269519404102598E-2</v>
      </c>
      <c r="F117" s="542" t="s">
        <v>315</v>
      </c>
      <c r="G117" s="49">
        <v>14</v>
      </c>
      <c r="H117" s="549" t="s">
        <v>300</v>
      </c>
      <c r="I117" s="49">
        <v>66</v>
      </c>
      <c r="J117" s="545">
        <v>46</v>
      </c>
      <c r="K117" s="778">
        <f>INDEX($B117:$E117,MATCH(Graphs!$B$1,$B$1:$E$1,0))</f>
        <v>1.9167199086000002E-2</v>
      </c>
    </row>
    <row r="118" spans="1:12">
      <c r="A118" t="s">
        <v>44</v>
      </c>
      <c r="B118" s="500">
        <v>1.6944915134E-2</v>
      </c>
      <c r="C118" s="773">
        <f t="shared" si="6"/>
        <v>1.6944915134E-2</v>
      </c>
      <c r="D118" s="500">
        <f>AVERAGE('Vietnam Energy Prices'!F17:F23)/1000</f>
        <v>1.1007142857142856E-2</v>
      </c>
      <c r="E118" s="500">
        <f>'AEO T3 Fuel Prices'!AE$32/10^3/'Unit Conversions'!$E$4</f>
        <v>4.3529790027636E-3</v>
      </c>
      <c r="F118" s="542" t="s">
        <v>315</v>
      </c>
      <c r="G118" s="49">
        <v>14</v>
      </c>
      <c r="H118" s="549" t="s">
        <v>300</v>
      </c>
      <c r="I118" s="49">
        <v>66</v>
      </c>
      <c r="J118" s="545">
        <v>46</v>
      </c>
      <c r="K118" s="778">
        <f>INDEX($B118:$E118,MATCH(Graphs!$B$1,$B$1:$E$1,0))</f>
        <v>1.6944915134E-2</v>
      </c>
    </row>
    <row r="119" spans="1:12">
      <c r="A119" t="s">
        <v>45</v>
      </c>
      <c r="B119" s="500">
        <v>3.8889969160000003E-3</v>
      </c>
      <c r="C119" s="773">
        <f t="shared" si="6"/>
        <v>3.8889969160000003E-3</v>
      </c>
      <c r="D119" s="500">
        <f>AVERAGE('Vietnam Energy Prices'!F27:F29)/1000</f>
        <v>6.9433333333333326E-3</v>
      </c>
      <c r="F119" s="542" t="s">
        <v>315</v>
      </c>
      <c r="G119" s="558" t="s">
        <v>317</v>
      </c>
      <c r="H119" s="549" t="s">
        <v>300</v>
      </c>
      <c r="I119" s="49">
        <v>66</v>
      </c>
      <c r="J119" s="542"/>
      <c r="K119" s="778">
        <f>INDEX($B119:$E119,MATCH(Graphs!$B$1,$B$1:$E$1,0))</f>
        <v>3.8889969160000003E-3</v>
      </c>
    </row>
    <row r="120" spans="1:12">
      <c r="A120" t="s">
        <v>46</v>
      </c>
      <c r="B120" s="500">
        <v>2.0339392205980255E-2</v>
      </c>
      <c r="C120" s="773">
        <f t="shared" si="6"/>
        <v>2.0339392205980255E-2</v>
      </c>
      <c r="D120" s="773">
        <f>D114</f>
        <v>4.1142857142857144E-3</v>
      </c>
      <c r="E120" s="500"/>
      <c r="F120" s="542" t="s">
        <v>315</v>
      </c>
      <c r="G120" s="558" t="s">
        <v>317</v>
      </c>
      <c r="H120" s="549" t="s">
        <v>300</v>
      </c>
      <c r="I120" s="549" t="s">
        <v>316</v>
      </c>
      <c r="J120" s="542"/>
      <c r="K120" s="778">
        <f>INDEX($B120:$E120,MATCH(Graphs!$B$1,$B$1:$E$1,0))</f>
        <v>2.0339392205980255E-2</v>
      </c>
    </row>
    <row r="121" spans="1:12">
      <c r="A121" t="s">
        <v>141</v>
      </c>
      <c r="B121" s="500">
        <v>2.8611905882000001E-2</v>
      </c>
      <c r="C121" s="773">
        <f t="shared" si="6"/>
        <v>2.8611905882000001E-2</v>
      </c>
      <c r="D121" s="500">
        <f>'Vietnam Energy Prices'!D44</f>
        <v>2.6389621929999999E-2</v>
      </c>
      <c r="E121" s="500">
        <f>'AEO T3 Fuel Prices'!AE$36/10^3/'Unit Conversions'!$E$4</f>
        <v>1.8679532078161802E-2</v>
      </c>
      <c r="F121" s="542" t="s">
        <v>315</v>
      </c>
      <c r="G121" s="49">
        <v>14</v>
      </c>
      <c r="H121" s="549" t="s">
        <v>300</v>
      </c>
      <c r="I121" s="49">
        <v>66</v>
      </c>
      <c r="J121" s="545">
        <v>46</v>
      </c>
      <c r="K121" s="1108">
        <f>INDEX($B121:$E121,MATCH(Graphs!$B$1,$B$1:$E$1,0))</f>
        <v>2.8611905882000001E-2</v>
      </c>
    </row>
    <row r="122" spans="1:12">
      <c r="A122" s="552"/>
      <c r="B122" s="552"/>
      <c r="C122" s="552"/>
      <c r="D122" s="552"/>
      <c r="E122" s="552"/>
      <c r="F122" s="553"/>
      <c r="G122" s="554"/>
      <c r="H122" s="554"/>
      <c r="I122" s="554"/>
      <c r="J122" s="555"/>
      <c r="K122" s="555"/>
      <c r="L122" s="552"/>
    </row>
    <row r="123" spans="1:12">
      <c r="A123" s="535" t="s">
        <v>320</v>
      </c>
      <c r="B123" s="500"/>
      <c r="C123" s="500"/>
      <c r="D123" s="500"/>
      <c r="E123" s="500"/>
      <c r="G123" s="558"/>
      <c r="K123" s="778"/>
    </row>
    <row r="124" spans="1:12" ht="18">
      <c r="A124" t="s">
        <v>321</v>
      </c>
      <c r="B124" s="501">
        <v>0</v>
      </c>
      <c r="C124" s="501">
        <v>0</v>
      </c>
      <c r="D124" s="501">
        <v>0</v>
      </c>
      <c r="E124" s="501">
        <v>0</v>
      </c>
      <c r="F124" s="545" t="s">
        <v>29</v>
      </c>
      <c r="G124" s="558"/>
      <c r="K124" s="1068">
        <f>INDEX($B124:$E124,MATCH(Graphs!$B$1,$B$1:$E$1,0))</f>
        <v>0</v>
      </c>
    </row>
    <row r="125" spans="1:12" ht="18">
      <c r="A125" t="s">
        <v>322</v>
      </c>
      <c r="B125" s="501">
        <v>13.37</v>
      </c>
      <c r="C125" s="501">
        <v>0</v>
      </c>
      <c r="D125" s="501">
        <v>0</v>
      </c>
      <c r="E125" s="501">
        <v>0</v>
      </c>
      <c r="F125" s="545" t="s">
        <v>29</v>
      </c>
      <c r="G125" s="49">
        <v>80</v>
      </c>
      <c r="K125" s="1068">
        <f>INDEX($B125:$E125,MATCH(Graphs!$B$1,$B$1:$E$1,0))</f>
        <v>13.37</v>
      </c>
      <c r="L125" t="s">
        <v>323</v>
      </c>
    </row>
    <row r="126" spans="1:12">
      <c r="A126" s="552"/>
      <c r="B126" s="552"/>
      <c r="C126" s="552"/>
      <c r="D126" s="552"/>
      <c r="E126" s="552"/>
      <c r="F126" s="553"/>
      <c r="G126" s="554"/>
      <c r="H126" s="554"/>
      <c r="I126" s="554"/>
      <c r="J126" s="555"/>
      <c r="K126" s="555"/>
      <c r="L126" s="552"/>
    </row>
    <row r="127" spans="1:12">
      <c r="A127" s="535" t="s">
        <v>324</v>
      </c>
      <c r="B127" s="500"/>
      <c r="C127" s="500"/>
      <c r="D127" s="500"/>
      <c r="E127" s="500"/>
      <c r="G127" s="558"/>
      <c r="K127" s="778"/>
    </row>
    <row r="128" spans="1:12">
      <c r="A128" t="s">
        <v>325</v>
      </c>
      <c r="B128" s="500">
        <f>$E128</f>
        <v>0.29106295170517488</v>
      </c>
      <c r="C128" s="500">
        <f>$E128</f>
        <v>0.29106295170517488</v>
      </c>
      <c r="D128" s="500">
        <f>'Vietnam Elec Data &amp; Projections'!F48</f>
        <v>0.29968684153362091</v>
      </c>
      <c r="E128" s="500">
        <f>'Other Technical Data'!B43</f>
        <v>0.29106295170517488</v>
      </c>
      <c r="F128" s="545" t="s">
        <v>326</v>
      </c>
      <c r="G128" s="549" t="s">
        <v>327</v>
      </c>
      <c r="H128" s="549" t="s">
        <v>327</v>
      </c>
      <c r="I128" s="49">
        <v>77</v>
      </c>
      <c r="J128" s="545">
        <v>54</v>
      </c>
      <c r="K128" s="778">
        <f>INDEX($B128:$E128,MATCH(Graphs!$B$1,$B$1:$E$1,0))</f>
        <v>0.29106295170517488</v>
      </c>
    </row>
    <row r="129" spans="1:12">
      <c r="A129" t="s">
        <v>328</v>
      </c>
      <c r="B129" s="500">
        <f t="shared" ref="B129:C130" si="7">$E129</f>
        <v>0.30996314337434205</v>
      </c>
      <c r="C129" s="500">
        <f t="shared" si="7"/>
        <v>0.30996314337434205</v>
      </c>
      <c r="D129" s="500">
        <f>'Vietnam Elec Data &amp; Projections'!F52</f>
        <v>0.23021377469070053</v>
      </c>
      <c r="E129" s="500">
        <f>'Other Technical Data'!B44</f>
        <v>0.30996314337434205</v>
      </c>
      <c r="F129" s="545" t="s">
        <v>326</v>
      </c>
      <c r="G129" s="549" t="s">
        <v>327</v>
      </c>
      <c r="H129" s="549" t="s">
        <v>327</v>
      </c>
      <c r="I129" s="49">
        <v>77</v>
      </c>
      <c r="J129" s="545">
        <v>54</v>
      </c>
      <c r="K129" s="778">
        <f>INDEX($B129:$E129,MATCH(Graphs!$B$1,$B$1:$E$1,0))</f>
        <v>0.30996314337434205</v>
      </c>
    </row>
    <row r="130" spans="1:12">
      <c r="A130" t="s">
        <v>329</v>
      </c>
      <c r="B130" s="500">
        <f t="shared" si="7"/>
        <v>0.12096122668267008</v>
      </c>
      <c r="C130" s="500">
        <f t="shared" si="7"/>
        <v>0.12096122668267008</v>
      </c>
      <c r="D130" s="500">
        <f>'Vietnam Elec Data &amp; Projections'!F49</f>
        <v>9.8625955906980312E-2</v>
      </c>
      <c r="E130" s="500">
        <f>'Other Technical Data'!B45</f>
        <v>0.12096122668267008</v>
      </c>
      <c r="F130" s="545" t="s">
        <v>326</v>
      </c>
      <c r="G130" s="549" t="s">
        <v>327</v>
      </c>
      <c r="H130" s="549" t="s">
        <v>327</v>
      </c>
      <c r="I130" s="49">
        <v>77</v>
      </c>
      <c r="J130" s="545">
        <v>54</v>
      </c>
      <c r="K130" s="778">
        <f>INDEX($B130:$E130,MATCH(Graphs!$B$1,$B$1:$E$1,0))</f>
        <v>0.12096122668267008</v>
      </c>
    </row>
    <row r="131" spans="1:12">
      <c r="A131" s="552"/>
      <c r="B131" s="552"/>
      <c r="C131" s="552"/>
      <c r="D131" s="552"/>
      <c r="E131" s="552"/>
      <c r="F131" s="553"/>
      <c r="G131" s="554"/>
      <c r="H131" s="554"/>
      <c r="I131" s="554"/>
      <c r="J131" s="555"/>
      <c r="K131" s="555"/>
      <c r="L131" s="552"/>
    </row>
    <row r="132" spans="1:12">
      <c r="A132" s="535" t="s">
        <v>330</v>
      </c>
      <c r="B132" s="500"/>
      <c r="C132" s="500"/>
      <c r="D132" s="500"/>
      <c r="E132" s="500"/>
      <c r="G132" s="558"/>
      <c r="K132" s="778"/>
    </row>
    <row r="133" spans="1:12">
      <c r="A133" t="s">
        <v>331</v>
      </c>
      <c r="B133" s="791">
        <f>'CAPEX per GJ'!J2</f>
        <v>2.4295816378935724</v>
      </c>
      <c r="C133" s="791">
        <f>'CAPEX per GJ'!J30</f>
        <v>3.4683530257771946</v>
      </c>
      <c r="D133" s="791">
        <f>'CAPEX per GJ'!J49</f>
        <v>2.4527350807833037</v>
      </c>
      <c r="E133" s="791">
        <f>AVERAGE(B133:D133)</f>
        <v>2.7835565814846905</v>
      </c>
      <c r="F133" s="545" t="s">
        <v>332</v>
      </c>
      <c r="G133" s="49" t="s">
        <v>333</v>
      </c>
      <c r="H133" s="49" t="s">
        <v>333</v>
      </c>
      <c r="I133" s="49" t="s">
        <v>333</v>
      </c>
      <c r="J133" s="961" t="s">
        <v>334</v>
      </c>
      <c r="K133" s="971">
        <f>INDEX($B133:$E133,MATCH(Graphs!$B$1,$B$1:$E$1,0))</f>
        <v>2.4295816378935724</v>
      </c>
    </row>
    <row r="134" spans="1:12">
      <c r="A134" t="s">
        <v>335</v>
      </c>
      <c r="B134" s="791">
        <f>'Cross-Industry CapEx Factors'!$B$23</f>
        <v>29.652197760109964</v>
      </c>
      <c r="C134" s="791">
        <f>'Cross-Industry CapEx Factors'!$B$23</f>
        <v>29.652197760109964</v>
      </c>
      <c r="D134" s="791">
        <f>'Cross-Industry CapEx Factors'!$B$23</f>
        <v>29.652197760109964</v>
      </c>
      <c r="E134" s="791">
        <f>'Cross-Industry CapEx Factors'!$B$23</f>
        <v>29.652197760109964</v>
      </c>
      <c r="F134" s="545" t="s">
        <v>332</v>
      </c>
      <c r="G134" s="49">
        <v>43</v>
      </c>
      <c r="H134" s="49">
        <v>43</v>
      </c>
      <c r="I134" s="49">
        <v>43</v>
      </c>
      <c r="J134" s="545">
        <v>43</v>
      </c>
      <c r="K134" s="971">
        <f>INDEX($B134:$E134,MATCH(Graphs!$B$1,$B$1:$E$1,0))</f>
        <v>29.652197760109964</v>
      </c>
    </row>
    <row r="135" spans="1:12">
      <c r="A135" t="s">
        <v>336</v>
      </c>
      <c r="B135" s="791">
        <f>'Cross-Industry CapEx Factors'!$B$19</f>
        <v>59.834526737935391</v>
      </c>
      <c r="C135" s="791">
        <f>'Cross-Industry CapEx Factors'!$B$19</f>
        <v>59.834526737935391</v>
      </c>
      <c r="D135" s="791">
        <f>'Cross-Industry CapEx Factors'!$B$19</f>
        <v>59.834526737935391</v>
      </c>
      <c r="E135" s="791">
        <f>'Cross-Industry CapEx Factors'!$B$19</f>
        <v>59.834526737935391</v>
      </c>
      <c r="F135" s="545" t="s">
        <v>332</v>
      </c>
      <c r="G135" s="49">
        <v>43</v>
      </c>
      <c r="H135" s="49">
        <v>43</v>
      </c>
      <c r="I135" s="49">
        <v>43</v>
      </c>
      <c r="J135" s="545">
        <v>43</v>
      </c>
      <c r="K135" s="971">
        <f>INDEX($B135:$E135,MATCH(Graphs!$B$1,$B$1:$E$1,0))</f>
        <v>59.834526737935391</v>
      </c>
    </row>
    <row r="136" spans="1:12">
      <c r="A136" t="s">
        <v>337</v>
      </c>
      <c r="B136" s="791">
        <f>'CAPEX per GJ'!$J$5</f>
        <v>104.73933649289101</v>
      </c>
      <c r="C136" s="791">
        <f>'CAPEX per GJ'!$J$34</f>
        <v>107.3170731707317</v>
      </c>
      <c r="D136" s="791">
        <f>'CAPEX per GJ'!$J$52</f>
        <v>149.17500000000004</v>
      </c>
      <c r="E136" s="791">
        <f t="shared" ref="E136:E139" si="8">AVERAGE(B136:D136)</f>
        <v>120.41046988787427</v>
      </c>
      <c r="F136" s="545" t="s">
        <v>332</v>
      </c>
      <c r="G136" s="49" t="s">
        <v>333</v>
      </c>
      <c r="H136" s="49" t="s">
        <v>333</v>
      </c>
      <c r="I136" s="49" t="s">
        <v>333</v>
      </c>
      <c r="J136" s="961" t="s">
        <v>334</v>
      </c>
      <c r="K136" s="971">
        <f>INDEX($B136:$E136,MATCH(Graphs!$B$1,$B$1:$E$1,0))</f>
        <v>104.73933649289101</v>
      </c>
    </row>
    <row r="137" spans="1:12">
      <c r="A137" t="s">
        <v>338</v>
      </c>
      <c r="B137" s="791">
        <f>'CAPEX per GJ'!$J$5</f>
        <v>104.73933649289101</v>
      </c>
      <c r="C137" s="791">
        <f>'CAPEX per GJ'!$J$34</f>
        <v>107.3170731707317</v>
      </c>
      <c r="D137" s="791">
        <f>'CAPEX per GJ'!$J$52</f>
        <v>149.17500000000004</v>
      </c>
      <c r="E137" s="791">
        <f t="shared" si="8"/>
        <v>120.41046988787427</v>
      </c>
      <c r="F137" s="545" t="s">
        <v>332</v>
      </c>
      <c r="G137" s="49" t="s">
        <v>333</v>
      </c>
      <c r="H137" s="49" t="s">
        <v>333</v>
      </c>
      <c r="I137" s="49" t="s">
        <v>333</v>
      </c>
      <c r="J137" s="961" t="s">
        <v>334</v>
      </c>
      <c r="K137" s="971">
        <f>INDEX($B137:$E137,MATCH(Graphs!$B$1,$B$1:$E$1,0))</f>
        <v>104.73933649289101</v>
      </c>
    </row>
    <row r="138" spans="1:12">
      <c r="A138" t="s">
        <v>339</v>
      </c>
      <c r="B138" s="791">
        <f>'Industrial CCS Capital Costs'!$B$92</f>
        <v>602.55145546381846</v>
      </c>
      <c r="C138" s="791">
        <f>'Industrial CCS Capital Costs'!$B$92</f>
        <v>602.55145546381846</v>
      </c>
      <c r="D138" s="791">
        <f>'Industrial CCS Capital Costs'!$B$92</f>
        <v>602.55145546381846</v>
      </c>
      <c r="E138" s="791">
        <f>'Industrial CCS Capital Costs'!$B$89</f>
        <v>551.89256894043581</v>
      </c>
      <c r="F138" s="965" t="s">
        <v>340</v>
      </c>
      <c r="G138" s="49" t="s">
        <v>333</v>
      </c>
      <c r="H138" s="49" t="s">
        <v>333</v>
      </c>
      <c r="I138" s="49" t="s">
        <v>333</v>
      </c>
      <c r="J138" s="545" t="s">
        <v>341</v>
      </c>
      <c r="K138" s="971">
        <f>INDEX($B138:$E138,MATCH(Graphs!$B$1,$B$1:$E$1,0))</f>
        <v>602.55145546381846</v>
      </c>
    </row>
    <row r="139" spans="1:12">
      <c r="A139" t="s">
        <v>342</v>
      </c>
      <c r="B139" s="791">
        <f>'CAPEX per GJ'!$J$8</f>
        <v>46.242915770959556</v>
      </c>
      <c r="C139" s="791">
        <f>'CAPEX per GJ'!J36</f>
        <v>61.184939091915844</v>
      </c>
      <c r="D139" s="791">
        <f>C139</f>
        <v>61.184939091915844</v>
      </c>
      <c r="E139" s="791">
        <f t="shared" si="8"/>
        <v>56.204264651597079</v>
      </c>
      <c r="F139" s="545" t="s">
        <v>332</v>
      </c>
      <c r="G139" s="49" t="s">
        <v>333</v>
      </c>
      <c r="H139" s="49" t="s">
        <v>333</v>
      </c>
      <c r="I139" s="549" t="s">
        <v>343</v>
      </c>
      <c r="J139" s="961" t="s">
        <v>334</v>
      </c>
      <c r="K139" s="971">
        <f>INDEX($B139:$E139,MATCH(Graphs!$B$1,$B$1:$E$1,0))</f>
        <v>46.242915770959556</v>
      </c>
      <c r="L139" t="s">
        <v>344</v>
      </c>
    </row>
    <row r="140" spans="1:12">
      <c r="A140" t="s">
        <v>345</v>
      </c>
      <c r="B140" s="791">
        <f>'CAPEX per GJ'!J13</f>
        <v>8.7218925215307532</v>
      </c>
      <c r="C140" s="791">
        <f>'CAPEX per GJ'!J40</f>
        <v>11.149682492835986</v>
      </c>
      <c r="D140" s="791">
        <f>'CAPEX per GJ'!J60</f>
        <v>11.423257027853111</v>
      </c>
      <c r="E140" s="791">
        <f>AVERAGE(B140:D140)</f>
        <v>10.431610680739951</v>
      </c>
      <c r="F140" s="545" t="s">
        <v>332</v>
      </c>
      <c r="G140" s="49" t="s">
        <v>333</v>
      </c>
      <c r="H140" s="49" t="s">
        <v>333</v>
      </c>
      <c r="I140" s="49" t="s">
        <v>333</v>
      </c>
      <c r="J140" s="961" t="s">
        <v>334</v>
      </c>
      <c r="K140" s="971">
        <f>INDEX($B140:$E140,MATCH(Graphs!$B$1,$B$1:$E$1,0))</f>
        <v>8.7218925215307532</v>
      </c>
      <c r="L140" t="s">
        <v>346</v>
      </c>
    </row>
    <row r="141" spans="1:12">
      <c r="A141" t="s">
        <v>347</v>
      </c>
      <c r="B141" s="791">
        <f>'Cross-Industry CapEx Factors'!$B$23</f>
        <v>29.652197760109964</v>
      </c>
      <c r="C141" s="791">
        <f>'Cross-Industry CapEx Factors'!$B$23</f>
        <v>29.652197760109964</v>
      </c>
      <c r="D141" s="791">
        <f>'Cross-Industry CapEx Factors'!$B$23</f>
        <v>29.652197760109964</v>
      </c>
      <c r="E141" s="791">
        <f>'Cross-Industry CapEx Factors'!$B$23</f>
        <v>29.652197760109964</v>
      </c>
      <c r="F141" s="545" t="s">
        <v>332</v>
      </c>
      <c r="G141" s="49">
        <v>43</v>
      </c>
      <c r="H141" s="49">
        <v>43</v>
      </c>
      <c r="I141" s="49">
        <v>43</v>
      </c>
      <c r="J141" s="545">
        <v>43</v>
      </c>
      <c r="K141" s="971">
        <f>INDEX($B141:$E141,MATCH(Graphs!$B$1,$B$1:$E$1,0))</f>
        <v>29.652197760109964</v>
      </c>
    </row>
    <row r="142" spans="1:12">
      <c r="A142" t="s">
        <v>348</v>
      </c>
      <c r="B142" s="791">
        <f>'Cross-Industry CapEx Factors'!$B$19</f>
        <v>59.834526737935391</v>
      </c>
      <c r="C142" s="791">
        <f>'Cross-Industry CapEx Factors'!$B$19</f>
        <v>59.834526737935391</v>
      </c>
      <c r="D142" s="791">
        <f>'Cross-Industry CapEx Factors'!$B$19</f>
        <v>59.834526737935391</v>
      </c>
      <c r="E142" s="791">
        <f>'Cross-Industry CapEx Factors'!$B$19</f>
        <v>59.834526737935391</v>
      </c>
      <c r="F142" s="545" t="s">
        <v>332</v>
      </c>
      <c r="G142" s="49">
        <v>43</v>
      </c>
      <c r="H142" s="49">
        <v>43</v>
      </c>
      <c r="I142" s="49">
        <v>43</v>
      </c>
      <c r="J142" s="545">
        <v>43</v>
      </c>
      <c r="K142" s="971">
        <f>INDEX($B142:$E142,MATCH(Graphs!$B$1,$B$1:$E$1,0))</f>
        <v>59.834526737935391</v>
      </c>
      <c r="L142" s="558" t="s">
        <v>349</v>
      </c>
    </row>
    <row r="143" spans="1:12">
      <c r="A143" t="s">
        <v>350</v>
      </c>
      <c r="B143" s="791">
        <f>'Cross-Industry CapEx Factors'!$B$20</f>
        <v>36.686475452297195</v>
      </c>
      <c r="C143" s="791">
        <f>'Cross-Industry CapEx Factors'!$B$20</f>
        <v>36.686475452297195</v>
      </c>
      <c r="D143" s="791">
        <f>'Cross-Industry CapEx Factors'!$B$20</f>
        <v>36.686475452297195</v>
      </c>
      <c r="E143" s="791">
        <f>'Cross-Industry CapEx Factors'!$B$20</f>
        <v>36.686475452297195</v>
      </c>
      <c r="F143" s="545" t="s">
        <v>332</v>
      </c>
      <c r="G143" s="49">
        <v>43</v>
      </c>
      <c r="H143" s="49">
        <v>43</v>
      </c>
      <c r="I143" s="49">
        <v>43</v>
      </c>
      <c r="J143" s="545">
        <v>43</v>
      </c>
      <c r="K143" s="971">
        <f>INDEX($B143:$E143,MATCH(Graphs!$B$1,$B$1:$E$1,0))</f>
        <v>36.686475452297195</v>
      </c>
    </row>
    <row r="144" spans="1:12">
      <c r="A144" t="s">
        <v>351</v>
      </c>
      <c r="B144" s="791">
        <f>'Cross-Industry CapEx Factors'!$B$21</f>
        <v>181.51924448508419</v>
      </c>
      <c r="C144" s="791">
        <f>'Cross-Industry CapEx Factors'!$B$21</f>
        <v>181.51924448508419</v>
      </c>
      <c r="D144" s="791">
        <f>'Cross-Industry CapEx Factors'!$B$21</f>
        <v>181.51924448508419</v>
      </c>
      <c r="E144" s="791">
        <f>'Cross-Industry CapEx Factors'!$B$21</f>
        <v>181.51924448508419</v>
      </c>
      <c r="F144" s="545" t="s">
        <v>332</v>
      </c>
      <c r="G144" s="49">
        <v>43</v>
      </c>
      <c r="H144" s="49">
        <v>43</v>
      </c>
      <c r="I144" s="49">
        <v>43</v>
      </c>
      <c r="J144" s="545">
        <v>43</v>
      </c>
      <c r="K144" s="971">
        <f>INDEX($B144:$E144,MATCH(Graphs!$B$1,$B$1:$E$1,0))</f>
        <v>181.51924448508419</v>
      </c>
    </row>
    <row r="145" spans="1:12">
      <c r="A145" t="s">
        <v>352</v>
      </c>
      <c r="B145" s="791">
        <f>'Industrial CCS Capital Costs'!$B$93</f>
        <v>573.39771787617315</v>
      </c>
      <c r="C145" s="791">
        <f>'Industrial CCS Capital Costs'!$B$93</f>
        <v>573.39771787617315</v>
      </c>
      <c r="D145" s="791">
        <f>'Industrial CCS Capital Costs'!$B$93</f>
        <v>573.39771787617315</v>
      </c>
      <c r="E145" s="791">
        <f>'Industrial CCS Capital Costs'!$B$90</f>
        <v>616.79901092328407</v>
      </c>
      <c r="F145" s="965" t="s">
        <v>340</v>
      </c>
      <c r="G145" s="49" t="s">
        <v>333</v>
      </c>
      <c r="H145" s="49" t="s">
        <v>333</v>
      </c>
      <c r="I145" s="49" t="s">
        <v>333</v>
      </c>
      <c r="J145" s="545" t="s">
        <v>341</v>
      </c>
      <c r="K145" s="971">
        <f>INDEX($B145:$E145,MATCH(Graphs!$B$1,$B$1:$E$1,0))</f>
        <v>573.39771787617315</v>
      </c>
    </row>
    <row r="146" spans="1:12">
      <c r="A146" t="s">
        <v>353</v>
      </c>
      <c r="B146" s="791">
        <f>'Cross-Industry CapEx Factors'!$K$21</f>
        <v>34.455987071831217</v>
      </c>
      <c r="C146" s="791">
        <f>'Cross-Industry CapEx Factors'!$K$21</f>
        <v>34.455987071831217</v>
      </c>
      <c r="D146" s="791">
        <f>'Cross-Industry CapEx Factors'!$K$21</f>
        <v>34.455987071831217</v>
      </c>
      <c r="E146" s="791">
        <f>'Cross-Industry CapEx Factors'!$K$21</f>
        <v>34.455987071831217</v>
      </c>
      <c r="F146" s="545" t="s">
        <v>332</v>
      </c>
      <c r="G146" s="49">
        <v>43</v>
      </c>
      <c r="H146" s="49">
        <v>43</v>
      </c>
      <c r="I146" s="49">
        <v>43</v>
      </c>
      <c r="J146" s="545">
        <v>43</v>
      </c>
      <c r="K146" s="971">
        <f>INDEX($B146:$E146,MATCH(Graphs!$B$1,$B$1:$E$1,0))</f>
        <v>34.455987071831217</v>
      </c>
      <c r="L146" t="s">
        <v>344</v>
      </c>
    </row>
    <row r="147" spans="1:12">
      <c r="A147" t="s">
        <v>354</v>
      </c>
      <c r="B147" s="791">
        <f>AVERAGE(B133,B140)</f>
        <v>5.5757370797121624</v>
      </c>
      <c r="C147" s="791">
        <f t="shared" ref="C147:E147" si="9">AVERAGE(C133,C140)</f>
        <v>7.3090177593065899</v>
      </c>
      <c r="D147" s="791">
        <f t="shared" si="9"/>
        <v>6.9379960543182078</v>
      </c>
      <c r="E147" s="791">
        <f t="shared" si="9"/>
        <v>6.6075836311123206</v>
      </c>
      <c r="F147" s="545" t="s">
        <v>332</v>
      </c>
      <c r="G147" s="549" t="s">
        <v>355</v>
      </c>
      <c r="H147" s="549" t="s">
        <v>355</v>
      </c>
      <c r="I147" s="549" t="s">
        <v>355</v>
      </c>
      <c r="J147" s="961" t="s">
        <v>355</v>
      </c>
      <c r="K147" s="971">
        <f>INDEX($B147:$E147,MATCH(Graphs!$B$1,$B$1:$E$1,0))</f>
        <v>5.5757370797121624</v>
      </c>
    </row>
    <row r="148" spans="1:12">
      <c r="A148" t="s">
        <v>356</v>
      </c>
      <c r="B148" s="791">
        <f>'Cross-Industry CapEx Factors'!$B$23</f>
        <v>29.652197760109964</v>
      </c>
      <c r="C148" s="791">
        <f>'Cross-Industry CapEx Factors'!$B$23</f>
        <v>29.652197760109964</v>
      </c>
      <c r="D148" s="791">
        <f>'Cross-Industry CapEx Factors'!$B$23</f>
        <v>29.652197760109964</v>
      </c>
      <c r="E148" s="791">
        <f>'Cross-Industry CapEx Factors'!$B$23</f>
        <v>29.652197760109964</v>
      </c>
      <c r="F148" s="545" t="s">
        <v>332</v>
      </c>
      <c r="G148" s="49">
        <v>43</v>
      </c>
      <c r="H148" s="49">
        <v>43</v>
      </c>
      <c r="I148" s="49">
        <v>43</v>
      </c>
      <c r="J148" s="545">
        <v>43</v>
      </c>
      <c r="K148" s="971">
        <f>INDEX($B148:$E148,MATCH(Graphs!$B$1,$B$1:$E$1,0))</f>
        <v>29.652197760109964</v>
      </c>
    </row>
    <row r="149" spans="1:12">
      <c r="A149" t="s">
        <v>357</v>
      </c>
      <c r="B149" s="791">
        <f>'Cross-Industry CapEx Factors'!$B$19</f>
        <v>59.834526737935391</v>
      </c>
      <c r="C149" s="791">
        <f>'Cross-Industry CapEx Factors'!$B$19</f>
        <v>59.834526737935391</v>
      </c>
      <c r="D149" s="791">
        <f>'Cross-Industry CapEx Factors'!$B$19</f>
        <v>59.834526737935391</v>
      </c>
      <c r="E149" s="791">
        <f>'Cross-Industry CapEx Factors'!$B$19</f>
        <v>59.834526737935391</v>
      </c>
      <c r="F149" s="545" t="s">
        <v>332</v>
      </c>
      <c r="G149" s="49">
        <v>43</v>
      </c>
      <c r="H149" s="49">
        <v>43</v>
      </c>
      <c r="I149" s="49">
        <v>43</v>
      </c>
      <c r="J149" s="545">
        <v>43</v>
      </c>
      <c r="K149" s="971">
        <f>INDEX($B149:$E149,MATCH(Graphs!$B$1,$B$1:$E$1,0))</f>
        <v>59.834526737935391</v>
      </c>
      <c r="L149" s="558" t="s">
        <v>349</v>
      </c>
    </row>
    <row r="150" spans="1:12">
      <c r="A150" t="s">
        <v>358</v>
      </c>
      <c r="B150" s="791">
        <f>'Cross-Industry CapEx Factors'!$B$20</f>
        <v>36.686475452297195</v>
      </c>
      <c r="C150" s="791">
        <f>'Cross-Industry CapEx Factors'!$B$20</f>
        <v>36.686475452297195</v>
      </c>
      <c r="D150" s="791">
        <f>'Cross-Industry CapEx Factors'!$B$20</f>
        <v>36.686475452297195</v>
      </c>
      <c r="E150" s="791">
        <f>'Cross-Industry CapEx Factors'!$B$20</f>
        <v>36.686475452297195</v>
      </c>
      <c r="F150" s="545" t="s">
        <v>332</v>
      </c>
      <c r="G150" s="49">
        <v>43</v>
      </c>
      <c r="H150" s="49">
        <v>43</v>
      </c>
      <c r="I150" s="49">
        <v>43</v>
      </c>
      <c r="J150" s="545">
        <v>43</v>
      </c>
      <c r="K150" s="971">
        <f>INDEX($B150:$E150,MATCH(Graphs!$B$1,$B$1:$E$1,0))</f>
        <v>36.686475452297195</v>
      </c>
    </row>
    <row r="151" spans="1:12">
      <c r="A151" t="s">
        <v>359</v>
      </c>
      <c r="B151" s="791">
        <f>'Cross-Industry CapEx Factors'!$B$21</f>
        <v>181.51924448508419</v>
      </c>
      <c r="C151" s="791">
        <f>'Cross-Industry CapEx Factors'!$B$21</f>
        <v>181.51924448508419</v>
      </c>
      <c r="D151" s="791">
        <f>'Cross-Industry CapEx Factors'!$B$21</f>
        <v>181.51924448508419</v>
      </c>
      <c r="E151" s="791">
        <f>'Cross-Industry CapEx Factors'!$B$21</f>
        <v>181.51924448508419</v>
      </c>
      <c r="F151" s="545" t="s">
        <v>332</v>
      </c>
      <c r="G151" s="49">
        <v>43</v>
      </c>
      <c r="H151" s="49">
        <v>43</v>
      </c>
      <c r="I151" s="49">
        <v>43</v>
      </c>
      <c r="J151" s="545">
        <v>43</v>
      </c>
      <c r="K151" s="971">
        <f>INDEX($B151:$E151,MATCH(Graphs!$B$1,$B$1:$E$1,0))</f>
        <v>181.51924448508419</v>
      </c>
    </row>
    <row r="152" spans="1:12">
      <c r="A152" t="s">
        <v>360</v>
      </c>
      <c r="B152" s="791">
        <f>AVERAGE('Industrial CCS Capital Costs'!$B$92:$B$93)</f>
        <v>587.9745866699958</v>
      </c>
      <c r="C152" s="791">
        <f>AVERAGE('Industrial CCS Capital Costs'!$B$92:$B$93)</f>
        <v>587.9745866699958</v>
      </c>
      <c r="D152" s="791">
        <f>AVERAGE('Industrial CCS Capital Costs'!$B$92:$B$93)</f>
        <v>587.9745866699958</v>
      </c>
      <c r="E152" s="791">
        <f>SUM('Industrial CCS Capital Costs'!$B$21,'Industrial CCS Capital Costs'!$B$35,'Industrial CCS Capital Costs'!$B$63)</f>
        <v>584.34578993185994</v>
      </c>
      <c r="F152" s="965" t="s">
        <v>340</v>
      </c>
      <c r="G152" s="49" t="s">
        <v>333</v>
      </c>
      <c r="H152" s="49" t="s">
        <v>333</v>
      </c>
      <c r="I152" s="49" t="s">
        <v>333</v>
      </c>
      <c r="J152" s="545" t="s">
        <v>341</v>
      </c>
      <c r="K152" s="971">
        <f>INDEX($B152:$E152,MATCH(Graphs!$B$1,$B$1:$E$1,0))</f>
        <v>587.9745866699958</v>
      </c>
    </row>
    <row r="153" spans="1:12">
      <c r="A153" t="s">
        <v>361</v>
      </c>
      <c r="B153" s="791">
        <f>'Cross-Industry CapEx Factors'!$K$21</f>
        <v>34.455987071831217</v>
      </c>
      <c r="C153" s="791">
        <f>'Cross-Industry CapEx Factors'!$K$21</f>
        <v>34.455987071831217</v>
      </c>
      <c r="D153" s="791">
        <f>'Cross-Industry CapEx Factors'!$K$21</f>
        <v>34.455987071831217</v>
      </c>
      <c r="E153" s="791">
        <f>'Cross-Industry CapEx Factors'!$K$21</f>
        <v>34.455987071831217</v>
      </c>
      <c r="F153" s="545" t="s">
        <v>332</v>
      </c>
      <c r="G153" s="49">
        <v>43</v>
      </c>
      <c r="H153" s="49">
        <v>43</v>
      </c>
      <c r="I153" s="49">
        <v>43</v>
      </c>
      <c r="J153" s="545">
        <v>43</v>
      </c>
      <c r="K153" s="971">
        <f>INDEX($B153:$E153,MATCH(Graphs!$B$1,$B$1:$E$1,0))</f>
        <v>34.455987071831217</v>
      </c>
      <c r="L153" t="s">
        <v>344</v>
      </c>
    </row>
    <row r="154" spans="1:12">
      <c r="A154" t="s">
        <v>362</v>
      </c>
      <c r="B154" s="791">
        <f>'Cross-Industry CapEx Factors'!$K$20</f>
        <v>33.530193843696793</v>
      </c>
      <c r="C154" s="791">
        <f>'Cross-Industry CapEx Factors'!$K$20</f>
        <v>33.530193843696793</v>
      </c>
      <c r="D154" s="791">
        <f>'Cross-Industry CapEx Factors'!$K$20</f>
        <v>33.530193843696793</v>
      </c>
      <c r="E154" s="791">
        <f>'Cross-Industry CapEx Factors'!$K$20</f>
        <v>33.530193843696793</v>
      </c>
      <c r="F154" s="545" t="s">
        <v>332</v>
      </c>
      <c r="G154" s="49">
        <v>43</v>
      </c>
      <c r="H154" s="49">
        <v>43</v>
      </c>
      <c r="I154" s="49">
        <v>43</v>
      </c>
      <c r="J154" s="545">
        <v>43</v>
      </c>
      <c r="K154" s="971">
        <f>INDEX($B154:$E154,MATCH(Graphs!$B$1,$B$1:$E$1,0))</f>
        <v>33.530193843696793</v>
      </c>
    </row>
    <row r="155" spans="1:12">
      <c r="A155" t="s">
        <v>363</v>
      </c>
      <c r="B155" s="791">
        <f>'H2 Production Cost'!$B$49</f>
        <v>13.584568537832665</v>
      </c>
      <c r="C155" s="791">
        <f>'H2 Production Cost'!$B$49</f>
        <v>13.584568537832665</v>
      </c>
      <c r="D155" s="791">
        <f>'H2 Production Cost'!$B$49</f>
        <v>13.584568537832665</v>
      </c>
      <c r="E155" s="791">
        <f>'H2 Production Cost'!$B$49</f>
        <v>13.584568537832665</v>
      </c>
      <c r="F155" s="545" t="s">
        <v>332</v>
      </c>
      <c r="G155" s="49">
        <v>43</v>
      </c>
      <c r="H155" s="49">
        <v>43</v>
      </c>
      <c r="I155" s="49">
        <v>43</v>
      </c>
      <c r="J155" s="545">
        <v>43</v>
      </c>
      <c r="K155" s="971">
        <f>INDEX($B155:$E155,MATCH(Graphs!$B$1,$B$1:$E$1,0))</f>
        <v>13.584568537832665</v>
      </c>
    </row>
    <row r="156" spans="1:12">
      <c r="A156" s="552"/>
      <c r="B156" s="552"/>
      <c r="C156" s="552"/>
      <c r="D156" s="552"/>
      <c r="E156" s="552"/>
      <c r="F156" s="553"/>
      <c r="G156" s="554"/>
      <c r="H156" s="554"/>
      <c r="I156" s="554"/>
      <c r="J156" s="555"/>
      <c r="K156" s="555"/>
      <c r="L156" s="552"/>
    </row>
    <row r="157" spans="1:12">
      <c r="A157" s="535" t="s">
        <v>364</v>
      </c>
      <c r="B157" s="791"/>
      <c r="C157" s="791"/>
      <c r="D157" s="791"/>
      <c r="E157" s="791"/>
      <c r="F157" s="545"/>
      <c r="K157" s="971"/>
    </row>
    <row r="158" spans="1:12">
      <c r="A158" t="s">
        <v>40</v>
      </c>
      <c r="B158" s="995">
        <v>0.61176117611761183</v>
      </c>
      <c r="C158" s="995">
        <v>0.61562312462492497</v>
      </c>
      <c r="D158" s="995">
        <f>'Vietnam Elec Data &amp; Projections'!B20</f>
        <v>0.39585062553763034</v>
      </c>
      <c r="E158" s="995">
        <v>0.19401940194019401</v>
      </c>
      <c r="F158" s="545" t="s">
        <v>282</v>
      </c>
      <c r="G158" s="49">
        <v>53</v>
      </c>
      <c r="H158" s="49">
        <v>53</v>
      </c>
      <c r="I158" s="49">
        <v>78</v>
      </c>
      <c r="J158" s="545">
        <v>53</v>
      </c>
      <c r="K158" s="996">
        <f>INDEX($B158:$E158,MATCH(Graphs!$B$1,$B$1:$E$1,0))</f>
        <v>0.61176117611761183</v>
      </c>
    </row>
    <row r="159" spans="1:12">
      <c r="A159" t="s">
        <v>43</v>
      </c>
      <c r="B159" s="995">
        <v>8.1008100810081012E-3</v>
      </c>
      <c r="C159" s="995">
        <v>1.830366073214643E-2</v>
      </c>
      <c r="D159" s="995">
        <f>'Vietnam Elec Data &amp; Projections'!B21</f>
        <v>2.1127929613811629E-4</v>
      </c>
      <c r="E159" s="995">
        <v>9.0009000900090029E-3</v>
      </c>
      <c r="F159" s="545" t="s">
        <v>282</v>
      </c>
      <c r="G159" s="49">
        <v>53</v>
      </c>
      <c r="H159" s="49">
        <v>53</v>
      </c>
      <c r="I159" s="49">
        <v>78</v>
      </c>
      <c r="J159" s="545">
        <v>53</v>
      </c>
      <c r="K159" s="996">
        <f>INDEX($B159:$E159,MATCH(Graphs!$B$1,$B$1:$E$1,0))</f>
        <v>8.1008100810081012E-3</v>
      </c>
    </row>
    <row r="160" spans="1:12">
      <c r="A160" t="s">
        <v>365</v>
      </c>
      <c r="B160" s="995">
        <v>3.1103110311031103E-2</v>
      </c>
      <c r="C160" s="995">
        <v>0.1700340068013603</v>
      </c>
      <c r="D160" s="995">
        <f>'Vietnam Elec Data &amp; Projections'!B22</f>
        <v>0.11153660413805593</v>
      </c>
      <c r="E160" s="995">
        <v>0.39353935393539358</v>
      </c>
      <c r="F160" s="545" t="s">
        <v>282</v>
      </c>
      <c r="G160" s="49">
        <v>53</v>
      </c>
      <c r="H160" s="49">
        <v>53</v>
      </c>
      <c r="I160" s="49">
        <v>78</v>
      </c>
      <c r="J160" s="545">
        <v>53</v>
      </c>
      <c r="K160" s="996">
        <f>INDEX($B160:$E160,MATCH(Graphs!$B$1,$B$1:$E$1,0))</f>
        <v>3.1103110311031103E-2</v>
      </c>
    </row>
    <row r="161" spans="1:12">
      <c r="A161" t="s">
        <v>366</v>
      </c>
      <c r="B161" s="995">
        <v>4.7204720472047206E-2</v>
      </c>
      <c r="C161" s="995">
        <v>0</v>
      </c>
      <c r="D161" s="995">
        <f>'Vietnam Elec Data &amp; Projections'!B23</f>
        <v>0</v>
      </c>
      <c r="E161" s="995">
        <v>0.18001800180018002</v>
      </c>
      <c r="F161" s="545" t="s">
        <v>282</v>
      </c>
      <c r="G161" s="49">
        <v>53</v>
      </c>
      <c r="H161" s="49">
        <v>53</v>
      </c>
      <c r="I161" s="49">
        <v>78</v>
      </c>
      <c r="J161" s="545">
        <v>53</v>
      </c>
      <c r="K161" s="996">
        <f>INDEX($B161:$E161,MATCH(Graphs!$B$1,$B$1:$E$1,0))</f>
        <v>4.7204720472047206E-2</v>
      </c>
    </row>
    <row r="162" spans="1:12">
      <c r="A162" t="s">
        <v>367</v>
      </c>
      <c r="B162" s="995">
        <v>0.1467146714671467</v>
      </c>
      <c r="C162" s="995">
        <v>8.1816363272654541E-2</v>
      </c>
      <c r="D162" s="995">
        <f>'Vietnam Elec Data &amp; Projections'!B24</f>
        <v>0.35862396812700903</v>
      </c>
      <c r="E162" s="995">
        <v>5.8005800580058005E-2</v>
      </c>
      <c r="F162" s="545" t="s">
        <v>282</v>
      </c>
      <c r="G162" s="49">
        <v>53</v>
      </c>
      <c r="H162" s="49">
        <v>53</v>
      </c>
      <c r="I162" s="49">
        <v>78</v>
      </c>
      <c r="J162" s="545">
        <v>53</v>
      </c>
      <c r="K162" s="996">
        <f>INDEX($B162:$E162,MATCH(Graphs!$B$1,$B$1:$E$1,0))</f>
        <v>0.1467146714671467</v>
      </c>
    </row>
    <row r="163" spans="1:12">
      <c r="A163" t="s">
        <v>90</v>
      </c>
      <c r="B163" s="995">
        <v>2.0602060206020602E-2</v>
      </c>
      <c r="C163" s="995">
        <v>6.1812362472494498E-2</v>
      </c>
      <c r="D163" s="995">
        <f>'Vietnam Elec Data &amp; Projections'!B25</f>
        <v>1.4299080935061799E-3</v>
      </c>
      <c r="E163" s="995">
        <v>1.2101210121012103E-2</v>
      </c>
      <c r="F163" s="545" t="s">
        <v>282</v>
      </c>
      <c r="G163" s="49">
        <v>53</v>
      </c>
      <c r="H163" s="49">
        <v>53</v>
      </c>
      <c r="I163" s="49">
        <v>78</v>
      </c>
      <c r="J163" s="545">
        <v>53</v>
      </c>
      <c r="K163" s="996">
        <f>INDEX($B163:$E163,MATCH(Graphs!$B$1,$B$1:$E$1,0))</f>
        <v>2.0602060206020602E-2</v>
      </c>
    </row>
    <row r="164" spans="1:12">
      <c r="A164" t="s">
        <v>368</v>
      </c>
      <c r="B164" s="995">
        <v>8.6208620862086208E-2</v>
      </c>
      <c r="C164" s="995">
        <v>1.1002200440088019E-3</v>
      </c>
      <c r="D164" s="995">
        <f>'Vietnam Elec Data &amp; Projections'!B26</f>
        <v>3.3397220168117955E-2</v>
      </c>
      <c r="E164" s="995">
        <v>0.10131013101310132</v>
      </c>
      <c r="F164" s="545" t="s">
        <v>282</v>
      </c>
      <c r="G164" s="49">
        <v>53</v>
      </c>
      <c r="H164" s="49">
        <v>53</v>
      </c>
      <c r="I164" s="49">
        <v>78</v>
      </c>
      <c r="J164" s="545">
        <v>53</v>
      </c>
      <c r="K164" s="996">
        <f>INDEX($B164:$E164,MATCH(Graphs!$B$1,$B$1:$E$1,0))</f>
        <v>8.6208620862086208E-2</v>
      </c>
    </row>
    <row r="165" spans="1:12">
      <c r="A165" t="s">
        <v>369</v>
      </c>
      <c r="B165" s="995">
        <v>4.830483048304831E-2</v>
      </c>
      <c r="C165" s="995">
        <v>1.3002600520104022E-3</v>
      </c>
      <c r="D165" s="995">
        <f>'Vietnam Elec Data &amp; Projections'!B27</f>
        <v>9.6305630593242084E-2</v>
      </c>
      <c r="E165" s="995">
        <v>4.7804780478047815E-2</v>
      </c>
      <c r="F165" s="545" t="s">
        <v>282</v>
      </c>
      <c r="G165" s="49">
        <v>53</v>
      </c>
      <c r="H165" s="49">
        <v>53</v>
      </c>
      <c r="I165" s="49">
        <v>78</v>
      </c>
      <c r="J165" s="545">
        <v>53</v>
      </c>
      <c r="K165" s="996">
        <f>INDEX($B165:$E165,MATCH(Graphs!$B$1,$B$1:$E$1,0))</f>
        <v>4.830483048304831E-2</v>
      </c>
    </row>
    <row r="166" spans="1:12">
      <c r="A166" t="s">
        <v>370</v>
      </c>
      <c r="B166" s="995">
        <v>0</v>
      </c>
      <c r="C166" s="995">
        <v>5.0010002000400088E-2</v>
      </c>
      <c r="D166" s="995">
        <f>'Vietnam Elec Data &amp; Projections'!B28</f>
        <v>2.6447640463003485E-3</v>
      </c>
      <c r="E166" s="995">
        <v>4.2004200420042003E-3</v>
      </c>
      <c r="F166" s="545" t="s">
        <v>282</v>
      </c>
      <c r="G166" s="49">
        <v>53</v>
      </c>
      <c r="H166" s="49">
        <v>53</v>
      </c>
      <c r="I166" s="49">
        <v>78</v>
      </c>
      <c r="J166" s="545">
        <v>53</v>
      </c>
      <c r="K166" s="996">
        <f>INDEX($B166:$E166,MATCH(Graphs!$B$1,$B$1:$E$1,0))</f>
        <v>0</v>
      </c>
    </row>
    <row r="167" spans="1:12">
      <c r="A167" s="552"/>
      <c r="B167" s="552"/>
      <c r="C167" s="552"/>
      <c r="D167" s="552"/>
      <c r="E167" s="552"/>
      <c r="F167" s="553"/>
      <c r="G167" s="554"/>
      <c r="H167" s="554"/>
      <c r="I167" s="554"/>
      <c r="J167" s="555"/>
      <c r="K167" s="555"/>
      <c r="L167" s="552"/>
    </row>
    <row r="168" spans="1:12">
      <c r="A168" s="535" t="s">
        <v>371</v>
      </c>
      <c r="B168" s="1042"/>
      <c r="C168" s="1042"/>
      <c r="D168" s="995"/>
      <c r="E168" s="995"/>
      <c r="F168" s="545"/>
      <c r="K168" s="996"/>
    </row>
    <row r="169" spans="1:12">
      <c r="A169" s="558" t="s">
        <v>372</v>
      </c>
      <c r="B169" s="1037">
        <f>'China Elec Projections'!B50</f>
        <v>8835.7619999999988</v>
      </c>
      <c r="C169" s="27">
        <f>'Indonesia Elec Projections'!C30</f>
        <v>445.68571428570431</v>
      </c>
      <c r="D169">
        <f>'Vietnam Elec Data &amp; Projections'!C35</f>
        <v>250</v>
      </c>
      <c r="E169" s="27">
        <f>'AEO T8 Electricity Demand'!C69</f>
        <v>4084.5034179999998</v>
      </c>
      <c r="F169" s="545" t="s">
        <v>373</v>
      </c>
      <c r="G169" s="49" t="s">
        <v>374</v>
      </c>
      <c r="H169" s="49">
        <v>71</v>
      </c>
      <c r="I169" s="49">
        <v>69</v>
      </c>
      <c r="J169" s="545">
        <v>46</v>
      </c>
      <c r="K169" s="1038">
        <f>INDEX($B169:$E169,MATCH(Graphs!$B$1,$B$1:$E$1,0))</f>
        <v>8835.7619999999988</v>
      </c>
    </row>
    <row r="170" spans="1:12">
      <c r="A170" s="558" t="s">
        <v>375</v>
      </c>
      <c r="B170" s="1037">
        <f>'China Elec Projections'!B51</f>
        <v>10106.208333333334</v>
      </c>
      <c r="C170" s="27">
        <f>'Indonesia Elec Projections'!C31</f>
        <v>553.16836734693788</v>
      </c>
      <c r="D170">
        <f>'Vietnam Elec Data &amp; Projections'!C36</f>
        <v>300</v>
      </c>
      <c r="E170" s="27">
        <f>'AEO T8 Electricity Demand'!F69</f>
        <v>4124.3256840000004</v>
      </c>
      <c r="F170" s="545" t="s">
        <v>373</v>
      </c>
      <c r="G170" s="49" t="s">
        <v>374</v>
      </c>
      <c r="H170" s="49">
        <v>71</v>
      </c>
      <c r="I170" s="49">
        <v>69</v>
      </c>
      <c r="J170" s="545">
        <v>46</v>
      </c>
      <c r="K170" s="1038">
        <f>INDEX($B170:$E170,MATCH(Graphs!$B$1,$B$1:$E$1,0))</f>
        <v>10106.208333333334</v>
      </c>
    </row>
    <row r="171" spans="1:12">
      <c r="A171" s="558" t="s">
        <v>376</v>
      </c>
      <c r="B171" s="1037">
        <f>'China Elec Projections'!B52</f>
        <v>11376.75</v>
      </c>
      <c r="C171" s="27">
        <f>'Indonesia Elec Projections'!C32</f>
        <v>732.30612244897929</v>
      </c>
      <c r="D171">
        <f>'Vietnam Elec Data &amp; Projections'!C37</f>
        <v>410</v>
      </c>
      <c r="E171" s="1037">
        <f>'AEO T8 Electricity Demand'!K69</f>
        <v>4315.4702150000003</v>
      </c>
      <c r="F171" s="545" t="s">
        <v>373</v>
      </c>
      <c r="G171" s="49" t="s">
        <v>374</v>
      </c>
      <c r="H171" s="49">
        <v>71</v>
      </c>
      <c r="I171" s="49">
        <v>69</v>
      </c>
      <c r="J171" s="545">
        <v>46</v>
      </c>
      <c r="K171" s="1038">
        <f>INDEX($B171:$E171,MATCH(Graphs!$B$1,$B$1:$E$1,0))</f>
        <v>11376.75</v>
      </c>
    </row>
    <row r="172" spans="1:12">
      <c r="A172" s="558" t="s">
        <v>377</v>
      </c>
      <c r="B172" s="1037">
        <f>'China Elec Projections'!B53</f>
        <v>12647.291666666668</v>
      </c>
      <c r="C172" s="27">
        <f>'Indonesia Elec Projections'!C33</f>
        <v>911.44387755102071</v>
      </c>
      <c r="D172">
        <f>'Vietnam Elec Data &amp; Projections'!C38</f>
        <v>550</v>
      </c>
      <c r="E172" s="1037">
        <f>'AEO T8 Electricity Demand'!P69</f>
        <v>4493.5556640000004</v>
      </c>
      <c r="F172" s="545" t="s">
        <v>373</v>
      </c>
      <c r="G172" s="49" t="s">
        <v>374</v>
      </c>
      <c r="H172" s="49">
        <v>71</v>
      </c>
      <c r="I172" s="49">
        <v>69</v>
      </c>
      <c r="J172" s="545">
        <v>46</v>
      </c>
      <c r="K172" s="1038">
        <f>INDEX($B172:$E172,MATCH(Graphs!$B$1,$B$1:$E$1,0))</f>
        <v>12647.291666666668</v>
      </c>
    </row>
    <row r="173" spans="1:12">
      <c r="A173" s="558" t="s">
        <v>378</v>
      </c>
      <c r="B173" s="1037">
        <f>'China Elec Projections'!B54</f>
        <v>13917.833333333334</v>
      </c>
      <c r="C173" s="27">
        <f>'Indonesia Elec Projections'!C34</f>
        <v>1090.5816326530621</v>
      </c>
      <c r="D173">
        <f>'Vietnam Elec Data &amp; Projections'!C39</f>
        <v>725</v>
      </c>
      <c r="E173" s="1037">
        <f>'AEO T8 Electricity Demand'!U69</f>
        <v>4689.2446289999998</v>
      </c>
      <c r="F173" s="545" t="s">
        <v>373</v>
      </c>
      <c r="G173" s="49" t="s">
        <v>374</v>
      </c>
      <c r="H173" s="49">
        <v>71</v>
      </c>
      <c r="I173" s="49">
        <v>69</v>
      </c>
      <c r="J173" s="545">
        <v>46</v>
      </c>
      <c r="K173" s="1038">
        <f>INDEX($B173:$E173,MATCH(Graphs!$B$1,$B$1:$E$1,0))</f>
        <v>13917.833333333334</v>
      </c>
    </row>
    <row r="174" spans="1:12">
      <c r="A174" s="558" t="s">
        <v>379</v>
      </c>
      <c r="B174" s="1037">
        <f>'China Elec Projections'!B55</f>
        <v>15188.375000000002</v>
      </c>
      <c r="C174" s="27">
        <f>'Indonesia Elec Projections'!C35</f>
        <v>1269.7193877551035</v>
      </c>
      <c r="D174">
        <f>'Vietnam Elec Data &amp; Projections'!C40</f>
        <v>910</v>
      </c>
      <c r="E174" s="1037">
        <f>'AEO T8 Electricity Demand'!Z69</f>
        <v>4908.3129879999997</v>
      </c>
      <c r="F174" s="545" t="s">
        <v>373</v>
      </c>
      <c r="G174" s="49" t="s">
        <v>374</v>
      </c>
      <c r="H174" s="49">
        <v>71</v>
      </c>
      <c r="I174" s="49">
        <v>69</v>
      </c>
      <c r="J174" s="545">
        <v>46</v>
      </c>
      <c r="K174" s="1038">
        <f>INDEX($B174:$E174,MATCH(Graphs!$B$1,$B$1:$E$1,0))</f>
        <v>15188.375000000002</v>
      </c>
    </row>
    <row r="175" spans="1:12">
      <c r="A175" s="558" t="s">
        <v>380</v>
      </c>
      <c r="B175" s="1037">
        <f>'China Elec Projections'!B56</f>
        <v>16458.916666666668</v>
      </c>
      <c r="C175" s="27">
        <f>'Indonesia Elec Projections'!C36</f>
        <v>1448.8571428571449</v>
      </c>
      <c r="D175">
        <f>'Vietnam Elec Data &amp; Projections'!C41</f>
        <v>1127</v>
      </c>
      <c r="E175" s="1037">
        <f>'AEO T8 Electricity Demand'!AE69</f>
        <v>5178.0112300000001</v>
      </c>
      <c r="F175" s="545" t="s">
        <v>373</v>
      </c>
      <c r="G175" s="49" t="s">
        <v>374</v>
      </c>
      <c r="H175" s="49">
        <v>71</v>
      </c>
      <c r="I175" s="49">
        <v>69</v>
      </c>
      <c r="J175" s="545">
        <v>46</v>
      </c>
      <c r="K175" s="1038">
        <f>INDEX($B175:$E175,MATCH(Graphs!$B$1,$B$1:$E$1,0))</f>
        <v>16458.916666666668</v>
      </c>
    </row>
    <row r="176" spans="1:12">
      <c r="A176" s="558" t="s">
        <v>381</v>
      </c>
      <c r="B176" s="1037">
        <f>'China Elec Projections'!B57</f>
        <v>4422.009</v>
      </c>
      <c r="C176" s="27">
        <f>'Indonesia Elec Projections'!C37</f>
        <v>228.08780686182004</v>
      </c>
      <c r="D176" s="1037">
        <f>'Vietnam Elec Data &amp; Projections'!E35</f>
        <v>135</v>
      </c>
      <c r="E176" s="1037">
        <f>'AEO T8 Electricity Demand'!C65</f>
        <v>1013.826233</v>
      </c>
      <c r="F176" s="545" t="s">
        <v>373</v>
      </c>
      <c r="G176" s="49" t="s">
        <v>374</v>
      </c>
      <c r="H176" s="49">
        <v>71</v>
      </c>
      <c r="I176" s="49">
        <v>69</v>
      </c>
      <c r="J176" s="545">
        <v>46</v>
      </c>
      <c r="K176" s="1038">
        <f>INDEX($B176:$E176,MATCH(Graphs!$B$1,$B$1:$E$1,0))</f>
        <v>4422.009</v>
      </c>
    </row>
    <row r="177" spans="1:12">
      <c r="A177" s="558" t="s">
        <v>382</v>
      </c>
      <c r="B177" s="1037">
        <f>'China Elec Projections'!B58</f>
        <v>5057.8257094153296</v>
      </c>
      <c r="C177" s="27">
        <f>'Indonesia Elec Projections'!C38</f>
        <v>267.67329400312764</v>
      </c>
      <c r="D177" s="1037">
        <f>'Vietnam Elec Data &amp; Projections'!E36</f>
        <v>164.25</v>
      </c>
      <c r="E177" s="1037">
        <f>'AEO T8 Electricity Demand'!F65</f>
        <v>1017.345337</v>
      </c>
      <c r="F177" s="545" t="s">
        <v>373</v>
      </c>
      <c r="G177" s="49" t="s">
        <v>374</v>
      </c>
      <c r="H177" s="49">
        <v>71</v>
      </c>
      <c r="I177" s="49">
        <v>69</v>
      </c>
      <c r="J177" s="545">
        <v>46</v>
      </c>
      <c r="K177" s="1038">
        <f>INDEX($B177:$E177,MATCH(Graphs!$B$1,$B$1:$E$1,0))</f>
        <v>5057.8257094153296</v>
      </c>
    </row>
    <row r="178" spans="1:12">
      <c r="A178" s="558" t="s">
        <v>383</v>
      </c>
      <c r="B178" s="1037">
        <f>'China Elec Projections'!B59</f>
        <v>5693.6901300363243</v>
      </c>
      <c r="C178" s="27">
        <f>'Indonesia Elec Projections'!C39</f>
        <v>333.64910590530701</v>
      </c>
      <c r="D178" s="1037">
        <f>'Vietnam Elec Data &amp; Projections'!E37</f>
        <v>229.60000000000002</v>
      </c>
      <c r="E178" s="1037">
        <f>'AEO T8 Electricity Demand'!K65</f>
        <v>1054.5239260000001</v>
      </c>
      <c r="F178" s="545" t="s">
        <v>373</v>
      </c>
      <c r="G178" s="49" t="s">
        <v>374</v>
      </c>
      <c r="H178" s="49">
        <v>71</v>
      </c>
      <c r="I178" s="49">
        <v>69</v>
      </c>
      <c r="J178" s="545">
        <v>46</v>
      </c>
      <c r="K178" s="1038">
        <f>INDEX($B178:$E178,MATCH(Graphs!$B$1,$B$1:$E$1,0))</f>
        <v>5693.6901300363243</v>
      </c>
    </row>
    <row r="179" spans="1:12">
      <c r="A179" s="558" t="s">
        <v>384</v>
      </c>
      <c r="B179" s="1037">
        <f>'China Elec Projections'!B60</f>
        <v>6329.5545506573189</v>
      </c>
      <c r="C179" s="27">
        <f>'Indonesia Elec Projections'!C40</f>
        <v>399.62491780748638</v>
      </c>
      <c r="D179" s="1037">
        <f>'Vietnam Elec Data &amp; Projections'!E38</f>
        <v>314.875</v>
      </c>
      <c r="E179" s="1037">
        <f>'AEO T8 Electricity Demand'!U65</f>
        <v>1108.7885739999999</v>
      </c>
      <c r="F179" s="545" t="s">
        <v>373</v>
      </c>
      <c r="G179" s="49" t="s">
        <v>374</v>
      </c>
      <c r="H179" s="49">
        <v>71</v>
      </c>
      <c r="I179" s="49">
        <v>69</v>
      </c>
      <c r="J179" s="545">
        <v>46</v>
      </c>
      <c r="K179" s="1038">
        <f>INDEX($B179:$E179,MATCH(Graphs!$B$1,$B$1:$E$1,0))</f>
        <v>6329.5545506573189</v>
      </c>
    </row>
    <row r="180" spans="1:12">
      <c r="A180" s="558" t="s">
        <v>385</v>
      </c>
      <c r="B180" s="1037">
        <f>'China Elec Projections'!B61</f>
        <v>6965.4189712783136</v>
      </c>
      <c r="C180" s="27">
        <f>'Indonesia Elec Projections'!C41</f>
        <v>465.6007297096657</v>
      </c>
      <c r="D180" s="1037">
        <f>'Vietnam Elec Data &amp; Projections'!E39</f>
        <v>424.125</v>
      </c>
      <c r="E180" s="27">
        <f>'AEO T8 Electricity Demand'!U65</f>
        <v>1108.7885739999999</v>
      </c>
      <c r="F180" s="545" t="s">
        <v>373</v>
      </c>
      <c r="G180" s="49" t="s">
        <v>374</v>
      </c>
      <c r="H180" s="49">
        <v>71</v>
      </c>
      <c r="I180" s="49">
        <v>69</v>
      </c>
      <c r="J180" s="545">
        <v>46</v>
      </c>
      <c r="K180" s="1038">
        <f>INDEX($B180:$E180,MATCH(Graphs!$B$1,$B$1:$E$1,0))</f>
        <v>6965.4189712783136</v>
      </c>
    </row>
    <row r="181" spans="1:12">
      <c r="A181" s="558" t="s">
        <v>386</v>
      </c>
      <c r="B181" s="1037">
        <f>'China Elec Projections'!B62</f>
        <v>7601.2833918993092</v>
      </c>
      <c r="C181" s="27">
        <f>'Indonesia Elec Projections'!C42</f>
        <v>531.57654161184507</v>
      </c>
      <c r="D181" s="1037">
        <f>'Vietnam Elec Data &amp; Projections'!E40</f>
        <v>543.72500000000002</v>
      </c>
      <c r="E181" s="1037">
        <f>'AEO T8 Electricity Demand'!Z65</f>
        <v>1141.7172849999999</v>
      </c>
      <c r="F181" s="545" t="s">
        <v>373</v>
      </c>
      <c r="G181" s="49" t="s">
        <v>374</v>
      </c>
      <c r="H181" s="49">
        <v>71</v>
      </c>
      <c r="I181" s="49">
        <v>69</v>
      </c>
      <c r="J181" s="545">
        <v>46</v>
      </c>
      <c r="K181" s="1038">
        <f>INDEX($B181:$E181,MATCH(Graphs!$B$1,$B$1:$E$1,0))</f>
        <v>7601.2833918993092</v>
      </c>
    </row>
    <row r="182" spans="1:12">
      <c r="A182" s="558" t="s">
        <v>387</v>
      </c>
      <c r="B182" s="1037">
        <f>'China Elec Projections'!B63</f>
        <v>8237.147812520303</v>
      </c>
      <c r="C182" s="27">
        <f>'Indonesia Elec Projections'!C43</f>
        <v>597.55235351402439</v>
      </c>
      <c r="D182" s="1037">
        <f>'Vietnam Elec Data &amp; Projections'!E41</f>
        <v>687.47</v>
      </c>
      <c r="E182" s="1037">
        <f>'AEO T8 Electricity Demand'!AE65</f>
        <v>1183.400269</v>
      </c>
      <c r="F182" s="545" t="s">
        <v>373</v>
      </c>
      <c r="G182" s="49" t="s">
        <v>374</v>
      </c>
      <c r="H182" s="49">
        <v>71</v>
      </c>
      <c r="I182" s="49">
        <v>69</v>
      </c>
      <c r="J182" s="545">
        <v>46</v>
      </c>
      <c r="K182" s="1038">
        <f>INDEX($B182:$E182,MATCH(Graphs!$B$1,$B$1:$E$1,0))</f>
        <v>8237.147812520303</v>
      </c>
    </row>
    <row r="183" spans="1:12">
      <c r="A183" s="552"/>
      <c r="B183" s="552"/>
      <c r="C183" s="552"/>
      <c r="D183" s="552"/>
      <c r="E183" s="552"/>
      <c r="F183" s="553"/>
      <c r="G183" s="554"/>
      <c r="H183" s="554"/>
      <c r="I183" s="554"/>
      <c r="J183" s="555"/>
      <c r="K183" s="555"/>
      <c r="L183" s="552"/>
    </row>
    <row r="184" spans="1:12">
      <c r="A184" t="s">
        <v>388</v>
      </c>
      <c r="B184" s="995"/>
      <c r="C184" s="995"/>
      <c r="D184" s="995"/>
      <c r="E184" s="995"/>
      <c r="F184" s="545"/>
      <c r="K184" s="996"/>
    </row>
    <row r="185" spans="1:12">
      <c r="A185" t="s">
        <v>389</v>
      </c>
      <c r="B185" s="50">
        <v>0.9</v>
      </c>
      <c r="C185" s="50">
        <f>20/675</f>
        <v>2.9629629629629631E-2</v>
      </c>
      <c r="D185" s="50">
        <v>0.89</v>
      </c>
      <c r="E185" s="50">
        <f>288807/871619</f>
        <v>0.33134546172123369</v>
      </c>
      <c r="F185" s="545" t="s">
        <v>282</v>
      </c>
      <c r="G185" s="49">
        <v>58</v>
      </c>
      <c r="H185" s="49" t="s">
        <v>390</v>
      </c>
      <c r="I185" s="49">
        <v>59</v>
      </c>
      <c r="J185" s="545">
        <v>60</v>
      </c>
      <c r="K185" s="996">
        <f>INDEX($B185:$E185,MATCH(Graphs!$B$1,$B$1:$E$1,0))</f>
        <v>0.9</v>
      </c>
    </row>
    <row r="186" spans="1:12">
      <c r="A186" s="552"/>
      <c r="B186" s="552"/>
      <c r="C186" s="552"/>
      <c r="D186" s="552"/>
      <c r="E186" s="552"/>
      <c r="F186" s="553"/>
      <c r="G186" s="554"/>
      <c r="H186" s="554"/>
      <c r="I186" s="554"/>
      <c r="J186" s="555"/>
      <c r="K186" s="555"/>
      <c r="L186" s="552"/>
    </row>
    <row r="187" spans="1:12">
      <c r="A187" s="535" t="s">
        <v>391</v>
      </c>
      <c r="B187" s="536"/>
      <c r="C187" s="536"/>
    </row>
    <row r="188" spans="1:12">
      <c r="A188" t="s">
        <v>392</v>
      </c>
      <c r="B188" s="50">
        <f>'Steel Cost Model-China'!D40/'Steel Cost Model-China'!D44</f>
        <v>0.60120240480961917</v>
      </c>
      <c r="C188" s="56">
        <f>'Steel Cost Model-Indonesia'!D41/'Steel Cost Model-Indonesia'!D45</f>
        <v>0.7</v>
      </c>
      <c r="D188" s="56">
        <f>'Steel Cost Model-Vietnam'!D43/'Steel Cost Model-Vietnam'!D48</f>
        <v>0.6</v>
      </c>
      <c r="E188" s="966">
        <v>0</v>
      </c>
      <c r="F188" s="545" t="s">
        <v>282</v>
      </c>
      <c r="G188" s="49" t="s">
        <v>393</v>
      </c>
      <c r="H188" s="49" t="s">
        <v>393</v>
      </c>
      <c r="I188" s="49" t="s">
        <v>393</v>
      </c>
      <c r="J188" s="963" t="s">
        <v>394</v>
      </c>
      <c r="K188" s="551">
        <f>INDEX($B188:$E188,MATCH(Graphs!$B$1,$B$1:$E$1,0))</f>
        <v>0.60120240480961917</v>
      </c>
      <c r="L188" t="s">
        <v>395</v>
      </c>
    </row>
    <row r="189" spans="1:12">
      <c r="A189" s="552"/>
      <c r="B189" s="552"/>
      <c r="C189" s="552"/>
      <c r="D189" s="552"/>
      <c r="E189" s="552"/>
      <c r="F189" s="553"/>
      <c r="G189" s="554"/>
      <c r="H189" s="554"/>
      <c r="I189" s="554"/>
      <c r="J189" s="555"/>
      <c r="K189" s="555"/>
      <c r="L189" s="552"/>
    </row>
    <row r="190" spans="1:12">
      <c r="A190" s="535" t="s">
        <v>396</v>
      </c>
      <c r="B190" s="536"/>
      <c r="C190" s="536"/>
    </row>
    <row r="191" spans="1:12">
      <c r="A191" t="s">
        <v>67</v>
      </c>
      <c r="B191" s="966">
        <v>0</v>
      </c>
      <c r="C191" s="966">
        <f>$B191</f>
        <v>0</v>
      </c>
      <c r="D191" s="966">
        <f t="shared" ref="D191:E195" si="10">$B191</f>
        <v>0</v>
      </c>
      <c r="E191" s="966">
        <f t="shared" si="10"/>
        <v>0</v>
      </c>
      <c r="F191" s="545" t="s">
        <v>282</v>
      </c>
      <c r="G191" s="964" t="s">
        <v>394</v>
      </c>
      <c r="H191" s="964" t="s">
        <v>394</v>
      </c>
      <c r="I191" s="964" t="s">
        <v>394</v>
      </c>
      <c r="J191" s="963" t="s">
        <v>394</v>
      </c>
      <c r="K191" s="551">
        <f>INDEX($B191:$E191,MATCH(Graphs!$B$1,$B$1:$E$1,0))</f>
        <v>0</v>
      </c>
      <c r="L191" t="s">
        <v>395</v>
      </c>
    </row>
    <row r="192" spans="1:12">
      <c r="A192" t="s">
        <v>68</v>
      </c>
      <c r="B192" s="966">
        <v>0</v>
      </c>
      <c r="C192" s="966">
        <f t="shared" ref="C192:C195" si="11">$B192</f>
        <v>0</v>
      </c>
      <c r="D192" s="966">
        <f t="shared" si="10"/>
        <v>0</v>
      </c>
      <c r="E192" s="966">
        <f t="shared" si="10"/>
        <v>0</v>
      </c>
      <c r="F192" s="545" t="s">
        <v>282</v>
      </c>
      <c r="G192" s="964" t="s">
        <v>394</v>
      </c>
      <c r="H192" s="964" t="s">
        <v>394</v>
      </c>
      <c r="I192" s="964" t="s">
        <v>394</v>
      </c>
      <c r="J192" s="963" t="s">
        <v>394</v>
      </c>
      <c r="K192" s="551">
        <f>INDEX($B192:$E192,MATCH(Graphs!$B$1,$B$1:$E$1,0))</f>
        <v>0</v>
      </c>
      <c r="L192" t="s">
        <v>395</v>
      </c>
    </row>
    <row r="193" spans="1:12">
      <c r="A193" t="s">
        <v>70</v>
      </c>
      <c r="B193" s="50">
        <f>'Cement Cost Model-China'!H142/SUM('Cement Cost Model-China'!H140,'Cement Cost Model-China'!H142)</f>
        <v>0.67280453257790362</v>
      </c>
      <c r="C193" s="56">
        <f>'Cement Cost Model-Indonesia'!H105/SUM('Cement Cost Model-Indonesia'!H105,'Cement Cost Model-Indonesia'!H103)</f>
        <v>0.78108941418293942</v>
      </c>
      <c r="D193" s="56">
        <f>'Cement Cost Model-Vietnam'!H105/SUM('Cement Cost Model-Vietnam'!H103,'Cement Cost Model-Vietnam'!H105)</f>
        <v>0.83355040375097689</v>
      </c>
      <c r="E193" s="966">
        <v>1</v>
      </c>
      <c r="F193" s="545" t="s">
        <v>282</v>
      </c>
      <c r="G193" s="49" t="s">
        <v>397</v>
      </c>
      <c r="H193" s="49" t="s">
        <v>397</v>
      </c>
      <c r="I193" s="49" t="s">
        <v>397</v>
      </c>
      <c r="J193" s="963" t="s">
        <v>394</v>
      </c>
      <c r="K193" s="551">
        <f>INDEX($B193:$E193,MATCH(Graphs!$B$1,$B$1:$E$1,0))</f>
        <v>0.67280453257790362</v>
      </c>
      <c r="L193" t="s">
        <v>395</v>
      </c>
    </row>
    <row r="194" spans="1:12">
      <c r="A194" t="s">
        <v>71</v>
      </c>
      <c r="B194" s="50">
        <f>SUM('Steel Cost Model-China'!D39,'Steel Cost Model-China'!D43)/SUM('Steel Cost Model-China'!D39,'Steel Cost Model-China'!D42:D43)</f>
        <v>0.65463917525773196</v>
      </c>
      <c r="C194" s="56">
        <f>'Steel Cost Model-Indonesia'!D44/SUM('Steel Cost Model-Indonesia'!D43:D44)</f>
        <v>0.33333333333333331</v>
      </c>
      <c r="D194" s="56">
        <f>SUM('Steel Cost Model-Vietnam'!D42,'Steel Cost Model-Vietnam'!D46)/SUM('Steel Cost Model-Vietnam'!D42,'Steel Cost Model-Vietnam'!D45:D46)</f>
        <v>0.83333333333333337</v>
      </c>
      <c r="E194" s="966">
        <v>0.5</v>
      </c>
      <c r="F194" s="545" t="s">
        <v>282</v>
      </c>
      <c r="G194" s="49" t="s">
        <v>393</v>
      </c>
      <c r="H194" s="49" t="s">
        <v>393</v>
      </c>
      <c r="I194" s="49" t="s">
        <v>393</v>
      </c>
      <c r="J194" s="963" t="s">
        <v>394</v>
      </c>
      <c r="K194" s="551">
        <f>INDEX($B194:$E194,MATCH(Graphs!$B$1,$B$1:$E$1,0))</f>
        <v>0.65463917525773196</v>
      </c>
      <c r="L194" t="s">
        <v>395</v>
      </c>
    </row>
    <row r="195" spans="1:12">
      <c r="A195" t="s">
        <v>72</v>
      </c>
      <c r="B195" s="966">
        <v>1</v>
      </c>
      <c r="C195" s="966">
        <f t="shared" si="11"/>
        <v>1</v>
      </c>
      <c r="D195" s="966">
        <f t="shared" si="10"/>
        <v>1</v>
      </c>
      <c r="E195" s="966">
        <f t="shared" si="10"/>
        <v>1</v>
      </c>
      <c r="F195" s="545" t="s">
        <v>282</v>
      </c>
      <c r="G195" s="964" t="s">
        <v>394</v>
      </c>
      <c r="H195" s="964" t="s">
        <v>394</v>
      </c>
      <c r="I195" s="964" t="s">
        <v>394</v>
      </c>
      <c r="J195" s="963" t="s">
        <v>394</v>
      </c>
      <c r="K195" s="551">
        <f>INDEX($B195:$E195,MATCH(Graphs!$B$1,$B$1:$E$1,0))</f>
        <v>1</v>
      </c>
      <c r="L195" t="s">
        <v>395</v>
      </c>
    </row>
    <row r="196" spans="1:12">
      <c r="A196" s="535" t="s">
        <v>398</v>
      </c>
      <c r="B196" s="536"/>
      <c r="C196" s="536"/>
      <c r="F196" s="545"/>
      <c r="K196" s="778"/>
    </row>
    <row r="197" spans="1:12">
      <c r="A197" t="s">
        <v>67</v>
      </c>
      <c r="B197" s="966">
        <f>1-B191</f>
        <v>1</v>
      </c>
      <c r="C197" s="966">
        <f t="shared" ref="C197:E197" si="12">1-C191</f>
        <v>1</v>
      </c>
      <c r="D197" s="966">
        <f t="shared" si="12"/>
        <v>1</v>
      </c>
      <c r="E197" s="966">
        <f t="shared" si="12"/>
        <v>1</v>
      </c>
      <c r="F197" s="545" t="s">
        <v>282</v>
      </c>
      <c r="G197" s="964" t="s">
        <v>394</v>
      </c>
      <c r="H197" s="964" t="s">
        <v>394</v>
      </c>
      <c r="I197" s="964" t="s">
        <v>394</v>
      </c>
      <c r="J197" s="963" t="s">
        <v>394</v>
      </c>
      <c r="K197" s="551">
        <f>INDEX($B197:$E197,MATCH(Graphs!$B$1,$B$1:$E$1,0))</f>
        <v>1</v>
      </c>
      <c r="L197" t="s">
        <v>395</v>
      </c>
    </row>
    <row r="198" spans="1:12">
      <c r="A198" t="s">
        <v>68</v>
      </c>
      <c r="B198" s="966">
        <f>1-B192</f>
        <v>1</v>
      </c>
      <c r="C198" s="966">
        <f t="shared" ref="C198:E200" si="13">1-C192</f>
        <v>1</v>
      </c>
      <c r="D198" s="966">
        <f t="shared" si="13"/>
        <v>1</v>
      </c>
      <c r="E198" s="966">
        <f t="shared" si="13"/>
        <v>1</v>
      </c>
      <c r="F198" s="545" t="s">
        <v>282</v>
      </c>
      <c r="G198" s="964" t="s">
        <v>394</v>
      </c>
      <c r="H198" s="964" t="s">
        <v>394</v>
      </c>
      <c r="I198" s="964" t="s">
        <v>394</v>
      </c>
      <c r="J198" s="963" t="s">
        <v>394</v>
      </c>
      <c r="K198" s="551">
        <f>INDEX($B198:$E198,MATCH(Graphs!$B$1,$B$1:$E$1,0))</f>
        <v>1</v>
      </c>
      <c r="L198" t="s">
        <v>395</v>
      </c>
    </row>
    <row r="199" spans="1:12">
      <c r="A199" t="s">
        <v>70</v>
      </c>
      <c r="B199" s="50">
        <f>1-B193</f>
        <v>0.32719546742209638</v>
      </c>
      <c r="C199" s="50">
        <f t="shared" si="13"/>
        <v>0.21891058581706058</v>
      </c>
      <c r="D199" s="50">
        <f t="shared" si="13"/>
        <v>0.16644959624902311</v>
      </c>
      <c r="E199" s="966">
        <f t="shared" si="13"/>
        <v>0</v>
      </c>
      <c r="F199" s="545" t="s">
        <v>282</v>
      </c>
      <c r="G199" s="49" t="s">
        <v>397</v>
      </c>
      <c r="H199" s="49" t="s">
        <v>397</v>
      </c>
      <c r="I199" s="49" t="s">
        <v>397</v>
      </c>
      <c r="J199" s="963" t="s">
        <v>394</v>
      </c>
      <c r="K199" s="551">
        <f>INDEX($B199:$E199,MATCH(Graphs!$B$1,$B$1:$E$1,0))</f>
        <v>0.32719546742209638</v>
      </c>
      <c r="L199" t="s">
        <v>395</v>
      </c>
    </row>
    <row r="200" spans="1:12">
      <c r="A200" t="s">
        <v>71</v>
      </c>
      <c r="B200" s="50">
        <f>1-B194</f>
        <v>0.34536082474226804</v>
      </c>
      <c r="C200" s="50">
        <f t="shared" si="13"/>
        <v>0.66666666666666674</v>
      </c>
      <c r="D200" s="50">
        <f t="shared" si="13"/>
        <v>0.16666666666666663</v>
      </c>
      <c r="E200" s="966">
        <f t="shared" si="13"/>
        <v>0.5</v>
      </c>
      <c r="F200" s="545" t="s">
        <v>282</v>
      </c>
      <c r="G200" s="49" t="s">
        <v>393</v>
      </c>
      <c r="H200" s="49" t="s">
        <v>393</v>
      </c>
      <c r="I200" s="49" t="s">
        <v>393</v>
      </c>
      <c r="J200" s="963" t="s">
        <v>394</v>
      </c>
      <c r="K200" s="551">
        <f>INDEX($B200:$E200,MATCH(Graphs!$B$1,$B$1:$E$1,0))</f>
        <v>0.34536082474226804</v>
      </c>
      <c r="L200" t="s">
        <v>395</v>
      </c>
    </row>
    <row r="201" spans="1:12">
      <c r="A201" t="s">
        <v>72</v>
      </c>
      <c r="B201" s="966">
        <f t="shared" ref="B201:E201" si="14">1-B195</f>
        <v>0</v>
      </c>
      <c r="C201" s="966">
        <f t="shared" si="14"/>
        <v>0</v>
      </c>
      <c r="D201" s="966">
        <f t="shared" si="14"/>
        <v>0</v>
      </c>
      <c r="E201" s="966">
        <f t="shared" si="14"/>
        <v>0</v>
      </c>
      <c r="F201" s="545" t="s">
        <v>282</v>
      </c>
      <c r="G201" s="964" t="s">
        <v>394</v>
      </c>
      <c r="H201" s="964" t="s">
        <v>394</v>
      </c>
      <c r="I201" s="964" t="s">
        <v>394</v>
      </c>
      <c r="J201" s="963" t="s">
        <v>394</v>
      </c>
      <c r="K201" s="551">
        <f>INDEX($B201:$E201,MATCH(Graphs!$B$1,$B$1:$E$1,0))</f>
        <v>0</v>
      </c>
      <c r="L201" t="s">
        <v>395</v>
      </c>
    </row>
    <row r="202" spans="1:12">
      <c r="A202" s="552"/>
      <c r="B202" s="552"/>
      <c r="C202" s="552"/>
      <c r="D202" s="552"/>
      <c r="E202" s="552"/>
      <c r="F202" s="553"/>
      <c r="G202" s="554"/>
      <c r="H202" s="554"/>
      <c r="I202" s="554"/>
      <c r="J202" s="555"/>
      <c r="K202" s="555"/>
      <c r="L202" s="552"/>
    </row>
    <row r="203" spans="1:12">
      <c r="A203" s="535" t="s">
        <v>399</v>
      </c>
      <c r="B203" s="536"/>
    </row>
    <row r="204" spans="1:12">
      <c r="A204" t="s">
        <v>400</v>
      </c>
      <c r="B204" s="967">
        <v>0.3</v>
      </c>
      <c r="C204" s="966">
        <v>0.3</v>
      </c>
      <c r="D204" s="966">
        <v>0.3</v>
      </c>
      <c r="E204" s="966">
        <f>$B204</f>
        <v>0.3</v>
      </c>
      <c r="F204" s="545" t="s">
        <v>282</v>
      </c>
      <c r="G204" s="964" t="s">
        <v>394</v>
      </c>
      <c r="H204" s="964" t="s">
        <v>394</v>
      </c>
      <c r="I204" s="964" t="s">
        <v>394</v>
      </c>
      <c r="J204" s="963" t="s">
        <v>394</v>
      </c>
      <c r="K204" s="551">
        <f>INDEX($B204:$E204,MATCH(Graphs!$B$1,$B$1:$E$1,0))</f>
        <v>0.3</v>
      </c>
      <c r="L204" t="s">
        <v>395</v>
      </c>
    </row>
    <row r="205" spans="1:12">
      <c r="A205" t="s">
        <v>401</v>
      </c>
      <c r="B205" s="967">
        <v>0.4</v>
      </c>
      <c r="C205" s="966">
        <v>0.4</v>
      </c>
      <c r="D205" s="966">
        <v>0.4</v>
      </c>
      <c r="E205" s="966">
        <f>$B205</f>
        <v>0.4</v>
      </c>
      <c r="F205" s="545" t="s">
        <v>282</v>
      </c>
      <c r="G205" s="964" t="s">
        <v>394</v>
      </c>
      <c r="H205" s="964" t="s">
        <v>394</v>
      </c>
      <c r="I205" s="964" t="s">
        <v>394</v>
      </c>
      <c r="J205" s="963" t="s">
        <v>394</v>
      </c>
      <c r="K205" s="551">
        <f>INDEX($B205:$E205,MATCH(Graphs!$B$1,$B$1:$E$1,0))</f>
        <v>0.4</v>
      </c>
      <c r="L205" t="s">
        <v>395</v>
      </c>
    </row>
    <row r="206" spans="1:12">
      <c r="A206" t="s">
        <v>402</v>
      </c>
      <c r="B206" s="967">
        <v>0.3</v>
      </c>
      <c r="C206" s="966">
        <v>0.3</v>
      </c>
      <c r="D206" s="966">
        <v>0.3</v>
      </c>
      <c r="E206" s="966">
        <f>$B206</f>
        <v>0.3</v>
      </c>
      <c r="F206" s="545" t="s">
        <v>282</v>
      </c>
      <c r="G206" s="964" t="s">
        <v>394</v>
      </c>
      <c r="H206" s="964" t="s">
        <v>394</v>
      </c>
      <c r="I206" s="964" t="s">
        <v>394</v>
      </c>
      <c r="J206" s="963" t="s">
        <v>394</v>
      </c>
      <c r="K206" s="551">
        <f>INDEX($B206:$E206,MATCH(Graphs!$B$1,$B$1:$E$1,0))</f>
        <v>0.3</v>
      </c>
      <c r="L206" t="s">
        <v>395</v>
      </c>
    </row>
    <row r="209" spans="9:9" ht="15.75" thickBot="1"/>
    <row r="210" spans="9:9" ht="15.75" thickBot="1">
      <c r="I210" s="939"/>
    </row>
  </sheetData>
  <phoneticPr fontId="52" type="noConversion"/>
  <pageMargins left="0.7" right="0.7" top="0.75" bottom="0.75" header="0.3" footer="0.3"/>
  <headerFooter>
    <oddFooter>&amp;R_x000D_&amp;1#&amp;"Aptos"&amp;10&amp;K000000 Official Use Only</oddFooter>
  </headerFooter>
  <ignoredErrors>
    <ignoredError sqref="E3 D108:D110 D105 D114:D119" formulaRange="1"/>
    <ignoredError sqref="C194:D194 E138 C112" formula="1"/>
  </ignoredError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4875-E505-43BD-AB19-449CEA619DC5}">
  <sheetPr>
    <tabColor rgb="FF92D050"/>
  </sheetPr>
  <dimension ref="A1:R49"/>
  <sheetViews>
    <sheetView zoomScale="130" zoomScaleNormal="130" workbookViewId="0"/>
  </sheetViews>
  <sheetFormatPr defaultRowHeight="15"/>
  <cols>
    <col min="1" max="1" width="25" customWidth="1"/>
    <col min="10" max="10" width="26.140625" customWidth="1"/>
  </cols>
  <sheetData>
    <row r="1" spans="1:18">
      <c r="A1" s="533" t="s">
        <v>241</v>
      </c>
      <c r="B1" s="534"/>
      <c r="C1" s="534"/>
      <c r="D1" s="534"/>
      <c r="E1" s="534"/>
      <c r="F1" s="534"/>
      <c r="G1" s="534"/>
      <c r="H1" s="534"/>
      <c r="I1" s="534"/>
      <c r="J1" s="534"/>
      <c r="K1" s="534"/>
      <c r="L1" s="534"/>
    </row>
    <row r="2" spans="1:18">
      <c r="A2" t="s">
        <v>403</v>
      </c>
    </row>
    <row r="3" spans="1:18">
      <c r="A3" t="s">
        <v>404</v>
      </c>
    </row>
    <row r="4" spans="1:18">
      <c r="A4" t="s">
        <v>405</v>
      </c>
    </row>
    <row r="5" spans="1:18">
      <c r="A5" t="s">
        <v>406</v>
      </c>
    </row>
    <row r="7" spans="1:18">
      <c r="A7" s="23" t="s">
        <v>407</v>
      </c>
    </row>
    <row r="8" spans="1:18">
      <c r="A8" s="52" t="s">
        <v>408</v>
      </c>
    </row>
    <row r="9" spans="1:18">
      <c r="A9" t="s">
        <v>409</v>
      </c>
    </row>
    <row r="11" spans="1:18">
      <c r="A11" t="s">
        <v>410</v>
      </c>
    </row>
    <row r="12" spans="1:18">
      <c r="A12" t="s">
        <v>411</v>
      </c>
    </row>
    <row r="13" spans="1:18">
      <c r="A13" s="52" t="s">
        <v>412</v>
      </c>
    </row>
    <row r="15" spans="1:18">
      <c r="A15" s="535" t="s">
        <v>246</v>
      </c>
      <c r="B15" s="536"/>
      <c r="C15" s="536"/>
      <c r="D15" s="536"/>
      <c r="E15" s="536"/>
      <c r="F15" s="536"/>
      <c r="G15" s="536"/>
      <c r="H15" s="536"/>
      <c r="J15" s="45" t="s">
        <v>413</v>
      </c>
      <c r="K15" s="51"/>
      <c r="L15" s="51"/>
      <c r="M15" s="51"/>
      <c r="N15" s="51"/>
      <c r="O15" s="51"/>
      <c r="P15" s="51"/>
      <c r="Q15" s="51"/>
      <c r="R15" s="51"/>
    </row>
    <row r="16" spans="1:18">
      <c r="A16" s="24" t="s">
        <v>414</v>
      </c>
      <c r="B16" s="24">
        <v>2022</v>
      </c>
      <c r="C16" s="24">
        <v>2025</v>
      </c>
      <c r="D16" s="24">
        <v>2030</v>
      </c>
      <c r="E16" s="24">
        <v>2035</v>
      </c>
      <c r="F16" s="24">
        <v>2040</v>
      </c>
      <c r="G16" s="24">
        <v>2045</v>
      </c>
      <c r="H16" s="24">
        <v>2050</v>
      </c>
      <c r="J16" s="24" t="s">
        <v>414</v>
      </c>
      <c r="K16" s="24">
        <v>2022</v>
      </c>
      <c r="L16" s="24">
        <v>2025</v>
      </c>
      <c r="M16" s="24">
        <v>2030</v>
      </c>
      <c r="N16" s="24">
        <v>2035</v>
      </c>
      <c r="O16" s="24">
        <v>2040</v>
      </c>
      <c r="P16" s="24">
        <v>2045</v>
      </c>
      <c r="Q16" s="24">
        <v>2050</v>
      </c>
      <c r="R16" s="502" t="s">
        <v>415</v>
      </c>
    </row>
    <row r="17" spans="1:18">
      <c r="A17" t="s">
        <v>53</v>
      </c>
      <c r="B17" s="46">
        <v>0</v>
      </c>
      <c r="C17" s="46">
        <v>0</v>
      </c>
      <c r="D17" s="46">
        <v>0.4</v>
      </c>
      <c r="E17" s="46">
        <v>0.65</v>
      </c>
      <c r="F17" s="46">
        <v>0.85</v>
      </c>
      <c r="G17" s="46">
        <v>0.95</v>
      </c>
      <c r="H17" s="46">
        <v>1</v>
      </c>
      <c r="J17" t="s">
        <v>53</v>
      </c>
      <c r="K17" s="46" cm="1">
        <f t="array" ref="K17">_xlfn.SWITCH(Graphs!$B$1,"China",B17,"Indonesia",B26,"Vietnam",B35,"United States",B44)</f>
        <v>0</v>
      </c>
      <c r="L17" s="46" cm="1">
        <f t="array" ref="L17">_xlfn.SWITCH(Graphs!$B$1,"China",C17,"Indonesia",C26,"Vietnam",C35,"United States",C44)</f>
        <v>0</v>
      </c>
      <c r="M17" s="46" cm="1">
        <f t="array" ref="M17">_xlfn.SWITCH(Graphs!$B$1,"China",D17,"Indonesia",D26,"Vietnam",D35,"United States",D44)</f>
        <v>0.4</v>
      </c>
      <c r="N17" s="46" cm="1">
        <f t="array" ref="N17">_xlfn.SWITCH(Graphs!$B$1,"China",E17,"Indonesia",E26,"Vietnam",E35,"United States",E44)</f>
        <v>0.65</v>
      </c>
      <c r="O17" s="46" cm="1">
        <f t="array" ref="O17">_xlfn.SWITCH(Graphs!$B$1,"China",F17,"Indonesia",F26,"Vietnam",F35,"United States",F44)</f>
        <v>0.85</v>
      </c>
      <c r="P17" s="46" cm="1">
        <f t="array" ref="P17">_xlfn.SWITCH(Graphs!$B$1,"China",G17,"Indonesia",G26,"Vietnam",G35,"United States",G44)</f>
        <v>0.95</v>
      </c>
      <c r="Q17" s="46" cm="1">
        <f t="array" ref="Q17">_xlfn.SWITCH(Graphs!$B$1,"China",H17,"Indonesia",H26,"Vietnam",H35,"United States",H44)</f>
        <v>1</v>
      </c>
      <c r="R17" s="46">
        <f>INDEX($K17:$Q17,MATCH(Graphs!$B$3,$K$16:$Q$16,0))</f>
        <v>1</v>
      </c>
    </row>
    <row r="18" spans="1:18">
      <c r="A18" t="s">
        <v>54</v>
      </c>
      <c r="B18" s="46">
        <v>0</v>
      </c>
      <c r="C18" s="46">
        <v>0</v>
      </c>
      <c r="D18" s="46">
        <v>0.4</v>
      </c>
      <c r="E18" s="46">
        <v>0.65</v>
      </c>
      <c r="F18" s="46">
        <v>0.85</v>
      </c>
      <c r="G18" s="46">
        <v>0.95</v>
      </c>
      <c r="H18" s="46">
        <v>1</v>
      </c>
      <c r="J18" t="s">
        <v>54</v>
      </c>
      <c r="K18" s="46" cm="1">
        <f t="array" ref="K18">_xlfn.SWITCH(Graphs!$B$1,"China",B18,"Indonesia",B27,"Vietnam",B36,"United States",B45)</f>
        <v>0</v>
      </c>
      <c r="L18" s="46" cm="1">
        <f t="array" ref="L18">_xlfn.SWITCH(Graphs!$B$1,"China",C18,"Indonesia",C27,"Vietnam",C36,"United States",C45)</f>
        <v>0</v>
      </c>
      <c r="M18" s="46" cm="1">
        <f t="array" ref="M18">_xlfn.SWITCH(Graphs!$B$1,"China",D18,"Indonesia",D27,"Vietnam",D36,"United States",D45)</f>
        <v>0.4</v>
      </c>
      <c r="N18" s="46" cm="1">
        <f t="array" ref="N18">_xlfn.SWITCH(Graphs!$B$1,"China",E18,"Indonesia",E27,"Vietnam",E36,"United States",E45)</f>
        <v>0.65</v>
      </c>
      <c r="O18" s="46" cm="1">
        <f t="array" ref="O18">_xlfn.SWITCH(Graphs!$B$1,"China",F18,"Indonesia",F27,"Vietnam",F36,"United States",F45)</f>
        <v>0.85</v>
      </c>
      <c r="P18" s="46" cm="1">
        <f t="array" ref="P18">_xlfn.SWITCH(Graphs!$B$1,"China",G18,"Indonesia",G27,"Vietnam",G36,"United States",G45)</f>
        <v>0.95</v>
      </c>
      <c r="Q18" s="46" cm="1">
        <f t="array" ref="Q18">_xlfn.SWITCH(Graphs!$B$1,"China",H18,"Indonesia",H27,"Vietnam",H36,"United States",H45)</f>
        <v>1</v>
      </c>
      <c r="R18" s="46">
        <f>INDEX($K18:$Q18,MATCH(Graphs!$B$3,$K$16:$Q$16,0))</f>
        <v>1</v>
      </c>
    </row>
    <row r="19" spans="1:18">
      <c r="A19" t="s">
        <v>55</v>
      </c>
      <c r="B19" s="46">
        <v>0</v>
      </c>
      <c r="C19" s="46">
        <v>0</v>
      </c>
      <c r="D19" s="46">
        <v>0.2</v>
      </c>
      <c r="E19" s="46">
        <v>0.4</v>
      </c>
      <c r="F19" s="46">
        <v>0.6</v>
      </c>
      <c r="G19" s="46">
        <v>0.8</v>
      </c>
      <c r="H19" s="46">
        <v>1</v>
      </c>
      <c r="J19" t="s">
        <v>55</v>
      </c>
      <c r="K19" s="46" cm="1">
        <f t="array" ref="K19">_xlfn.SWITCH(Graphs!$B$1,"China",B19,"Indonesia",B28,"Vietnam",B37,"United States",B46)</f>
        <v>0</v>
      </c>
      <c r="L19" s="46" cm="1">
        <f t="array" ref="L19">_xlfn.SWITCH(Graphs!$B$1,"China",C19,"Indonesia",C28,"Vietnam",C37,"United States",C46)</f>
        <v>0</v>
      </c>
      <c r="M19" s="46" cm="1">
        <f t="array" ref="M19">_xlfn.SWITCH(Graphs!$B$1,"China",D19,"Indonesia",D28,"Vietnam",D37,"United States",D46)</f>
        <v>0.2</v>
      </c>
      <c r="N19" s="46" cm="1">
        <f t="array" ref="N19">_xlfn.SWITCH(Graphs!$B$1,"China",E19,"Indonesia",E28,"Vietnam",E37,"United States",E46)</f>
        <v>0.4</v>
      </c>
      <c r="O19" s="46" cm="1">
        <f t="array" ref="O19">_xlfn.SWITCH(Graphs!$B$1,"China",F19,"Indonesia",F28,"Vietnam",F37,"United States",F46)</f>
        <v>0.6</v>
      </c>
      <c r="P19" s="46" cm="1">
        <f t="array" ref="P19">_xlfn.SWITCH(Graphs!$B$1,"China",G19,"Indonesia",G28,"Vietnam",G37,"United States",G46)</f>
        <v>0.8</v>
      </c>
      <c r="Q19" s="46" cm="1">
        <f t="array" ref="Q19">_xlfn.SWITCH(Graphs!$B$1,"China",H19,"Indonesia",H28,"Vietnam",H37,"United States",H46)</f>
        <v>1</v>
      </c>
      <c r="R19" s="46">
        <f>INDEX($K19:$Q19,MATCH(Graphs!$B$3,$K$16:$Q$16,0))</f>
        <v>1</v>
      </c>
    </row>
    <row r="20" spans="1:18">
      <c r="A20" t="s">
        <v>56</v>
      </c>
      <c r="B20" s="46">
        <v>0</v>
      </c>
      <c r="C20" s="46">
        <v>0</v>
      </c>
      <c r="D20" s="46">
        <v>0.2</v>
      </c>
      <c r="E20" s="46">
        <v>0.4</v>
      </c>
      <c r="F20" s="46">
        <v>0.6</v>
      </c>
      <c r="G20" s="46">
        <v>0.8</v>
      </c>
      <c r="H20" s="46">
        <v>1</v>
      </c>
      <c r="J20" t="s">
        <v>56</v>
      </c>
      <c r="K20" s="46" cm="1">
        <f t="array" ref="K20">_xlfn.SWITCH(Graphs!$B$1,"China",B20,"Indonesia",B29,"Vietnam",B38,"United States",B47)</f>
        <v>0</v>
      </c>
      <c r="L20" s="46" cm="1">
        <f t="array" ref="L20">_xlfn.SWITCH(Graphs!$B$1,"China",C20,"Indonesia",C29,"Vietnam",C38,"United States",C47)</f>
        <v>0</v>
      </c>
      <c r="M20" s="46" cm="1">
        <f t="array" ref="M20">_xlfn.SWITCH(Graphs!$B$1,"China",D20,"Indonesia",D29,"Vietnam",D38,"United States",D47)</f>
        <v>0.2</v>
      </c>
      <c r="N20" s="46" cm="1">
        <f t="array" ref="N20">_xlfn.SWITCH(Graphs!$B$1,"China",E20,"Indonesia",E29,"Vietnam",E38,"United States",E47)</f>
        <v>0.4</v>
      </c>
      <c r="O20" s="46" cm="1">
        <f t="array" ref="O20">_xlfn.SWITCH(Graphs!$B$1,"China",F20,"Indonesia",F29,"Vietnam",F38,"United States",F47)</f>
        <v>0.6</v>
      </c>
      <c r="P20" s="46" cm="1">
        <f t="array" ref="P20">_xlfn.SWITCH(Graphs!$B$1,"China",G20,"Indonesia",G29,"Vietnam",G38,"United States",G47)</f>
        <v>0.8</v>
      </c>
      <c r="Q20" s="46" cm="1">
        <f t="array" ref="Q20">_xlfn.SWITCH(Graphs!$B$1,"China",H20,"Indonesia",H29,"Vietnam",H38,"United States",H47)</f>
        <v>1</v>
      </c>
      <c r="R20" s="46">
        <f>INDEX($K20:$Q20,MATCH(Graphs!$B$3,$K$16:$Q$16,0))</f>
        <v>1</v>
      </c>
    </row>
    <row r="21" spans="1:18">
      <c r="A21" t="s">
        <v>57</v>
      </c>
      <c r="B21" s="46">
        <v>0</v>
      </c>
      <c r="C21" s="46">
        <v>0</v>
      </c>
      <c r="D21" s="46">
        <v>0.05</v>
      </c>
      <c r="E21" s="46">
        <v>0.15</v>
      </c>
      <c r="F21" s="46">
        <v>0.35</v>
      </c>
      <c r="G21" s="46">
        <v>0.6</v>
      </c>
      <c r="H21" s="46">
        <v>1</v>
      </c>
      <c r="J21" t="s">
        <v>57</v>
      </c>
      <c r="K21" s="46" cm="1">
        <f t="array" ref="K21">_xlfn.SWITCH(Graphs!$B$1,"China",B21,"Indonesia",B30,"Vietnam",B39,"United States",B48)</f>
        <v>0</v>
      </c>
      <c r="L21" s="46" cm="1">
        <f t="array" ref="L21">_xlfn.SWITCH(Graphs!$B$1,"China",C21,"Indonesia",C30,"Vietnam",C39,"United States",C48)</f>
        <v>0</v>
      </c>
      <c r="M21" s="46" cm="1">
        <f t="array" ref="M21">_xlfn.SWITCH(Graphs!$B$1,"China",D21,"Indonesia",D30,"Vietnam",D39,"United States",D48)</f>
        <v>0.05</v>
      </c>
      <c r="N21" s="46" cm="1">
        <f t="array" ref="N21">_xlfn.SWITCH(Graphs!$B$1,"China",E21,"Indonesia",E30,"Vietnam",E39,"United States",E48)</f>
        <v>0.15</v>
      </c>
      <c r="O21" s="46" cm="1">
        <f t="array" ref="O21">_xlfn.SWITCH(Graphs!$B$1,"China",F21,"Indonesia",F30,"Vietnam",F39,"United States",F48)</f>
        <v>0.35</v>
      </c>
      <c r="P21" s="46" cm="1">
        <f t="array" ref="P21">_xlfn.SWITCH(Graphs!$B$1,"China",G21,"Indonesia",G30,"Vietnam",G39,"United States",G48)</f>
        <v>0.6</v>
      </c>
      <c r="Q21" s="46" cm="1">
        <f t="array" ref="Q21">_xlfn.SWITCH(Graphs!$B$1,"China",H21,"Indonesia",H30,"Vietnam",H39,"United States",H48)</f>
        <v>1</v>
      </c>
      <c r="R21" s="46">
        <f>INDEX($K21:$Q21,MATCH(Graphs!$B$3,$K$16:$Q$16,0))</f>
        <v>1</v>
      </c>
    </row>
    <row r="22" spans="1:18">
      <c r="A22" t="s">
        <v>58</v>
      </c>
      <c r="B22" s="46">
        <v>0</v>
      </c>
      <c r="C22" s="46">
        <v>0</v>
      </c>
      <c r="D22" s="46">
        <v>0.05</v>
      </c>
      <c r="E22" s="46">
        <v>0.15</v>
      </c>
      <c r="F22" s="46">
        <v>0.35</v>
      </c>
      <c r="G22" s="46">
        <v>0.6</v>
      </c>
      <c r="H22" s="46">
        <v>1</v>
      </c>
      <c r="J22" t="s">
        <v>58</v>
      </c>
      <c r="K22" s="46" cm="1">
        <f t="array" ref="K22">_xlfn.SWITCH(Graphs!$B$1,"China",B22,"Indonesia",B31,"Vietnam",B40,"United States",B49)</f>
        <v>0</v>
      </c>
      <c r="L22" s="46" cm="1">
        <f t="array" ref="L22">_xlfn.SWITCH(Graphs!$B$1,"China",C22,"Indonesia",C31,"Vietnam",C40,"United States",C49)</f>
        <v>0</v>
      </c>
      <c r="M22" s="46" cm="1">
        <f t="array" ref="M22">_xlfn.SWITCH(Graphs!$B$1,"China",D22,"Indonesia",D31,"Vietnam",D40,"United States",D49)</f>
        <v>0.05</v>
      </c>
      <c r="N22" s="46" cm="1">
        <f t="array" ref="N22">_xlfn.SWITCH(Graphs!$B$1,"China",E22,"Indonesia",E31,"Vietnam",E40,"United States",E49)</f>
        <v>0.15</v>
      </c>
      <c r="O22" s="46" cm="1">
        <f t="array" ref="O22">_xlfn.SWITCH(Graphs!$B$1,"China",F22,"Indonesia",F31,"Vietnam",F40,"United States",F49)</f>
        <v>0.35</v>
      </c>
      <c r="P22" s="46" cm="1">
        <f t="array" ref="P22">_xlfn.SWITCH(Graphs!$B$1,"China",G22,"Indonesia",G31,"Vietnam",G40,"United States",G49)</f>
        <v>0.6</v>
      </c>
      <c r="Q22" s="46" cm="1">
        <f t="array" ref="Q22">_xlfn.SWITCH(Graphs!$B$1,"China",H22,"Indonesia",H31,"Vietnam",H40,"United States",H49)</f>
        <v>1</v>
      </c>
      <c r="R22" s="46">
        <f>INDEX($K22:$Q22,MATCH(Graphs!$B$3,$K$16:$Q$16,0))</f>
        <v>1</v>
      </c>
    </row>
    <row r="24" spans="1:18">
      <c r="A24" s="535" t="s">
        <v>257</v>
      </c>
      <c r="B24" s="536"/>
      <c r="C24" s="536"/>
      <c r="D24" s="536"/>
      <c r="E24" s="536"/>
      <c r="F24" s="536"/>
      <c r="G24" s="536"/>
      <c r="H24" s="536"/>
    </row>
    <row r="25" spans="1:18">
      <c r="A25" s="24" t="s">
        <v>414</v>
      </c>
      <c r="B25" s="24">
        <v>2022</v>
      </c>
      <c r="C25" s="24">
        <v>2025</v>
      </c>
      <c r="D25" s="24">
        <v>2030</v>
      </c>
      <c r="E25" s="24">
        <v>2035</v>
      </c>
      <c r="F25" s="24">
        <v>2040</v>
      </c>
      <c r="G25" s="24">
        <v>2045</v>
      </c>
      <c r="H25" s="24">
        <v>2050</v>
      </c>
    </row>
    <row r="26" spans="1:18">
      <c r="A26" t="s">
        <v>53</v>
      </c>
      <c r="B26" s="46">
        <v>0</v>
      </c>
      <c r="C26" s="46">
        <v>0</v>
      </c>
      <c r="D26" s="46">
        <v>0.4</v>
      </c>
      <c r="E26" s="46">
        <v>0.65</v>
      </c>
      <c r="F26" s="46">
        <v>0.85</v>
      </c>
      <c r="G26" s="46">
        <v>0.95</v>
      </c>
      <c r="H26" s="46">
        <v>1</v>
      </c>
    </row>
    <row r="27" spans="1:18">
      <c r="A27" t="s">
        <v>54</v>
      </c>
      <c r="B27" s="46">
        <v>0</v>
      </c>
      <c r="C27" s="46">
        <v>0</v>
      </c>
      <c r="D27" s="46">
        <v>0.4</v>
      </c>
      <c r="E27" s="46">
        <v>0.65</v>
      </c>
      <c r="F27" s="46">
        <v>0.85</v>
      </c>
      <c r="G27" s="46">
        <v>0.95</v>
      </c>
      <c r="H27" s="46">
        <v>1</v>
      </c>
    </row>
    <row r="28" spans="1:18">
      <c r="A28" t="s">
        <v>55</v>
      </c>
      <c r="B28" s="46">
        <v>0</v>
      </c>
      <c r="C28" s="46">
        <v>0</v>
      </c>
      <c r="D28" s="46">
        <v>0.2</v>
      </c>
      <c r="E28" s="46">
        <v>0.4</v>
      </c>
      <c r="F28" s="46">
        <v>0.6</v>
      </c>
      <c r="G28" s="46">
        <v>0.8</v>
      </c>
      <c r="H28" s="46">
        <v>1</v>
      </c>
    </row>
    <row r="29" spans="1:18">
      <c r="A29" t="s">
        <v>56</v>
      </c>
      <c r="B29" s="46">
        <v>0</v>
      </c>
      <c r="C29" s="46">
        <v>0</v>
      </c>
      <c r="D29" s="46">
        <v>0.2</v>
      </c>
      <c r="E29" s="46">
        <v>0.4</v>
      </c>
      <c r="F29" s="46">
        <v>0.6</v>
      </c>
      <c r="G29" s="46">
        <v>0.8</v>
      </c>
      <c r="H29" s="46">
        <v>1</v>
      </c>
    </row>
    <row r="30" spans="1:18">
      <c r="A30" t="s">
        <v>57</v>
      </c>
      <c r="B30" s="46">
        <v>0</v>
      </c>
      <c r="C30" s="46">
        <v>0</v>
      </c>
      <c r="D30" s="46">
        <v>0.05</v>
      </c>
      <c r="E30" s="46">
        <v>0.15</v>
      </c>
      <c r="F30" s="46">
        <v>0.35</v>
      </c>
      <c r="G30" s="46">
        <v>0.6</v>
      </c>
      <c r="H30" s="46">
        <v>1</v>
      </c>
    </row>
    <row r="31" spans="1:18">
      <c r="A31" t="s">
        <v>58</v>
      </c>
      <c r="B31" s="46">
        <v>0</v>
      </c>
      <c r="C31" s="46">
        <v>0</v>
      </c>
      <c r="D31" s="46">
        <v>0.05</v>
      </c>
      <c r="E31" s="46">
        <v>0.15</v>
      </c>
      <c r="F31" s="46">
        <v>0.35</v>
      </c>
      <c r="G31" s="46">
        <v>0.6</v>
      </c>
      <c r="H31" s="46">
        <v>1</v>
      </c>
    </row>
    <row r="33" spans="1:8">
      <c r="A33" s="535" t="s">
        <v>259</v>
      </c>
      <c r="B33" s="536"/>
      <c r="C33" s="536"/>
      <c r="D33" s="536"/>
      <c r="E33" s="536"/>
      <c r="F33" s="536"/>
      <c r="G33" s="536"/>
      <c r="H33" s="536"/>
    </row>
    <row r="34" spans="1:8">
      <c r="A34" s="24" t="s">
        <v>414</v>
      </c>
      <c r="B34" s="24">
        <v>2022</v>
      </c>
      <c r="C34" s="24">
        <v>2025</v>
      </c>
      <c r="D34" s="24">
        <v>2030</v>
      </c>
      <c r="E34" s="24">
        <v>2035</v>
      </c>
      <c r="F34" s="24">
        <v>2040</v>
      </c>
      <c r="G34" s="24">
        <v>2045</v>
      </c>
      <c r="H34" s="24">
        <v>2050</v>
      </c>
    </row>
    <row r="35" spans="1:8">
      <c r="A35" t="s">
        <v>53</v>
      </c>
      <c r="B35" s="46">
        <v>0</v>
      </c>
      <c r="C35" s="46">
        <v>0</v>
      </c>
      <c r="D35" s="46">
        <v>0.4</v>
      </c>
      <c r="E35" s="46">
        <v>0.65</v>
      </c>
      <c r="F35" s="46">
        <v>0.85</v>
      </c>
      <c r="G35" s="46">
        <v>0.95</v>
      </c>
      <c r="H35" s="46">
        <v>1</v>
      </c>
    </row>
    <row r="36" spans="1:8">
      <c r="A36" t="s">
        <v>54</v>
      </c>
      <c r="B36" s="46">
        <v>0</v>
      </c>
      <c r="C36" s="46">
        <v>0</v>
      </c>
      <c r="D36" s="46">
        <v>0.4</v>
      </c>
      <c r="E36" s="46">
        <v>0.65</v>
      </c>
      <c r="F36" s="46">
        <v>0.85</v>
      </c>
      <c r="G36" s="46">
        <v>0.95</v>
      </c>
      <c r="H36" s="46">
        <v>1</v>
      </c>
    </row>
    <row r="37" spans="1:8">
      <c r="A37" t="s">
        <v>55</v>
      </c>
      <c r="B37" s="46">
        <v>0</v>
      </c>
      <c r="C37" s="46">
        <v>0</v>
      </c>
      <c r="D37" s="46">
        <v>0.2</v>
      </c>
      <c r="E37" s="46">
        <v>0.4</v>
      </c>
      <c r="F37" s="46">
        <v>0.6</v>
      </c>
      <c r="G37" s="46">
        <v>0.8</v>
      </c>
      <c r="H37" s="46">
        <v>1</v>
      </c>
    </row>
    <row r="38" spans="1:8">
      <c r="A38" t="s">
        <v>56</v>
      </c>
      <c r="B38" s="46">
        <v>0</v>
      </c>
      <c r="C38" s="46">
        <v>0</v>
      </c>
      <c r="D38" s="46">
        <v>0.2</v>
      </c>
      <c r="E38" s="46">
        <v>0.4</v>
      </c>
      <c r="F38" s="46">
        <v>0.6</v>
      </c>
      <c r="G38" s="46">
        <v>0.8</v>
      </c>
      <c r="H38" s="46">
        <v>1</v>
      </c>
    </row>
    <row r="39" spans="1:8">
      <c r="A39" t="s">
        <v>57</v>
      </c>
      <c r="B39" s="46">
        <v>0</v>
      </c>
      <c r="C39" s="46">
        <v>0</v>
      </c>
      <c r="D39" s="46">
        <v>0.05</v>
      </c>
      <c r="E39" s="46">
        <v>0.15</v>
      </c>
      <c r="F39" s="46">
        <v>0.35</v>
      </c>
      <c r="G39" s="46">
        <v>0.6</v>
      </c>
      <c r="H39" s="46">
        <v>1</v>
      </c>
    </row>
    <row r="40" spans="1:8">
      <c r="A40" t="s">
        <v>58</v>
      </c>
      <c r="B40" s="46">
        <v>0</v>
      </c>
      <c r="C40" s="46">
        <v>0</v>
      </c>
      <c r="D40" s="46">
        <v>0.05</v>
      </c>
      <c r="E40" s="46">
        <v>0.15</v>
      </c>
      <c r="F40" s="46">
        <v>0.35</v>
      </c>
      <c r="G40" s="46">
        <v>0.6</v>
      </c>
      <c r="H40" s="46">
        <v>1</v>
      </c>
    </row>
    <row r="42" spans="1:8">
      <c r="A42" s="535" t="s">
        <v>261</v>
      </c>
      <c r="B42" s="536"/>
      <c r="C42" s="536"/>
      <c r="D42" s="536"/>
      <c r="E42" s="536"/>
      <c r="F42" s="536"/>
      <c r="G42" s="536"/>
      <c r="H42" s="536"/>
    </row>
    <row r="43" spans="1:8">
      <c r="A43" s="24" t="s">
        <v>414</v>
      </c>
      <c r="B43" s="24">
        <v>2022</v>
      </c>
      <c r="C43" s="24">
        <v>2025</v>
      </c>
      <c r="D43" s="24">
        <v>2030</v>
      </c>
      <c r="E43" s="24">
        <v>2035</v>
      </c>
      <c r="F43" s="24">
        <v>2040</v>
      </c>
      <c r="G43" s="24">
        <v>2045</v>
      </c>
      <c r="H43" s="24">
        <v>2050</v>
      </c>
    </row>
    <row r="44" spans="1:8">
      <c r="A44" t="s">
        <v>53</v>
      </c>
      <c r="B44" s="46">
        <v>0</v>
      </c>
      <c r="C44" s="46">
        <v>0</v>
      </c>
      <c r="D44" s="46">
        <v>0.4</v>
      </c>
      <c r="E44" s="46">
        <v>0.65</v>
      </c>
      <c r="F44" s="46">
        <v>0.85</v>
      </c>
      <c r="G44" s="46">
        <v>0.95</v>
      </c>
      <c r="H44" s="46">
        <v>1</v>
      </c>
    </row>
    <row r="45" spans="1:8">
      <c r="A45" t="s">
        <v>54</v>
      </c>
      <c r="B45" s="46">
        <v>0</v>
      </c>
      <c r="C45" s="46">
        <v>0</v>
      </c>
      <c r="D45" s="46">
        <v>0.4</v>
      </c>
      <c r="E45" s="46">
        <v>0.65</v>
      </c>
      <c r="F45" s="46">
        <v>0.85</v>
      </c>
      <c r="G45" s="46">
        <v>0.95</v>
      </c>
      <c r="H45" s="46">
        <v>1</v>
      </c>
    </row>
    <row r="46" spans="1:8">
      <c r="A46" t="s">
        <v>55</v>
      </c>
      <c r="B46" s="46">
        <v>0</v>
      </c>
      <c r="C46" s="46">
        <v>0</v>
      </c>
      <c r="D46" s="46">
        <v>0.2</v>
      </c>
      <c r="E46" s="46">
        <v>0.4</v>
      </c>
      <c r="F46" s="46">
        <v>0.6</v>
      </c>
      <c r="G46" s="46">
        <v>0.8</v>
      </c>
      <c r="H46" s="46">
        <v>1</v>
      </c>
    </row>
    <row r="47" spans="1:8">
      <c r="A47" t="s">
        <v>56</v>
      </c>
      <c r="B47" s="46">
        <v>0</v>
      </c>
      <c r="C47" s="46">
        <v>0</v>
      </c>
      <c r="D47" s="46">
        <v>0.2</v>
      </c>
      <c r="E47" s="46">
        <v>0.4</v>
      </c>
      <c r="F47" s="46">
        <v>0.6</v>
      </c>
      <c r="G47" s="46">
        <v>0.8</v>
      </c>
      <c r="H47" s="46">
        <v>1</v>
      </c>
    </row>
    <row r="48" spans="1:8">
      <c r="A48" t="s">
        <v>57</v>
      </c>
      <c r="B48" s="46">
        <v>0</v>
      </c>
      <c r="C48" s="46">
        <v>0</v>
      </c>
      <c r="D48" s="46">
        <v>0.05</v>
      </c>
      <c r="E48" s="46">
        <v>0.15</v>
      </c>
      <c r="F48" s="46">
        <v>0.35</v>
      </c>
      <c r="G48" s="46">
        <v>0.6</v>
      </c>
      <c r="H48" s="46">
        <v>1</v>
      </c>
    </row>
    <row r="49" spans="1:8">
      <c r="A49" t="s">
        <v>58</v>
      </c>
      <c r="B49" s="46">
        <v>0</v>
      </c>
      <c r="C49" s="46">
        <v>0</v>
      </c>
      <c r="D49" s="46">
        <v>0.05</v>
      </c>
      <c r="E49" s="46">
        <v>0.15</v>
      </c>
      <c r="F49" s="46">
        <v>0.35</v>
      </c>
      <c r="G49" s="46">
        <v>0.6</v>
      </c>
      <c r="H49" s="46">
        <v>1</v>
      </c>
    </row>
  </sheetData>
  <pageMargins left="0.7" right="0.7" top="0.75" bottom="0.75" header="0.3" footer="0.3"/>
  <headerFooter>
    <oddFooter>&amp;R_x000D_&amp;1#&amp;"Aptos"&amp;10&amp;K000000 Official Use Only</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BDocument_IB" ma:contentTypeID="0x010100F4C63C3BD852AE468EAEFD0E6C57C64F02002C8D7C9E701E8444AAD7038E9E130DC000A22CA735C32F3840975C1ABE33FC00C5" ma:contentTypeVersion="81" ma:contentTypeDescription="" ma:contentTypeScope="" ma:versionID="7634d2870de941dc71990bc3ee53cc0e">
  <xsd:schema xmlns:xsd="http://www.w3.org/2001/XMLSchema" xmlns:xs="http://www.w3.org/2001/XMLSchema" xmlns:p="http://schemas.microsoft.com/office/2006/metadata/properties" xmlns:ns1="http://schemas.microsoft.com/sharepoint/v3" xmlns:ns2="http://schemas.microsoft.com/sharepoint/v3/fields" xmlns:ns3="3e02667f-0271-471b-bd6e-11a2e16def1d" xmlns:ns4="6385dc9c-8632-49e9-a791-b8d07731333e" xmlns:ns5="241e4cfd-0731-4eff-837c-45d1d997259a" targetNamespace="http://schemas.microsoft.com/office/2006/metadata/properties" ma:root="true" ma:fieldsID="e6d800a92db2bb9280e3ca290bd2c164" ns1:_="" ns2:_="" ns3:_="" ns4:_="" ns5:_="">
    <xsd:import namespace="http://schemas.microsoft.com/sharepoint/v3"/>
    <xsd:import namespace="http://schemas.microsoft.com/sharepoint/v3/fields"/>
    <xsd:import namespace="3e02667f-0271-471b-bd6e-11a2e16def1d"/>
    <xsd:import namespace="6385dc9c-8632-49e9-a791-b8d07731333e"/>
    <xsd:import namespace="241e4cfd-0731-4eff-837c-45d1d997259a"/>
    <xsd:element name="properties">
      <xsd:complexType>
        <xsd:sequence>
          <xsd:element name="documentManagement">
            <xsd:complexType>
              <xsd:all>
                <xsd:element ref="ns3:WBDocs_Document_Date" minOccurs="0"/>
                <xsd:element ref="ns3:WBDocs_Information_Classification"/>
                <xsd:element ref="ns3:TaxCatchAll" minOccurs="0"/>
                <xsd:element ref="ns3:TaxCatchAllLabel" minOccurs="0"/>
                <xsd:element ref="ns3:_dlc_DocId" minOccurs="0"/>
                <xsd:element ref="ns3:_dlc_DocIdUrl" minOccurs="0"/>
                <xsd:element ref="ns3:_dlc_DocIdPersistId" minOccurs="0"/>
                <xsd:element ref="ns3:WBDocs_Access_To_Info_Exception" minOccurs="0"/>
                <xsd:element ref="ns3:o1cb080a3dca4eb8a0fd03c7cc8bf8f7" minOccurs="0"/>
                <xsd:element ref="ns3:i008215bacac45029ee8cafff4c8e93b" minOccurs="0"/>
                <xsd:element ref="ns3:OneCMS_Subcategory" minOccurs="0"/>
                <xsd:element ref="ns3:OneCMS_Category" minOccurs="0"/>
                <xsd:element ref="ns3:Abstract" minOccurs="0"/>
                <xsd:element ref="ns4:wb_abstract" minOccurs="0"/>
                <xsd:element ref="ns4:wb_additionalkeywords" minOccurs="0"/>
                <xsd:element ref="ns3:wb_aicomments" minOccurs="0"/>
                <xsd:element ref="ns4:wb_alternatetitle" minOccurs="0"/>
                <xsd:element ref="ns4:la8e280b24ee4580863646f8933db267" minOccurs="0"/>
                <xsd:element ref="ns3:wb_boarddocumentnumber" minOccurs="0"/>
                <xsd:element ref="ns4:wb_boardmeetingdate" minOccurs="0"/>
                <xsd:element ref="ns3:wb_meetingdate" minOccurs="0"/>
                <xsd:element ref="ns3:wb_boardmeetingtype" minOccurs="0"/>
                <xsd:element ref="ns3:wb_category" minOccurs="0"/>
                <xsd:element ref="ns4:wb_closingdateboard" minOccurs="0"/>
                <xsd:element ref="ns4:wb_collectiontitle" minOccurs="0"/>
                <xsd:element ref="ns4:wb_copyrightholder" minOccurs="0"/>
                <xsd:element ref="ns3:g5db487b699641c994752f446908f645" minOccurs="0"/>
                <xsd:element ref="ns4:wb_ibcountry" minOccurs="0"/>
                <xsd:element ref="ns3:wb_cttype" minOccurs="0"/>
                <xsd:element ref="ns3:wb_description" minOccurs="0"/>
                <xsd:element ref="ns4:wb_digitalobjectidentifier" minOccurs="0"/>
                <xsd:element ref="ns3:wb_disclosuredate" minOccurs="0"/>
                <xsd:element ref="ns3:wb_disclosurestatus" minOccurs="0"/>
                <xsd:element ref="ns3:wb_disclosuretype" minOccurs="0"/>
                <xsd:element ref="ns4:wb_documentcomments" minOccurs="0"/>
                <xsd:element ref="ns3:wb_exceptionapprover" minOccurs="0"/>
                <xsd:element ref="ns3:wb_externalpublic" minOccurs="0"/>
                <xsd:element ref="ns3:wb_externalpublishedlink" minOccurs="0"/>
                <xsd:element ref="ns3:wb_externalwebdate" minOccurs="0"/>
                <xsd:element ref="ns3:wb_externalwebdecision" minOccurs="0"/>
                <xsd:element ref="ns3:wb_externalwebdescription" minOccurs="0"/>
                <xsd:element ref="ns3:wb_externalwebstatus" minOccurs="0"/>
                <xsd:element ref="ns3:wb_filename" minOccurs="0"/>
                <xsd:element ref="ns3:wb_filingapplication" minOccurs="0"/>
                <xsd:element ref="ns3:wb_ibflag" minOccurs="0"/>
                <xsd:element ref="ns3:wb_ibtopic" minOccurs="0"/>
                <xsd:element ref="ns3:wb_ibtopiccode" minOccurs="0"/>
                <xsd:element ref="ns3:wb_ibtopiclegacy" minOccurs="0"/>
                <xsd:element ref="ns3:wb_ioparentid" minOccurs="0"/>
                <xsd:element ref="ns4:wb_isbn" minOccurs="0"/>
                <xsd:element ref="ns4:wb_issn" minOccurs="0"/>
                <xsd:element ref="ns3:wb_keyword" minOccurs="0"/>
                <xsd:element ref="ns3:ed89010fab75481eba28f36694d32f6e" minOccurs="0"/>
                <xsd:element ref="ns3:wb_loanid" minOccurs="0"/>
                <xsd:element ref="ns4:wb_placeofproduction" minOccurs="0"/>
                <xsd:element ref="ns4:wb_postboardwatermark" minOccurs="0"/>
                <xsd:element ref="ns4:wb_ppcode" minOccurs="0"/>
                <xsd:element ref="ns3:wb_projectid" minOccurs="0"/>
                <xsd:element ref="ns4:wb_projectname" minOccurs="0"/>
                <xsd:element ref="ns3:wb_publicalternativeapprover" minOccurs="0"/>
                <xsd:element ref="ns3:wb_publicapprover" minOccurs="0"/>
                <xsd:element ref="ns3:wb_realcreationdate" minOccurs="0"/>
                <xsd:element ref="ns3:wb_realcreatorname" minOccurs="0"/>
                <xsd:element ref="ns3:wb_realmodifier" minOccurs="0"/>
                <xsd:element ref="ns3:wb_realmodifydate" minOccurs="0"/>
                <xsd:element ref="ns4:wb_relatedcontentholddiscussdemotelater" minOccurs="0"/>
                <xsd:element ref="ns4:wb_relateddatasethold" minOccurs="0"/>
                <xsd:element ref="ns3:wb_reportno" minOccurs="0"/>
                <xsd:element ref="ns4:wb_sourcecitation" minOccurs="0"/>
                <xsd:element ref="ns3:wb_subfolder" minOccurs="0"/>
                <xsd:element ref="ns3:wb_topic" minOccurs="0"/>
                <xsd:element ref="ns3:wb_trustfundcode" minOccurs="0"/>
                <xsd:element ref="ns4:ja1b524f3f534a9eafb10c0d6b7b176f" minOccurs="0"/>
                <xsd:element ref="ns4:wb_volumenumber" minOccurs="0"/>
                <xsd:element ref="ns3:wb_wbdocsid" minOccurs="0"/>
                <xsd:element ref="ns4:wb_rejectioncomments" minOccurs="0"/>
                <xsd:element ref="ns4:wb_rejectionreason" minOccurs="0"/>
                <xsd:element ref="ns4:wb_ttlnotification" minOccurs="0"/>
                <xsd:element ref="ns4:wb_versiontype" minOccurs="0"/>
                <xsd:element ref="ns4:wb_seriesname" minOccurs="0"/>
                <xsd:element ref="ns5:MediaServiceMetadata" minOccurs="0"/>
                <xsd:element ref="ns5:MediaServiceFastMetadata" minOccurs="0"/>
                <xsd:element ref="ns4:ncd8676b6f874fb3b13498347bded7f2" minOccurs="0"/>
                <xsd:element ref="ns4:wb_unitowning" minOccurs="0"/>
                <xsd:element ref="ns4:wb_reportname" minOccurs="0"/>
                <xsd:element ref="ns3:wb_taskid" minOccurs="0"/>
                <xsd:element ref="ns3:wb_itemid" minOccurs="0"/>
                <xsd:element ref="ns5:MediaServiceAutoKeyPoints" minOccurs="0"/>
                <xsd:element ref="ns5:MediaServiceKeyPoints" minOccurs="0"/>
                <xsd:element ref="ns4:SharedWithUsers" minOccurs="0"/>
                <xsd:element ref="ns4:SharedWithDetails" minOccurs="0"/>
                <xsd:element ref="ns4:baab35ea0edf4f67bc6dbfa9e148ad9e" minOccurs="0"/>
                <xsd:element ref="ns4:wb_virtualcollection1" minOccurs="0"/>
                <xsd:element ref="ns5:MediaServiceAutoTags" minOccurs="0"/>
                <xsd:element ref="ns5:MediaServiceOCR" minOccurs="0"/>
                <xsd:element ref="ns5:MediaServiceGenerationTime" minOccurs="0"/>
                <xsd:element ref="ns5:MediaServiceEventHashCode" minOccurs="0"/>
                <xsd:element ref="ns4:WB_IDU_Comment" minOccurs="0"/>
                <xsd:element ref="ns5:MediaServiceDateTaken" minOccurs="0"/>
                <xsd:element ref="ns4:WB_Status_Folder" minOccurs="0"/>
                <xsd:element ref="ns5:lcf76f155ced4ddcb4097134ff3c332f" minOccurs="0"/>
                <xsd:element ref="ns5:MediaLengthInSeconds" minOccurs="0"/>
                <xsd:element ref="ns5:MediaServiceObjectDetectorVersions" minOccurs="0"/>
                <xsd:element ref="ns5:MediaServiceSearchProperties" minOccurs="0"/>
                <xsd:element ref="ns4:wb_topics_sys" minOccurs="0"/>
                <xsd:element ref="ns2:WBG_Author" minOccurs="0"/>
                <xsd:element ref="ns2:wb_dataset" minOccurs="0"/>
                <xsd:element ref="ns2:wb_reproducibilitypackage" minOccurs="0"/>
                <xsd:element ref="ns2:WB_LongAuthor_Flag" minOccurs="0"/>
                <xsd:element ref="ns3:WBDocs_Addressee" minOccurs="0"/>
                <xsd:element ref="ns3:wb_addressee" minOccurs="0"/>
                <xsd:element ref="ns3:wb_archivesboxno" minOccurs="0"/>
                <xsd:element ref="ns3:wb_archiveprojectid" minOccurs="0"/>
                <xsd:element ref="ns3:wb_archivesaccessionnumber" minOccurs="0"/>
                <xsd:element ref="ns3:wb_esignaturecode" minOccurs="0"/>
                <xsd:element ref="ns4:Export_x0020_Porduct_x0020_ID" minOccurs="0"/>
                <xsd:element ref="ns3:wb_fiscalyear" minOccurs="0"/>
                <xsd:element ref="ns4:Historic_x0020_Subtopic" minOccurs="0"/>
                <xsd:element ref="ns4:Imagebank_x0020_Status" minOccurs="0"/>
                <xsd:element ref="ns3:wb_jsondata" minOccurs="0"/>
                <xsd:element ref="ns3:JSONData" minOccurs="0"/>
                <xsd:element ref="ns3:wb_keywordlegacy" minOccurs="0"/>
                <xsd:element ref="ns4:Metadata_x0020_Disclosure" minOccurs="0"/>
                <xsd:element ref="ns4:gfe0ef498b1f4531b489e35184628d66" minOccurs="0"/>
                <xsd:element ref="ns3:wb_numberofpages" minOccurs="0"/>
                <xsd:element ref="ns4:Old_x0020_Sector_x0020_Code" minOccurs="0"/>
                <xsd:element ref="ns4:Original_x0020_Information_x0020_Classification" minOccurs="0"/>
                <xsd:element ref="ns4:Public_x0020_GUID" minOccurs="0"/>
                <xsd:element ref="ns4:Pull_x0020_Back_x0020_status" minOccurs="0"/>
                <xsd:element ref="ns3:wb_referencenumber" minOccurs="0"/>
                <xsd:element ref="ns3:WBDocs_Region" minOccurs="0"/>
                <xsd:element ref="ns4:Released_x0020_by" minOccurs="0"/>
                <xsd:element ref="ns4:Released_x0020_Date" minOccurs="0"/>
                <xsd:element ref="ns4:Topic_x0020_L1" minOccurs="0"/>
                <xsd:element ref="ns4:Topic_x0020_l2" minOccurs="0"/>
                <xsd:element ref="ns4:Topic_x0020_L2_x0020_Code" minOccurs="0"/>
                <xsd:element ref="ns4:Total_x0020_Volume_x0028_s_x0029_" minOccurs="0"/>
                <xsd:element ref="ns4:i70fb92b1d5e48d0ac5cd4804dee93d5" minOccurs="0"/>
                <xsd:element ref="ns4:Volume_x0020_Language" minOccurs="0"/>
                <xsd:element ref="ns4:Volume_x0020_Title" minOccurs="0"/>
                <xsd:element ref="ns4:Volumne_x0020_Comments" minOccurs="0"/>
                <xsd:element ref="ns3:WBDocs_To" minOccurs="0"/>
                <xsd:element ref="ns3:RefreshDate" minOccurs="0"/>
                <xsd:element ref="ns1:ReferredBy" minOccurs="0"/>
                <xsd:element ref="ns3:WBDocs_Cc" minOccurs="0"/>
                <xsd:element ref="ns4:wb_unitowning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ferredBy" ma:index="163" nillable="true" ma:displayName="Referred By" ma:internalName="ReferredB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BG_Author" ma:index="123" nillable="true" ma:displayName="WBG_Author" ma:internalName="WBG_Author">
      <xsd:simpleType>
        <xsd:restriction base="dms:Note"/>
      </xsd:simpleType>
    </xsd:element>
    <xsd:element name="wb_dataset" ma:index="124" nillable="true" ma:displayName="Dataset" ma:internalName="wb_dataset">
      <xsd:simpleType>
        <xsd:restriction base="dms:Note">
          <xsd:maxLength value="255"/>
        </xsd:restriction>
      </xsd:simpleType>
    </xsd:element>
    <xsd:element name="wb_reproducibilitypackage" ma:index="125" nillable="true" ma:displayName="Reproducibility Package" ma:internalName="wb_reproducibilitypackage">
      <xsd:simpleType>
        <xsd:restriction base="dms:Note">
          <xsd:maxLength value="255"/>
        </xsd:restriction>
      </xsd:simpleType>
    </xsd:element>
    <xsd:element name="WB_LongAuthor_Flag" ma:index="126" nillable="true" ma:displayName="WB_LongAuthor_Flag" ma:format="Dropdown" ma:internalName="WB_LongAuthor_Flag">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WBDocs_Document_Date" ma:index="3" nillable="true" ma:displayName="Document Date" ma:default="[today]" ma:format="DateTime" ma:indexed="true" ma:internalName="WBDocs_Document_Date" ma:readOnly="false">
      <xsd:simpleType>
        <xsd:restriction base="dms:DateTime"/>
      </xsd:simpleType>
    </xsd:element>
    <xsd:element name="WBDocs_Information_Classification" ma:index="4" ma:displayName="Information Classification" ma:default="Official Use Only" ma:format="Dropdown" ma:indexed="true" ma:internalName="WBDocs_Information_Classification" ma:readOnly="false">
      <xsd:simpleType>
        <xsd:restriction base="dms:Choice">
          <xsd:enumeration value="Public"/>
          <xsd:enumeration value="Official Use Only"/>
          <xsd:enumeration value="Confidential"/>
          <xsd:enumeration value="Strictly Confidential"/>
        </xsd:restriction>
      </xsd:simpleType>
    </xsd:element>
    <xsd:element name="TaxCatchAll" ma:index="6" nillable="true" ma:displayName="Taxonomy Catch All Column" ma:hidden="true" ma:list="{a4c5d6e8-9fb0-484c-a3cf-1c8f84254597}" ma:internalName="TaxCatchAll" ma:showField="CatchAllData" ma:web="6385dc9c-8632-49e9-a791-b8d07731333e">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a4c5d6e8-9fb0-484c-a3cf-1c8f84254597}" ma:internalName="TaxCatchAllLabel" ma:readOnly="true" ma:showField="CatchAllDataLabel" ma:web="6385dc9c-8632-49e9-a791-b8d07731333e">
      <xsd:complexType>
        <xsd:complexContent>
          <xsd:extension base="dms:MultiChoiceLookup">
            <xsd:sequence>
              <xsd:element name="Value" type="dms:Lookup" maxOccurs="unbounded" minOccurs="0" nillable="true"/>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WBDocs_Access_To_Info_Exception" ma:index="13" nillable="true" ma:displayName="Access to Info Exception" ma:default="12. Not Assessed" ma:format="Dropdown" ma:internalName="WBDocs_Access_To_Info_Exception" ma:readOnly="false">
      <xsd:simpleType>
        <xsd:restriction base="dms:Choice">
          <xsd:enumeration value="1. Personal"/>
          <xsd:enumeration value="2. Executive Director's Communications"/>
          <xsd:enumeration value="3. Board Ethics Committee"/>
          <xsd:enumeration value="4. Attorney-Client Privilege"/>
          <xsd:enumeration value="5. Security &amp; Safety"/>
          <xsd:enumeration value="6. Other Disclosure Regimes"/>
          <xsd:enumeration value="7. Client / Third Party Confidence"/>
          <xsd:enumeration value="8. Corporate/Administrative"/>
          <xsd:enumeration value="9. Deliberative"/>
          <xsd:enumeration value="10a-c. Financial - Forecast/Analysis/Transactions"/>
          <xsd:enumeration value="10d. Financial - Banking &amp; Billing"/>
          <xsd:enumeration value="11. Bank's Prerogative to Restrict"/>
          <xsd:enumeration value="12. Not Assessed"/>
          <xsd:enumeration value="13. Not Applicable"/>
          <xsd:enumeration value="Unknown Policy Restriction"/>
        </xsd:restriction>
      </xsd:simpleType>
    </xsd:element>
    <xsd:element name="o1cb080a3dca4eb8a0fd03c7cc8bf8f7" ma:index="15" nillable="true" ma:taxonomy="true" ma:internalName="o1cb080a3dca4eb8a0fd03c7cc8bf8f7" ma:taxonomyFieldName="WBDocs_Local_Document_Type" ma:displayName="Local Document Type" ma:readOnly="false" ma:default="" ma:fieldId="{81cb080a-3dca-4eb8-a0fd-03c7cc8bf8f7}" ma:taxonomyMulti="true" ma:sspId="2a6c10d7-b926-4fc0-945e-3cbf5049f6bd" ma:termSetId="ec380048-e675-43f7-9194-41567bcb0af6" ma:anchorId="00000000-0000-0000-0000-000000000000" ma:open="false" ma:isKeyword="false">
      <xsd:complexType>
        <xsd:sequence>
          <xsd:element ref="pc:Terms" minOccurs="0" maxOccurs="1"/>
        </xsd:sequence>
      </xsd:complexType>
    </xsd:element>
    <xsd:element name="i008215bacac45029ee8cafff4c8e93b" ma:index="17" nillable="true" ma:taxonomy="true" ma:internalName="i008215bacac45029ee8cafff4c8e93b" ma:taxonomyFieldName="WBDocs_Originating_Unit" ma:displayName="Originating unit" ma:readOnly="false" ma:default="" ma:fieldId="{2008215b-acac-4502-9ee8-cafff4c8e93b}"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OneCMS_Subcategory" ma:index="21" nillable="true" ma:displayName="Subcategory" ma:hidden="true" ma:internalName="OneCMS_Subcategory" ma:readOnly="false">
      <xsd:simpleType>
        <xsd:restriction base="dms:Text"/>
      </xsd:simpleType>
    </xsd:element>
    <xsd:element name="OneCMS_Category" ma:index="22" nillable="true" ma:displayName="Category" ma:hidden="true" ma:internalName="OneCMS_Category" ma:readOnly="false">
      <xsd:simpleType>
        <xsd:restriction base="dms:Text"/>
      </xsd:simpleType>
    </xsd:element>
    <xsd:element name="Abstract" ma:index="23" nillable="true" ma:displayName="Abstract" ma:hidden="true" ma:internalName="Abstract" ma:readOnly="false">
      <xsd:simpleType>
        <xsd:restriction base="dms:Note"/>
      </xsd:simpleType>
    </xsd:element>
    <xsd:element name="wb_aicomments" ma:index="26" nillable="true" ma:displayName="AI Comments" ma:internalName="wb_aicomments">
      <xsd:simpleType>
        <xsd:restriction base="dms:Note">
          <xsd:maxLength value="255"/>
        </xsd:restriction>
      </xsd:simpleType>
    </xsd:element>
    <xsd:element name="wb_boarddocumentnumber" ma:index="30" nillable="true" ma:displayName="Board Document Number" ma:internalName="wb_boarddocumentnumber">
      <xsd:simpleType>
        <xsd:restriction base="dms:Text"/>
      </xsd:simpleType>
    </xsd:element>
    <xsd:element name="wb_meetingdate" ma:index="32" nillable="true" ma:displayName="Board Meeting Date" ma:internalName="wb_meetingdate">
      <xsd:simpleType>
        <xsd:restriction base="dms:Text"/>
      </xsd:simpleType>
    </xsd:element>
    <xsd:element name="wb_boardmeetingtype" ma:index="33" nillable="true" ma:displayName="Board Meeting Type" ma:format="Dropdown" ma:internalName="wb_boardmeetingtype">
      <xsd:simpleType>
        <xsd:restriction base="dms:Choice">
          <xsd:enumeration value="Committee"/>
          <xsd:enumeration value="Committee of the Whole"/>
          <xsd:enumeration value="Development Committee"/>
          <xsd:enumeration value="Executive Session"/>
          <xsd:enumeration value="Informal"/>
          <xsd:enumeration value="Other"/>
          <xsd:enumeration value="Regular"/>
          <xsd:enumeration value="Retreat"/>
          <xsd:enumeration value="Seminar"/>
          <xsd:enumeration value="Steering Committee"/>
          <xsd:enumeration value="Technical Briefing"/>
        </xsd:restriction>
      </xsd:simpleType>
    </xsd:element>
    <xsd:element name="wb_category" ma:index="34" nillable="true" ma:displayName="Category" ma:internalName="wb_category">
      <xsd:simpleType>
        <xsd:restriction base="dms:Note">
          <xsd:maxLength value="255"/>
        </xsd:restriction>
      </xsd:simpleType>
    </xsd:element>
    <xsd:element name="g5db487b699641c994752f446908f645" ma:index="38" nillable="true" ma:taxonomy="true" ma:internalName="g5db487b699641c994752f446908f645" ma:taxonomyFieldName="wb_country" ma:displayName="Country" ma:default="" ma:fieldId="{05db487b-6996-41c9-9475-2f446908f645}" ma:taxonomyMulti="true" ma:sspId="2a6c10d7-b926-4fc0-945e-3cbf5049f6bd" ma:termSetId="5b557a74-2ed1-4f9b-90d0-a207a2948e5f" ma:anchorId="00000000-0000-0000-0000-000000000000" ma:open="false" ma:isKeyword="false">
      <xsd:complexType>
        <xsd:sequence>
          <xsd:element ref="pc:Terms" minOccurs="0" maxOccurs="1"/>
        </xsd:sequence>
      </xsd:complexType>
    </xsd:element>
    <xsd:element name="wb_cttype" ma:index="41" nillable="true" ma:displayName="CTType" ma:internalName="wb_cttype">
      <xsd:simpleType>
        <xsd:restriction base="dms:Text"/>
      </xsd:simpleType>
    </xsd:element>
    <xsd:element name="wb_description" ma:index="42" nillable="true" ma:displayName="Description" ma:internalName="wb_description">
      <xsd:simpleType>
        <xsd:restriction base="dms:Note"/>
      </xsd:simpleType>
    </xsd:element>
    <xsd:element name="wb_disclosuredate" ma:index="44" nillable="true" ma:displayName="Disclosure Date" ma:internalName="wb_disclosuredate">
      <xsd:simpleType>
        <xsd:restriction base="dms:DateTime"/>
      </xsd:simpleType>
    </xsd:element>
    <xsd:element name="wb_disclosurestatus" ma:index="45" nillable="true" ma:displayName="Disclosure Status" ma:internalName="wb_disclosurestatus">
      <xsd:simpleType>
        <xsd:restriction base="dms:Text"/>
      </xsd:simpleType>
    </xsd:element>
    <xsd:element name="wb_disclosuretype" ma:index="46" nillable="true" ma:displayName="Disclosure Type" ma:internalName="wb_disclosuretype">
      <xsd:simpleType>
        <xsd:restriction base="dms:Text"/>
      </xsd:simpleType>
    </xsd:element>
    <xsd:element name="wb_exceptionapprover" ma:index="48" nillable="true" ma:displayName="Exception Approver" ma:internalName="wb_exception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b_externalpublic" ma:index="49" nillable="true" ma:displayName="External Public" ma:default="0" ma:internalName="wb_externalpublic">
      <xsd:simpleType>
        <xsd:restriction base="dms:Boolean"/>
      </xsd:simpleType>
    </xsd:element>
    <xsd:element name="wb_externalpublishedlink" ma:index="50" nillable="true" ma:displayName="External Published Link" ma:internalName="wb_externalpublishedlink">
      <xsd:simpleType>
        <xsd:restriction base="dms:Text"/>
      </xsd:simpleType>
    </xsd:element>
    <xsd:element name="wb_externalwebdate" ma:index="51" nillable="true" ma:displayName="External Web Date" ma:internalName="wb_externalwebdate">
      <xsd:simpleType>
        <xsd:restriction base="dms:DateTime"/>
      </xsd:simpleType>
    </xsd:element>
    <xsd:element name="wb_externalwebdecision" ma:index="52" nillable="true" ma:displayName="External Web Decision" ma:internalName="wb_externalwebdecision">
      <xsd:simpleType>
        <xsd:restriction base="dms:Note">
          <xsd:maxLength value="255"/>
        </xsd:restriction>
      </xsd:simpleType>
    </xsd:element>
    <xsd:element name="wb_externalwebdescription" ma:index="53" nillable="true" ma:displayName="External Web Description" ma:internalName="wb_externalwebdescription">
      <xsd:simpleType>
        <xsd:restriction base="dms:Note">
          <xsd:maxLength value="255"/>
        </xsd:restriction>
      </xsd:simpleType>
    </xsd:element>
    <xsd:element name="wb_externalwebstatus" ma:index="54" nillable="true" ma:displayName="External Web Status" ma:internalName="wb_externalwebstatus">
      <xsd:simpleType>
        <xsd:restriction base="dms:Text"/>
      </xsd:simpleType>
    </xsd:element>
    <xsd:element name="wb_filename" ma:index="55" nillable="true" ma:displayName="Org File Name" ma:internalName="wb_filename">
      <xsd:simpleType>
        <xsd:restriction base="dms:Text"/>
      </xsd:simpleType>
    </xsd:element>
    <xsd:element name="wb_filingapplication" ma:index="56" nillable="true" ma:displayName="Filing Application" ma:internalName="wb_filingapplication">
      <xsd:simpleType>
        <xsd:restriction base="dms:Text"/>
      </xsd:simpleType>
    </xsd:element>
    <xsd:element name="wb_ibflag" ma:index="57" nillable="true" ma:displayName="IB Flag" ma:internalName="wb_ibflag">
      <xsd:simpleType>
        <xsd:restriction base="dms:Text"/>
      </xsd:simpleType>
    </xsd:element>
    <xsd:element name="wb_ibtopic" ma:index="58" nillable="true" ma:displayName="IB Topic" ma:internalName="wb_ibtopic">
      <xsd:simpleType>
        <xsd:restriction base="dms:Note">
          <xsd:maxLength value="255"/>
        </xsd:restriction>
      </xsd:simpleType>
    </xsd:element>
    <xsd:element name="wb_ibtopiccode" ma:index="59" nillable="true" ma:displayName="IB Topic Code" ma:internalName="wb_ibtopiccode">
      <xsd:simpleType>
        <xsd:restriction base="dms:Note">
          <xsd:maxLength value="255"/>
        </xsd:restriction>
      </xsd:simpleType>
    </xsd:element>
    <xsd:element name="wb_ibtopiclegacy" ma:index="60" nillable="true" ma:displayName="IB Topic Legacy" ma:internalName="wb_ibtopiclegacy">
      <xsd:simpleType>
        <xsd:restriction base="dms:Note">
          <xsd:maxLength value="255"/>
        </xsd:restriction>
      </xsd:simpleType>
    </xsd:element>
    <xsd:element name="wb_ioparentid" ma:index="61" nillable="true" ma:displayName="IO Parent ID" ma:internalName="wb_ioparentid">
      <xsd:simpleType>
        <xsd:restriction base="dms:Text"/>
      </xsd:simpleType>
    </xsd:element>
    <xsd:element name="wb_keyword" ma:index="64" nillable="true" ma:displayName="Keyword" ma:internalName="wb_keyword">
      <xsd:simpleType>
        <xsd:restriction base="dms:Note">
          <xsd:maxLength value="255"/>
        </xsd:restriction>
      </xsd:simpleType>
    </xsd:element>
    <xsd:element name="ed89010fab75481eba28f36694d32f6e" ma:index="65" nillable="true" ma:taxonomy="true" ma:internalName="ed89010fab75481eba28f36694d32f6e" ma:taxonomyFieldName="wb_language" ma:displayName="Language" ma:default="" ma:fieldId="{ed89010f-ab75-481e-ba28-f36694d32f6e}" ma:taxonomyMulti="true" ma:sspId="2a6c10d7-b926-4fc0-945e-3cbf5049f6bd" ma:termSetId="eec26d95-2741-4993-be53-ce892dff855b" ma:anchorId="00000000-0000-0000-0000-000000000000" ma:open="false" ma:isKeyword="false">
      <xsd:complexType>
        <xsd:sequence>
          <xsd:element ref="pc:Terms" minOccurs="0" maxOccurs="1"/>
        </xsd:sequence>
      </xsd:complexType>
    </xsd:element>
    <xsd:element name="wb_loanid" ma:index="67" nillable="true" ma:displayName="Loan Id" ma:internalName="wb_loanid">
      <xsd:simpleType>
        <xsd:restriction base="dms:Text"/>
      </xsd:simpleType>
    </xsd:element>
    <xsd:element name="wb_projectid" ma:index="71" nillable="true" ma:displayName="Project Id" ma:indexed="true" ma:internalName="wb_projectid">
      <xsd:simpleType>
        <xsd:restriction base="dms:Text"/>
      </xsd:simpleType>
    </xsd:element>
    <xsd:element name="wb_publicalternativeapprover" ma:index="73" nillable="true" ma:displayName="Public Alternative Approver" ma:internalName="wb_publicalternative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b_publicapprover" ma:index="74" nillable="true" ma:displayName="Public Approver" ma:internalName="wb_public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b_realcreationdate" ma:index="75" nillable="true" ma:displayName="Real Creation Date" ma:internalName="wb_realcreationdate">
      <xsd:simpleType>
        <xsd:restriction base="dms:DateTime"/>
      </xsd:simpleType>
    </xsd:element>
    <xsd:element name="wb_realcreatorname" ma:index="76" nillable="true" ma:displayName="Real Creator Name" ma:internalName="wb_realcreatorname">
      <xsd:simpleType>
        <xsd:restriction base="dms:Text"/>
      </xsd:simpleType>
    </xsd:element>
    <xsd:element name="wb_realmodifier" ma:index="77" nillable="true" ma:displayName="Real Modifier" ma:internalName="wb_realmodifier">
      <xsd:simpleType>
        <xsd:restriction base="dms:Text"/>
      </xsd:simpleType>
    </xsd:element>
    <xsd:element name="wb_realmodifydate" ma:index="78" nillable="true" ma:displayName="Real Modify Date" ma:internalName="wb_realmodifydate">
      <xsd:simpleType>
        <xsd:restriction base="dms:DateTime"/>
      </xsd:simpleType>
    </xsd:element>
    <xsd:element name="wb_reportno" ma:index="81" nillable="true" ma:displayName="Report No." ma:format="Dropdown" ma:indexed="true" ma:internalName="wb_reportno">
      <xsd:simpleType>
        <xsd:restriction base="dms:Text">
          <xsd:maxLength value="255"/>
        </xsd:restriction>
      </xsd:simpleType>
    </xsd:element>
    <xsd:element name="wb_subfolder" ma:index="83" nillable="true" ma:displayName="Sub Folder" ma:internalName="wb_subfolder">
      <xsd:simpleType>
        <xsd:restriction base="dms:Text"/>
      </xsd:simpleType>
    </xsd:element>
    <xsd:element name="wb_topic" ma:index="84" nillable="true" ma:displayName="Topic" ma:internalName="wb_topic">
      <xsd:simpleType>
        <xsd:restriction base="dms:Note">
          <xsd:maxLength value="255"/>
        </xsd:restriction>
      </xsd:simpleType>
    </xsd:element>
    <xsd:element name="wb_trustfundcode" ma:index="85" nillable="true" ma:displayName="TrustFund Code" ma:internalName="wb_trustfundcode">
      <xsd:simpleType>
        <xsd:restriction base="dms:Text"/>
      </xsd:simpleType>
    </xsd:element>
    <xsd:element name="wb_wbdocsid" ma:index="89" nillable="true" ma:displayName="WBDocsId" ma:internalName="wb_wbdocsid">
      <xsd:simpleType>
        <xsd:restriction base="dms:Text"/>
      </xsd:simpleType>
    </xsd:element>
    <xsd:element name="wb_taskid" ma:index="101" nillable="true" ma:displayName="Task ID" ma:internalName="wb_taskid">
      <xsd:simpleType>
        <xsd:restriction base="dms:Note">
          <xsd:maxLength value="255"/>
        </xsd:restriction>
      </xsd:simpleType>
    </xsd:element>
    <xsd:element name="wb_itemid" ma:index="102" nillable="true" ma:displayName="ItemId" ma:internalName="wb_itemid">
      <xsd:simpleType>
        <xsd:restriction base="dms:Note">
          <xsd:maxLength value="255"/>
        </xsd:restriction>
      </xsd:simpleType>
    </xsd:element>
    <xsd:element name="WBDocs_Addressee" ma:index="127" nillable="true" ma:displayName="Addressee" ma:internalName="WBDocs_Addressee">
      <xsd:simpleType>
        <xsd:restriction base="dms:Text"/>
      </xsd:simpleType>
    </xsd:element>
    <xsd:element name="wb_addressee" ma:index="128" nillable="true" ma:displayName="Addressee" ma:internalName="wb_addressee">
      <xsd:simpleType>
        <xsd:restriction base="dms:Note">
          <xsd:maxLength value="255"/>
        </xsd:restriction>
      </xsd:simpleType>
    </xsd:element>
    <xsd:element name="wb_archivesboxno" ma:index="129" nillable="true" ma:displayName="ArchiveBoxNo" ma:internalName="wb_archivesboxno">
      <xsd:simpleType>
        <xsd:restriction base="dms:Note">
          <xsd:maxLength value="255"/>
        </xsd:restriction>
      </xsd:simpleType>
    </xsd:element>
    <xsd:element name="wb_archiveprojectid" ma:index="130" nillable="true" ma:displayName="Archive Project Id" ma:internalName="wb_archiveprojectid">
      <xsd:simpleType>
        <xsd:restriction base="dms:Note">
          <xsd:maxLength value="255"/>
        </xsd:restriction>
      </xsd:simpleType>
    </xsd:element>
    <xsd:element name="wb_archivesaccessionnumber" ma:index="131" nillable="true" ma:displayName="Archive Accession Number" ma:internalName="wb_archivesaccessionnumber">
      <xsd:simpleType>
        <xsd:restriction base="dms:Note">
          <xsd:maxLength value="255"/>
        </xsd:restriction>
      </xsd:simpleType>
    </xsd:element>
    <xsd:element name="wb_esignaturecode" ma:index="132" nillable="true" ma:displayName="E Signature Code" ma:internalName="wb_esignaturecode">
      <xsd:simpleType>
        <xsd:restriction base="dms:Text"/>
      </xsd:simpleType>
    </xsd:element>
    <xsd:element name="wb_fiscalyear" ma:index="134" nillable="true" ma:displayName="Fiscal Year" ma:internalName="wb_fiscalyear">
      <xsd:simpleType>
        <xsd:restriction base="dms:Text"/>
      </xsd:simpleType>
    </xsd:element>
    <xsd:element name="wb_jsondata" ma:index="137" nillable="true" ma:displayName="JSONData" ma:internalName="wb_jsondata">
      <xsd:simpleType>
        <xsd:restriction base="dms:Note">
          <xsd:maxLength value="255"/>
        </xsd:restriction>
      </xsd:simpleType>
    </xsd:element>
    <xsd:element name="JSONData" ma:index="138" nillable="true" ma:displayName="JSONData" ma:internalName="JSONData">
      <xsd:simpleType>
        <xsd:restriction base="dms:Note"/>
      </xsd:simpleType>
    </xsd:element>
    <xsd:element name="wb_keywordlegacy" ma:index="139" nillable="true" ma:displayName="Keyword_Legacy" ma:internalName="wb_keywordlegacy">
      <xsd:simpleType>
        <xsd:restriction base="dms:Note">
          <xsd:maxLength value="255"/>
        </xsd:restriction>
      </xsd:simpleType>
    </xsd:element>
    <xsd:element name="wb_numberofpages" ma:index="143" nillable="true" ma:displayName="Numberofpages" ma:internalName="wb_numberofpages">
      <xsd:simpleType>
        <xsd:restriction base="dms:Text"/>
      </xsd:simpleType>
    </xsd:element>
    <xsd:element name="wb_referencenumber" ma:index="148" nillable="true" ma:displayName="Reference Number" ma:internalName="wb_referencenumber">
      <xsd:simpleType>
        <xsd:restriction base="dms:Text"/>
      </xsd:simpleType>
    </xsd:element>
    <xsd:element name="WBDocs_Region" ma:index="149" nillable="true" ma:displayName="Region" ma:format="Dropdown" ma:internalName="WBDocs_Region">
      <xsd:simpleType>
        <xsd:restriction base="dms:Choice">
          <xsd:enumeration value="Africa"/>
          <xsd:enumeration value="East Asia and Pacific"/>
          <xsd:enumeration value="Europe and Central Asia"/>
          <xsd:enumeration value="Latin America and Caribbean"/>
          <xsd:enumeration value="Middle East and North Africa"/>
          <xsd:enumeration value="Rest Of The World"/>
          <xsd:enumeration value="South Asia"/>
        </xsd:restriction>
      </xsd:simpleType>
    </xsd:element>
    <xsd:element name="WBDocs_To" ma:index="161" nillable="true" ma:displayName="To" ma:hidden="true" ma:internalName="WBDocs_To" ma:readOnly="false">
      <xsd:simpleType>
        <xsd:restriction base="dms:Text"/>
      </xsd:simpleType>
    </xsd:element>
    <xsd:element name="RefreshDate" ma:index="162" nillable="true" ma:displayName="Refresh Date" ma:default="[today]" ma:format="DateOnly" ma:internalName="RefreshDate">
      <xsd:simpleType>
        <xsd:restriction base="dms:DateTime"/>
      </xsd:simpleType>
    </xsd:element>
    <xsd:element name="WBDocs_Cc" ma:index="164" nillable="true" ma:displayName="Cc" ma:hidden="true" ma:internalName="WBDocs_Cc"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85dc9c-8632-49e9-a791-b8d07731333e" elementFormDefault="qualified">
    <xsd:import namespace="http://schemas.microsoft.com/office/2006/documentManagement/types"/>
    <xsd:import namespace="http://schemas.microsoft.com/office/infopath/2007/PartnerControls"/>
    <xsd:element name="wb_abstract" ma:index="24" nillable="true" ma:displayName="Abstract" ma:internalName="wb_abstract">
      <xsd:simpleType>
        <xsd:restriction base="dms:Note">
          <xsd:maxLength value="255"/>
        </xsd:restriction>
      </xsd:simpleType>
    </xsd:element>
    <xsd:element name="wb_additionalkeywords" ma:index="25" nillable="true" ma:displayName="Additional keywords " ma:internalName="wb_additionalkeywords">
      <xsd:simpleType>
        <xsd:restriction base="dms:Note">
          <xsd:maxLength value="255"/>
        </xsd:restriction>
      </xsd:simpleType>
    </xsd:element>
    <xsd:element name="wb_alternatetitle" ma:index="27" nillable="true" ma:displayName="Alternate Title" ma:internalName="wb_alternatetitle">
      <xsd:simpleType>
        <xsd:restriction base="dms:Note">
          <xsd:maxLength value="255"/>
        </xsd:restriction>
      </xsd:simpleType>
    </xsd:element>
    <xsd:element name="la8e280b24ee4580863646f8933db267" ma:index="28" nillable="true" ma:taxonomy="true" ma:internalName="la8e280b24ee4580863646f8933db267" ma:taxonomyFieldName="wb_bankgroupinstitution" ma:displayName="Bank Group Institution" ma:default="" ma:fieldId="{5a8e280b-24ee-4580-8636-46f8933db267}" ma:taxonomyMulti="true" ma:sspId="2a6c10d7-b926-4fc0-945e-3cbf5049f6bd" ma:termSetId="6528b94c-d191-4fa7-9759-1b5d2a332d68" ma:anchorId="00000000-0000-0000-0000-000000000000" ma:open="false" ma:isKeyword="false">
      <xsd:complexType>
        <xsd:sequence>
          <xsd:element ref="pc:Terms" minOccurs="0" maxOccurs="1"/>
        </xsd:sequence>
      </xsd:complexType>
    </xsd:element>
    <xsd:element name="wb_boardmeetingdate" ma:index="31" nillable="true" ma:displayName="Board Meeting Date" ma:internalName="wb_boardmeetingdate">
      <xsd:simpleType>
        <xsd:restriction base="dms:DateTime"/>
      </xsd:simpleType>
    </xsd:element>
    <xsd:element name="wb_closingdateboard" ma:index="35" nillable="true" ma:displayName="Closing Date (Board)" ma:internalName="wb_closingdateboard">
      <xsd:simpleType>
        <xsd:restriction base="dms:DateTime"/>
      </xsd:simpleType>
    </xsd:element>
    <xsd:element name="wb_collectiontitle" ma:index="36" nillable="true" ma:displayName="Collection Title" ma:internalName="wb_collectiontitle">
      <xsd:simpleType>
        <xsd:restriction base="dms:Note">
          <xsd:maxLength value="255"/>
        </xsd:restriction>
      </xsd:simpleType>
    </xsd:element>
    <xsd:element name="wb_copyrightholder" ma:index="37" nillable="true" ma:displayName="Copyright Holder" ma:internalName="wb_copyrightholder">
      <xsd:simpleType>
        <xsd:restriction base="dms:Text"/>
      </xsd:simpleType>
    </xsd:element>
    <xsd:element name="wb_ibcountry" ma:index="40" nillable="true" ma:displayName="Country" ma:internalName="wb_ibcountry">
      <xsd:simpleType>
        <xsd:restriction base="dms:Text"/>
      </xsd:simpleType>
    </xsd:element>
    <xsd:element name="wb_digitalobjectidentifier" ma:index="43" nillable="true" ma:displayName="Digital Object Identifier" ma:internalName="wb_digitalobjectidentifier">
      <xsd:simpleType>
        <xsd:restriction base="dms:Text"/>
      </xsd:simpleType>
    </xsd:element>
    <xsd:element name="wb_documentcomments" ma:index="47" nillable="true" ma:displayName="Document Comments " ma:internalName="wb_documentcomments">
      <xsd:simpleType>
        <xsd:restriction base="dms:Note">
          <xsd:maxLength value="255"/>
        </xsd:restriction>
      </xsd:simpleType>
    </xsd:element>
    <xsd:element name="wb_isbn" ma:index="62" nillable="true" ma:displayName="ISBN" ma:internalName="wb_isbn">
      <xsd:simpleType>
        <xsd:restriction base="dms:Note">
          <xsd:maxLength value="255"/>
        </xsd:restriction>
      </xsd:simpleType>
    </xsd:element>
    <xsd:element name="wb_issn" ma:index="63" nillable="true" ma:displayName="ISSN" ma:internalName="wb_issn">
      <xsd:simpleType>
        <xsd:restriction base="dms:Note">
          <xsd:maxLength value="255"/>
        </xsd:restriction>
      </xsd:simpleType>
    </xsd:element>
    <xsd:element name="wb_placeofproduction" ma:index="68" nillable="true" ma:displayName="Place of Production" ma:internalName="wb_placeofproduction">
      <xsd:simpleType>
        <xsd:restriction base="dms:Text"/>
      </xsd:simpleType>
    </xsd:element>
    <xsd:element name="wb_postboardwatermark" ma:index="69" nillable="true" ma:displayName="Post Board Watermark" ma:format="Dropdown" ma:internalName="wb_postboardwatermark">
      <xsd:simpleType>
        <xsd:restriction base="dms:Choice">
          <xsd:enumeration value="Yes"/>
          <xsd:enumeration value="No"/>
        </xsd:restriction>
      </xsd:simpleType>
    </xsd:element>
    <xsd:element name="wb_ppcode" ma:index="70" nillable="true" ma:displayName="Partnership Program Code (PP Code)" ma:internalName="wb_ppcode">
      <xsd:simpleType>
        <xsd:restriction base="dms:Text"/>
      </xsd:simpleType>
    </xsd:element>
    <xsd:element name="wb_projectname" ma:index="72" nillable="true" ma:displayName="Project Name" ma:internalName="wb_projectname">
      <xsd:simpleType>
        <xsd:restriction base="dms:Text"/>
      </xsd:simpleType>
    </xsd:element>
    <xsd:element name="wb_relatedcontentholddiscussdemotelater" ma:index="79" nillable="true" ma:displayName="Related Content HOLD, discuss Demote later" ma:internalName="wb_relatedcontentholddiscussdemotelater">
      <xsd:simpleType>
        <xsd:restriction base="dms:Text"/>
      </xsd:simpleType>
    </xsd:element>
    <xsd:element name="wb_relateddatasethold" ma:index="80" nillable="true" ma:displayName="Related Dataset HOLD" ma:internalName="wb_relateddatasethold">
      <xsd:simpleType>
        <xsd:restriction base="dms:Text"/>
      </xsd:simpleType>
    </xsd:element>
    <xsd:element name="wb_sourcecitation" ma:index="82" nillable="true" ma:displayName="Source Citation" ma:internalName="wb_sourcecitation">
      <xsd:simpleType>
        <xsd:restriction base="dms:Note">
          <xsd:maxLength value="255"/>
        </xsd:restriction>
      </xsd:simpleType>
    </xsd:element>
    <xsd:element name="ja1b524f3f534a9eafb10c0d6b7b176f" ma:index="86" nillable="true" ma:taxonomy="true" ma:internalName="ja1b524f3f534a9eafb10c0d6b7b176f" ma:taxonomyFieldName="wb_virtualcollection" ma:displayName="Virtual Collection" ma:default="" ma:fieldId="{3a1b524f-3f53-4a9e-afb1-0c0d6b7b176f}" ma:sspId="2a6c10d7-b926-4fc0-945e-3cbf5049f6bd" ma:termSetId="151132b6-3af0-4b7a-a4e2-06d1bebb22c2" ma:anchorId="00000000-0000-0000-0000-000000000000" ma:open="false" ma:isKeyword="false">
      <xsd:complexType>
        <xsd:sequence>
          <xsd:element ref="pc:Terms" minOccurs="0" maxOccurs="1"/>
        </xsd:sequence>
      </xsd:complexType>
    </xsd:element>
    <xsd:element name="wb_volumenumber" ma:index="88" nillable="true" ma:displayName="Volume number" ma:internalName="wb_volumenumber">
      <xsd:simpleType>
        <xsd:restriction base="dms:Text"/>
      </xsd:simpleType>
    </xsd:element>
    <xsd:element name="wb_rejectioncomments" ma:index="90" nillable="true" ma:displayName="Rejection Comments" ma:internalName="wb_rejectioncomments">
      <xsd:simpleType>
        <xsd:restriction base="dms:Note">
          <xsd:maxLength value="255"/>
        </xsd:restriction>
      </xsd:simpleType>
    </xsd:element>
    <xsd:element name="wb_rejectionreason" ma:index="91" nillable="true" ma:displayName="Rejection Reason" ma:format="Dropdown" ma:indexed="true" ma:internalName="wb_rejectionreason">
      <xsd:simpleType>
        <xsd:restriction base="dms:Choice">
          <xsd:enumeration value="1. Previously Disclosed"/>
          <xsd:enumeration value="2. Not Eligible for D&amp;R"/>
          <xsd:enumeration value="3. Copyright or Authorship Issue"/>
          <xsd:enumeration value="4. Confidential/Internal"/>
          <xsd:enumeration value="5. TTL Request Not to Disclose"/>
          <xsd:enumeration value="6. Technical Format Issue"/>
          <xsd:enumeration value="7. Incorrect Submission"/>
          <xsd:enumeration value="8. System Error"/>
          <xsd:enumeration value="9. Other"/>
        </xsd:restriction>
      </xsd:simpleType>
    </xsd:element>
    <xsd:element name="wb_ttlnotification" ma:index="92" nillable="true" ma:displayName="Send TTL Notification" ma:internalName="wb_ttlnotification">
      <xsd:simpleType>
        <xsd:restriction base="dms:Boolean"/>
      </xsd:simpleType>
    </xsd:element>
    <xsd:element name="wb_versiontype" ma:index="93" nillable="true" ma:displayName="Version Type" ma:default="Buff Cover" ma:format="Dropdown" ma:internalName="wb_versiontype">
      <xsd:simpleType>
        <xsd:restriction base="dms:Choice">
          <xsd:enumeration value="Buff Cover"/>
          <xsd:enumeration value="Final"/>
          <xsd:enumeration value="Gray Cover"/>
          <xsd:enumeration value="Green Cover"/>
          <xsd:enumeration value="Initial"/>
          <xsd:enumeration value="Initial appraisal"/>
          <xsd:enumeration value="Initial concept"/>
          <xsd:enumeration value="Initial restructuring"/>
          <xsd:enumeration value="Post-Board Version"/>
          <xsd:enumeration value="Revised"/>
          <xsd:enumeration value="Revised appraisal"/>
          <xsd:enumeration value="Revised buff cover"/>
          <xsd:enumeration value="Revised concept"/>
          <xsd:enumeration value="Revised gray cover"/>
          <xsd:enumeration value="Revised white cover"/>
          <xsd:enumeration value="White cover"/>
          <xsd:enumeration value="Yellow cover"/>
        </xsd:restriction>
      </xsd:simpleType>
    </xsd:element>
    <xsd:element name="wb_seriesname" ma:index="94" nillable="true" ma:displayName="Series Name" ma:internalName="wb_seriesname">
      <xsd:simpleType>
        <xsd:restriction base="dms:Text"/>
      </xsd:simpleType>
    </xsd:element>
    <xsd:element name="ncd8676b6f874fb3b13498347bded7f2" ma:index="97" nillable="true" ma:taxonomy="true" ma:internalName="ncd8676b6f874fb3b13498347bded7f2" ma:taxonomyFieldName="wb_iblocaldocumenttype" ma:displayName="IB Local Document Type" ma:default="" ma:fieldId="{7cd8676b-6f87-4fb3-b134-98347bded7f2}" ma:taxonomyMulti="true" ma:sspId="2a6c10d7-b926-4fc0-945e-3cbf5049f6bd" ma:termSetId="d690af78-d715-419b-ad32-a7c1058a6fb7" ma:anchorId="00000000-0000-0000-0000-000000000000" ma:open="false" ma:isKeyword="false">
      <xsd:complexType>
        <xsd:sequence>
          <xsd:element ref="pc:Terms" minOccurs="0" maxOccurs="1"/>
        </xsd:sequence>
      </xsd:complexType>
    </xsd:element>
    <xsd:element name="wb_unitowning" ma:index="99" nillable="true" ma:displayName="Unit Owning / Responsible" ma:internalName="wb_unitowning0">
      <xsd:simpleType>
        <xsd:restriction base="dms:Text">
          <xsd:maxLength value="255"/>
        </xsd:restriction>
      </xsd:simpleType>
    </xsd:element>
    <xsd:element name="wb_reportname" ma:index="100" nillable="true" ma:displayName="Report Name" ma:internalName="wb_reportname">
      <xsd:simpleType>
        <xsd:restriction base="dms:Text">
          <xsd:maxLength value="255"/>
        </xsd:restriction>
      </xsd:simpleType>
    </xsd:element>
    <xsd:element name="SharedWithUsers" ma:index="10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6" nillable="true" ma:displayName="Shared With Details" ma:internalName="SharedWithDetails" ma:readOnly="true">
      <xsd:simpleType>
        <xsd:restriction base="dms:Note">
          <xsd:maxLength value="255"/>
        </xsd:restriction>
      </xsd:simpleType>
    </xsd:element>
    <xsd:element name="baab35ea0edf4f67bc6dbfa9e148ad9e" ma:index="107" nillable="true" ma:taxonomy="true" ma:internalName="baab35ea0edf4f67bc6dbfa9e148ad9e" ma:taxonomyFieldName="wb_ibtopic1" ma:displayName="Topic1" ma:default="" ma:fieldId="{baab35ea-0edf-4f67-bc6d-bfa9e148ad9e}" ma:taxonomyMulti="true" ma:sspId="2a6c10d7-b926-4fc0-945e-3cbf5049f6bd" ma:termSetId="0f813b42-54c7-45e9-92b4-e97016e39e8b" ma:anchorId="00000000-0000-0000-0000-000000000000" ma:open="false" ma:isKeyword="false">
      <xsd:complexType>
        <xsd:sequence>
          <xsd:element ref="pc:Terms" minOccurs="0" maxOccurs="1"/>
        </xsd:sequence>
      </xsd:complexType>
    </xsd:element>
    <xsd:element name="wb_virtualcollection1" ma:index="109" nillable="true" ma:displayName="Virtual Collection1" ma:internalName="wb_virtualcollection1">
      <xsd:simpleType>
        <xsd:restriction base="dms:Text">
          <xsd:maxLength value="255"/>
        </xsd:restriction>
      </xsd:simpleType>
    </xsd:element>
    <xsd:element name="WB_IDU_Comment" ma:index="114" nillable="true" ma:displayName="IDU Comment" ma:internalName="WB_IDU_Comment">
      <xsd:simpleType>
        <xsd:restriction base="dms:Note">
          <xsd:maxLength value="255"/>
        </xsd:restriction>
      </xsd:simpleType>
    </xsd:element>
    <xsd:element name="WB_Status_Folder" ma:index="116" nillable="true" ma:displayName="Folder" ma:indexed="true" ma:internalName="WB_Status_Folder">
      <xsd:simpleType>
        <xsd:restriction base="dms:Text">
          <xsd:maxLength value="255"/>
        </xsd:restriction>
      </xsd:simpleType>
    </xsd:element>
    <xsd:element name="wb_topics_sys" ma:index="122" nillable="true" ma:displayName="Topics by system" ma:internalName="wb_topics_sys">
      <xsd:simpleType>
        <xsd:restriction base="dms:Note"/>
      </xsd:simpleType>
    </xsd:element>
    <xsd:element name="Export_x0020_Porduct_x0020_ID" ma:index="133" nillable="true" ma:displayName="Export Porduct ID" ma:default="" ma:internalName="Export_x0020_Porduct_x0020_ID">
      <xsd:simpleType>
        <xsd:restriction base="dms:Text">
          <xsd:maxLength value="255"/>
        </xsd:restriction>
      </xsd:simpleType>
    </xsd:element>
    <xsd:element name="Historic_x0020_Subtopic" ma:index="135" nillable="true" ma:displayName="Historic Subtopic" ma:default="" ma:internalName="Historic_x0020_Subtopic">
      <xsd:simpleType>
        <xsd:restriction base="dms:Note">
          <xsd:maxLength value="255"/>
        </xsd:restriction>
      </xsd:simpleType>
    </xsd:element>
    <xsd:element name="Imagebank_x0020_Status" ma:index="136" nillable="true" ma:displayName="Imagebank Status" ma:default="" ma:internalName="Imagebank_x0020_Status">
      <xsd:simpleType>
        <xsd:restriction base="dms:Text">
          <xsd:maxLength value="255"/>
        </xsd:restriction>
      </xsd:simpleType>
    </xsd:element>
    <xsd:element name="Metadata_x0020_Disclosure" ma:index="140" nillable="true" ma:displayName="Metadata Disclosure" ma:default="" ma:internalName="Metadata_x0020_Disclosure">
      <xsd:simpleType>
        <xsd:restriction base="dms:Text">
          <xsd:maxLength value="255"/>
        </xsd:restriction>
      </xsd:simpleType>
    </xsd:element>
    <xsd:element name="gfe0ef498b1f4531b489e35184628d66" ma:index="141" nillable="true" ma:taxonomy="true" ma:internalName="gfe0ef498b1f4531b489e35184628d66" ma:taxonomyFieldName="Main_x0020_Topic1" ma:displayName="Main Topic1" ma:default="" ma:fieldId="{0fe0ef49-8b1f-4531-b489-e35184628d66}" ma:taxonomyMulti="true" ma:sspId="2a6c10d7-b926-4fc0-945e-3cbf5049f6bd" ma:termSetId="46cf22ea-3a82-4de9-a0f3-a31552d84e4b" ma:anchorId="00000000-0000-0000-0000-000000000000" ma:open="false" ma:isKeyword="false">
      <xsd:complexType>
        <xsd:sequence>
          <xsd:element ref="pc:Terms" minOccurs="0" maxOccurs="1"/>
        </xsd:sequence>
      </xsd:complexType>
    </xsd:element>
    <xsd:element name="Old_x0020_Sector_x0020_Code" ma:index="144" nillable="true" ma:displayName="Old Sector Code" ma:default="" ma:internalName="Old_x0020_Sector_x0020_Code">
      <xsd:simpleType>
        <xsd:restriction base="dms:Text">
          <xsd:maxLength value="255"/>
        </xsd:restriction>
      </xsd:simpleType>
    </xsd:element>
    <xsd:element name="Original_x0020_Information_x0020_Classification" ma:index="145" nillable="true" ma:displayName="Original Information Classification" ma:default="" ma:internalName="Original_x0020_Information_x0020_Classification">
      <xsd:simpleType>
        <xsd:restriction base="dms:Text">
          <xsd:maxLength value="255"/>
        </xsd:restriction>
      </xsd:simpleType>
    </xsd:element>
    <xsd:element name="Public_x0020_GUID" ma:index="146" nillable="true" ma:displayName="Public GUID" ma:default="" ma:internalName="Public_x0020_GUID">
      <xsd:simpleType>
        <xsd:restriction base="dms:Text">
          <xsd:maxLength value="255"/>
        </xsd:restriction>
      </xsd:simpleType>
    </xsd:element>
    <xsd:element name="Pull_x0020_Back_x0020_status" ma:index="147" nillable="true" ma:displayName="Pull Back status" ma:default="1" ma:internalName="Pull_x0020_Back_x0020_status">
      <xsd:simpleType>
        <xsd:restriction base="dms:Boolean"/>
      </xsd:simpleType>
    </xsd:element>
    <xsd:element name="Released_x0020_by" ma:index="150" nillable="true" ma:displayName="Released by" ma:default="" ma:internalName="Released_x0020_by">
      <xsd:simpleType>
        <xsd:restriction base="dms:Text">
          <xsd:maxLength value="255"/>
        </xsd:restriction>
      </xsd:simpleType>
    </xsd:element>
    <xsd:element name="Released_x0020_Date" ma:index="151" nillable="true" ma:displayName="Released Date" ma:default="" ma:format="DateOnly" ma:internalName="Released_x0020_Date">
      <xsd:simpleType>
        <xsd:restriction base="dms:DateTime"/>
      </xsd:simpleType>
    </xsd:element>
    <xsd:element name="Topic_x0020_L1" ma:index="152" nillable="true" ma:displayName="Topic L1" ma:default="" ma:internalName="Topic_x0020_L1">
      <xsd:simpleType>
        <xsd:restriction base="dms:Note">
          <xsd:maxLength value="255"/>
        </xsd:restriction>
      </xsd:simpleType>
    </xsd:element>
    <xsd:element name="Topic_x0020_l2" ma:index="153" nillable="true" ma:displayName="Topic l2" ma:default="" ma:internalName="Topic_x0020_l2">
      <xsd:simpleType>
        <xsd:restriction base="dms:Note">
          <xsd:maxLength value="255"/>
        </xsd:restriction>
      </xsd:simpleType>
    </xsd:element>
    <xsd:element name="Topic_x0020_L2_x0020_Code" ma:index="154" nillable="true" ma:displayName="Topic L2 Code" ma:default="" ma:internalName="Topic_x0020_L2_x0020_Code">
      <xsd:simpleType>
        <xsd:restriction base="dms:Note">
          <xsd:maxLength value="255"/>
        </xsd:restriction>
      </xsd:simpleType>
    </xsd:element>
    <xsd:element name="Total_x0020_Volume_x0028_s_x0029_" ma:index="155" nillable="true" ma:displayName="Total Volume(s)" ma:default="" ma:internalName="Total_x0020_Volume_x0028_s_x0029_">
      <xsd:simpleType>
        <xsd:restriction base="dms:Text">
          <xsd:maxLength value="255"/>
        </xsd:restriction>
      </xsd:simpleType>
    </xsd:element>
    <xsd:element name="i70fb92b1d5e48d0ac5cd4804dee93d5" ma:index="156" nillable="true" ma:taxonomy="true" ma:internalName="i70fb92b1d5e48d0ac5cd4804dee93d5" ma:taxonomyFieldName="Unit_x0020_Owning_x0020__x002F__x0020_Responsible" ma:displayName="Unit Owning / Responsible" ma:default="" ma:fieldId="{270fb92b-1d5e-48d0-ac5c-d4804dee93d5}"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Volume_x0020_Language" ma:index="158" nillable="true" ma:displayName="Volume Language" ma:default="" ma:internalName="Volume_x0020_Language">
      <xsd:simpleType>
        <xsd:restriction base="dms:Text">
          <xsd:maxLength value="255"/>
        </xsd:restriction>
      </xsd:simpleType>
    </xsd:element>
    <xsd:element name="Volume_x0020_Title" ma:index="159" nillable="true" ma:displayName="Volume Title1" ma:internalName="Volume_x0020_Title">
      <xsd:simpleType>
        <xsd:restriction base="dms:Note">
          <xsd:maxLength value="255"/>
        </xsd:restriction>
      </xsd:simpleType>
    </xsd:element>
    <xsd:element name="Volumne_x0020_Comments" ma:index="160" nillable="true" ma:displayName="Volumne Comments" ma:default="" ma:internalName="Volumne_x0020_Comments">
      <xsd:simpleType>
        <xsd:restriction base="dms:Note">
          <xsd:maxLength value="255"/>
        </xsd:restriction>
      </xsd:simpleType>
    </xsd:element>
    <xsd:element name="wb_unitowning0" ma:index="165" nillable="true" ma:displayName="wb_unitowning0" ma:internalName="wb_unitowning0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1e4cfd-0731-4eff-837c-45d1d997259a" elementFormDefault="qualified">
    <xsd:import namespace="http://schemas.microsoft.com/office/2006/documentManagement/types"/>
    <xsd:import namespace="http://schemas.microsoft.com/office/infopath/2007/PartnerControls"/>
    <xsd:element name="MediaServiceMetadata" ma:index="95" nillable="true" ma:displayName="MediaServiceMetadata" ma:hidden="true" ma:internalName="MediaServiceMetadata" ma:readOnly="true">
      <xsd:simpleType>
        <xsd:restriction base="dms:Note"/>
      </xsd:simpleType>
    </xsd:element>
    <xsd:element name="MediaServiceFastMetadata" ma:index="96" nillable="true" ma:displayName="MediaServiceFastMetadata" ma:hidden="true" ma:internalName="MediaServiceFastMetadata" ma:readOnly="true">
      <xsd:simpleType>
        <xsd:restriction base="dms:Note"/>
      </xsd:simpleType>
    </xsd:element>
    <xsd:element name="MediaServiceAutoKeyPoints" ma:index="103" nillable="true" ma:displayName="MediaServiceAutoKeyPoints" ma:hidden="true" ma:internalName="MediaServiceAutoKeyPoints" ma:readOnly="true">
      <xsd:simpleType>
        <xsd:restriction base="dms:Note"/>
      </xsd:simpleType>
    </xsd:element>
    <xsd:element name="MediaServiceKeyPoints" ma:index="104" nillable="true" ma:displayName="KeyPoints" ma:internalName="MediaServiceKeyPoints" ma:readOnly="true">
      <xsd:simpleType>
        <xsd:restriction base="dms:Note">
          <xsd:maxLength value="255"/>
        </xsd:restriction>
      </xsd:simpleType>
    </xsd:element>
    <xsd:element name="MediaServiceAutoTags" ma:index="110" nillable="true" ma:displayName="Tags" ma:internalName="MediaServiceAutoTags" ma:readOnly="true">
      <xsd:simpleType>
        <xsd:restriction base="dms:Text"/>
      </xsd:simpleType>
    </xsd:element>
    <xsd:element name="MediaServiceOCR" ma:index="111" nillable="true" ma:displayName="Extracted Text" ma:internalName="MediaServiceOCR" ma:readOnly="true">
      <xsd:simpleType>
        <xsd:restriction base="dms:Note">
          <xsd:maxLength value="255"/>
        </xsd:restriction>
      </xsd:simpleType>
    </xsd:element>
    <xsd:element name="MediaServiceGenerationTime" ma:index="112" nillable="true" ma:displayName="MediaServiceGenerationTime" ma:hidden="true" ma:internalName="MediaServiceGenerationTime" ma:readOnly="true">
      <xsd:simpleType>
        <xsd:restriction base="dms:Text"/>
      </xsd:simpleType>
    </xsd:element>
    <xsd:element name="MediaServiceEventHashCode" ma:index="113" nillable="true" ma:displayName="MediaServiceEventHashCode" ma:hidden="true" ma:internalName="MediaServiceEventHashCode" ma:readOnly="true">
      <xsd:simpleType>
        <xsd:restriction base="dms:Text"/>
      </xsd:simpleType>
    </xsd:element>
    <xsd:element name="MediaServiceDateTaken" ma:index="115" nillable="true" ma:displayName="MediaServiceDateTaken" ma:hidden="true" ma:internalName="MediaServiceDateTaken" ma:readOnly="true">
      <xsd:simpleType>
        <xsd:restriction base="dms:Text"/>
      </xsd:simpleType>
    </xsd:element>
    <xsd:element name="lcf76f155ced4ddcb4097134ff3c332f" ma:index="118"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LengthInSeconds" ma:index="119" nillable="true" ma:displayName="MediaLengthInSeconds" ma:hidden="true" ma:internalName="MediaLengthInSeconds" ma:readOnly="true">
      <xsd:simpleType>
        <xsd:restriction base="dms:Unknown"/>
      </xsd:simpleType>
    </xsd:element>
    <xsd:element name="MediaServiceObjectDetectorVersions" ma:index="120" nillable="true" ma:displayName="MediaServiceObjectDetectorVersions" ma:hidden="true" ma:indexed="true" ma:internalName="MediaServiceObjectDetectorVersions" ma:readOnly="true">
      <xsd:simpleType>
        <xsd:restriction base="dms:Text"/>
      </xsd:simpleType>
    </xsd:element>
    <xsd:element name="MediaServiceSearchProperties" ma:index="1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e02667f-0271-471b-bd6e-11a2e16def1d">
      <Value>1118</Value>
      <Value>1906</Value>
      <Value>10</Value>
      <Value>1959</Value>
      <Value>7</Value>
      <Value>1956</Value>
      <Value>1534</Value>
      <Value>1294</Value>
      <Value>1</Value>
    </TaxCatchAll>
    <_dlc_DocId xmlns="3e02667f-0271-471b-bd6e-11a2e16def1d">PAFK7RAUX5HX-1833837832-327</_dlc_DocId>
    <_dlc_DocIdUrl xmlns="3e02667f-0271-471b-bd6e-11a2e16def1d">
      <Url>https://worldbankgroup.sharepoint.com/sites/P176829/_layouts/15/DocIdRedir.aspx?ID=PAFK7RAUX5HX-1833837832-327</Url>
      <Description>PAFK7RAUX5HX-1833837832-327</Description>
    </_dlc_DocIdUrl>
    <WBDocs_Access_To_Info_Exception xmlns="3e02667f-0271-471b-bd6e-11a2e16def1d" xsi:nil="true"/>
    <wb_externalwebdecision xmlns="3e02667f-0271-471b-bd6e-11a2e16def1d">Yes</wb_externalwebdecision>
    <wb_filingapplication xmlns="3e02667f-0271-471b-bd6e-11a2e16def1d">OPS2ATTACH</wb_filingapplication>
    <o1cb080a3dca4eb8a0fd03c7cc8bf8f7 xmlns="3e02667f-0271-471b-bd6e-11a2e16def1d">
      <Terms xmlns="http://schemas.microsoft.com/office/infopath/2007/PartnerControls"/>
    </o1cb080a3dca4eb8a0fd03c7cc8bf8f7>
    <wb_subfolder xmlns="3e02667f-0271-471b-bd6e-11a2e16def1d" xsi:nil="true"/>
    <wb_externalwebstatus xmlns="3e02667f-0271-471b-bd6e-11a2e16def1d">Published</wb_externalwebstatus>
    <wb_exceptionapprover xmlns="3e02667f-0271-471b-bd6e-11a2e16def1d">
      <UserInfo>
        <DisplayName/>
        <AccountId xsi:nil="true"/>
        <AccountType/>
      </UserInfo>
    </wb_exceptionapprover>
    <wb_publicalternativeapprover xmlns="3e02667f-0271-471b-bd6e-11a2e16def1d">
      <UserInfo>
        <DisplayName/>
        <AccountId xsi:nil="true"/>
        <AccountType/>
      </UserInfo>
    </wb_publicalternativeapprover>
    <wb_reportno xmlns="3e02667f-0271-471b-bd6e-11a2e16def1d">204053</wb_reportno>
    <wb_projectid xmlns="3e02667f-0271-471b-bd6e-11a2e16def1d">P176829</wb_projectid>
    <wb_externalpublic xmlns="3e02667f-0271-471b-bd6e-11a2e16def1d">false</wb_externalpublic>
    <WBDocs_Document_Date xmlns="3e02667f-0271-471b-bd6e-11a2e16def1d">2025-08-26T12:30:00+00:00</WBDocs_Document_Date>
    <wb_taskid xmlns="3e02667f-0271-471b-bd6e-11a2e16def1d">DL00014515</wb_taskid>
    <g5db487b699641c994752f446908f645 xmlns="3e02667f-0271-471b-bd6e-11a2e16def1d">
      <Terms xmlns="http://schemas.microsoft.com/office/infopath/2007/PartnerControls"/>
    </g5db487b699641c994752f446908f645>
    <wb_aicomments xmlns="3e02667f-0271-471b-bd6e-11a2e16def1d">Approved by Priyank Lathwal on 08/26/2025</wb_aicomments>
    <wb_ibflag xmlns="3e02667f-0271-471b-bd6e-11a2e16def1d">Review</wb_ibflag>
    <wb_publicapprover xmlns="3e02667f-0271-471b-bd6e-11a2e16def1d">
      <UserInfo>
        <DisplayName>Priyank Lathwal</DisplayName>
        <AccountId>5269</AccountId>
        <AccountType/>
      </UserInfo>
    </wb_publicapprover>
    <wb_cttype xmlns="3e02667f-0271-471b-bd6e-11a2e16def1d">MAIN</wb_cttype>
    <wb_itemid xmlns="3e02667f-0271-471b-bd6e-11a2e16def1d">ITM00193</wb_itemid>
    <ed89010fab75481eba28f36694d32f6e xmlns="3e02667f-0271-471b-bd6e-11a2e16def1d">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832426d7-d0f8-4cc5-a5f1-7b89f69e8f78</TermId>
        </TermInfo>
      </Terms>
    </ed89010fab75481eba28f36694d32f6e>
    <WBDocs_Information_Classification xmlns="3e02667f-0271-471b-bd6e-11a2e16def1d">Public</WBDocs_Information_Classification>
    <i008215bacac45029ee8cafff4c8e93b xmlns="3e02667f-0271-471b-bd6e-11a2e16def1d">
      <Terms xmlns="http://schemas.microsoft.com/office/infopath/2007/PartnerControls"/>
    </i008215bacac45029ee8cafff4c8e93b>
    <wb_externalwebdate xmlns="3e02667f-0271-471b-bd6e-11a2e16def1d">2025-08-26T18:22:06+00:00</wb_externalwebdate>
    <wb_realcreationdate xmlns="3e02667f-0271-471b-bd6e-11a2e16def1d" xsi:nil="true"/>
    <wb_externalwebdescription xmlns="3e02667f-0271-471b-bd6e-11a2e16def1d" xsi:nil="true"/>
    <wb_referencenumber xmlns="3e02667f-0271-471b-bd6e-11a2e16def1d" xsi:nil="true"/>
    <wb_loanid xmlns="3e02667f-0271-471b-bd6e-11a2e16def1d" xsi:nil="true"/>
    <wb_fiscalyear xmlns="3e02667f-0271-471b-bd6e-11a2e16def1d" xsi:nil="true"/>
    <wb_filename xmlns="3e02667f-0271-471b-bd6e-11a2e16def1d" xsi:nil="true"/>
    <wb_archivesboxno xmlns="3e02667f-0271-471b-bd6e-11a2e16def1d" xsi:nil="true"/>
    <wb_realmodifydate xmlns="3e02667f-0271-471b-bd6e-11a2e16def1d" xsi:nil="true"/>
    <wb_topic xmlns="3e02667f-0271-471b-bd6e-11a2e16def1d" xsi:nil="true"/>
    <wb_disclosuredate xmlns="3e02667f-0271-471b-bd6e-11a2e16def1d">2025-08-26T18:22:06+00:00</wb_disclosuredate>
    <wb_addressee xmlns="3e02667f-0271-471b-bd6e-11a2e16def1d" xsi:nil="true"/>
    <wb_ibtopic xmlns="3e02667f-0271-471b-bd6e-11a2e16def1d" xsi:nil="true"/>
    <wb_ibtopiclegacy xmlns="3e02667f-0271-471b-bd6e-11a2e16def1d" xsi:nil="true"/>
    <wb_realmodifier xmlns="3e02667f-0271-471b-bd6e-11a2e16def1d" xsi:nil="true"/>
    <wb_numberofpages xmlns="3e02667f-0271-471b-bd6e-11a2e16def1d" xsi:nil="true"/>
    <Abstract xmlns="3e02667f-0271-471b-bd6e-11a2e16def1d" xsi:nil="true"/>
    <wb_disclosurestatus xmlns="3e02667f-0271-471b-bd6e-11a2e16def1d">Disclosed</wb_disclosurestatus>
    <wb_externalpublishedlink xmlns="3e02667f-0271-471b-bd6e-11a2e16def1d" xsi:nil="true"/>
    <wb_description xmlns="3e02667f-0271-471b-bd6e-11a2e16def1d" xsi:nil="true"/>
    <wb_keyword xmlns="3e02667f-0271-471b-bd6e-11a2e16def1d" xsi:nil="true"/>
    <wb_ibtopiccode xmlns="3e02667f-0271-471b-bd6e-11a2e16def1d" xsi:nil="true"/>
    <OneCMS_Subcategory xmlns="3e02667f-0271-471b-bd6e-11a2e16def1d" xsi:nil="true"/>
    <wb_trustfundcode xmlns="3e02667f-0271-471b-bd6e-11a2e16def1d" xsi:nil="true"/>
    <wb_archiveprojectid xmlns="3e02667f-0271-471b-bd6e-11a2e16def1d" xsi:nil="true"/>
    <wb_realcreatorname xmlns="3e02667f-0271-471b-bd6e-11a2e16def1d" xsi:nil="true"/>
    <wb_disclosuretype xmlns="3e02667f-0271-471b-bd6e-11a2e16def1d" xsi:nil="true"/>
    <wb_keywordlegacy xmlns="3e02667f-0271-471b-bd6e-11a2e16def1d" xsi:nil="true"/>
    <wb_archivesaccessionnumber xmlns="3e02667f-0271-471b-bd6e-11a2e16def1d" xsi:nil="true"/>
    <wb_esignaturecode xmlns="3e02667f-0271-471b-bd6e-11a2e16def1d" xsi:nil="true"/>
    <wb_ioparentid xmlns="3e02667f-0271-471b-bd6e-11a2e16def1d" xsi:nil="true"/>
    <OneCMS_Category xmlns="3e02667f-0271-471b-bd6e-11a2e16def1d" xsi:nil="true"/>
    <wb_additionalkeywords xmlns="6385dc9c-8632-49e9-a791-b8d07731333e" xsi:nil="true"/>
    <wb_issn xmlns="6385dc9c-8632-49e9-a791-b8d07731333e" xsi:nil="true"/>
    <wb_placeofproduction xmlns="6385dc9c-8632-49e9-a791-b8d07731333e">Washington, D.C. : World Bank Group</wb_placeofproduction>
    <wb_postboardwatermark xmlns="6385dc9c-8632-49e9-a791-b8d07731333e" xsi:nil="true"/>
    <Historic_x0020_Subtopic xmlns="6385dc9c-8632-49e9-a791-b8d07731333e" xsi:nil="true"/>
    <i70fb92b1d5e48d0ac5cd4804dee93d5 xmlns="6385dc9c-8632-49e9-a791-b8d07731333e">
      <Terms xmlns="http://schemas.microsoft.com/office/infopath/2007/PartnerControls"/>
    </i70fb92b1d5e48d0ac5cd4804dee93d5>
    <wb_relatedcontentholddiscussdemotelater xmlns="6385dc9c-8632-49e9-a791-b8d07731333e" xsi:nil="true"/>
    <Imagebank_x0020_Status xmlns="6385dc9c-8632-49e9-a791-b8d07731333e" xsi:nil="true"/>
    <Original_x0020_Information_x0020_Classification xmlns="6385dc9c-8632-49e9-a791-b8d07731333e" xsi:nil="true"/>
    <Public_x0020_GUID xmlns="6385dc9c-8632-49e9-a791-b8d07731333e" xsi:nil="true"/>
    <wb_abstract xmlns="6385dc9c-8632-49e9-a791-b8d07731333e">This report is the first to systematically address the complex challenge of industrial decarbonization in East Asia, one of the world’s most dynamic economic areas. Drawing on original data and in-depth assessments of three key economies - China, Indonesia, and Viet Nam, the report identifies viable technical pathways, unveils implementation challenges, and offers a comprehensive policy package to accelerate the transition to net-zero industry</wb_abstract>
    <Pull_x0020_Back_x0020_status xmlns="6385dc9c-8632-49e9-a791-b8d07731333e">true</Pull_x0020_Back_x0020_status>
    <Total_x0020_Volume_x0028_s_x0029_ xmlns="6385dc9c-8632-49e9-a791-b8d07731333e" xsi:nil="true"/>
    <wb_alternatetitle xmlns="6385dc9c-8632-49e9-a791-b8d07731333e" xsi:nil="true"/>
    <wb_volumenumber xmlns="6385dc9c-8632-49e9-a791-b8d07731333e">1</wb_volumenumber>
    <Metadata_x0020_Disclosure xmlns="6385dc9c-8632-49e9-a791-b8d07731333e" xsi:nil="true"/>
    <baab35ea0edf4f67bc6dbfa9e148ad9e xmlns="6385dc9c-8632-49e9-a791-b8d07731333e">
      <Terms xmlns="http://schemas.microsoft.com/office/infopath/2007/PartnerControls">
        <TermInfo xmlns="http://schemas.microsoft.com/office/infopath/2007/PartnerControls">
          <TermName xmlns="http://schemas.microsoft.com/office/infopath/2007/PartnerControls">Energy Access Policy and Regulations</TermName>
          <TermId xmlns="http://schemas.microsoft.com/office/infopath/2007/PartnerControls">cd85fc78-282e-49e9-bb9d-4696e7267970</TermId>
        </TermInfo>
        <TermInfo xmlns="http://schemas.microsoft.com/office/infopath/2007/PartnerControls">
          <TermName xmlns="http://schemas.microsoft.com/office/infopath/2007/PartnerControls">Energy and Extractives</TermName>
          <TermId xmlns="http://schemas.microsoft.com/office/infopath/2007/PartnerControls">7617f3f5-4c3a-4e7e-943c-1ce06614b0f0</TermId>
        </TermInfo>
        <TermInfo xmlns="http://schemas.microsoft.com/office/infopath/2007/PartnerControls">
          <TermName xmlns="http://schemas.microsoft.com/office/infopath/2007/PartnerControls">Carbon Capture and Storage</TermName>
          <TermId xmlns="http://schemas.microsoft.com/office/infopath/2007/PartnerControls">a9ad96df-a831-4948-8e08-effbb58ba521</TermId>
        </TermInfo>
        <TermInfo xmlns="http://schemas.microsoft.com/office/infopath/2007/PartnerControls">
          <TermName xmlns="http://schemas.microsoft.com/office/infopath/2007/PartnerControls">Carbon Capture and Storage Law and Regulation</TermName>
          <TermId xmlns="http://schemas.microsoft.com/office/infopath/2007/PartnerControls">391ef436-5ef6-4577-8d6e-c955df8a65cf</TermId>
        </TermInfo>
        <TermInfo xmlns="http://schemas.microsoft.com/office/infopath/2007/PartnerControls">
          <TermName xmlns="http://schemas.microsoft.com/office/infopath/2007/PartnerControls">Carbon Capture and Storage Finance</TermName>
          <TermId xmlns="http://schemas.microsoft.com/office/infopath/2007/PartnerControls">44088c78-b2e0-4682-b835-526c8ba97218</TermId>
        </TermInfo>
      </Terms>
    </baab35ea0edf4f67bc6dbfa9e148ad9e>
    <Released_x0020_by xmlns="6385dc9c-8632-49e9-a791-b8d07731333e" xsi:nil="true"/>
    <RefreshDate xmlns="3e02667f-0271-471b-bd6e-11a2e16def1d">2025-08-26T15:33:46+00:00</RefreshDate>
    <wb_rejectioncomments xmlns="6385dc9c-8632-49e9-a791-b8d07731333e" xsi:nil="true"/>
    <wb_ttlnotification xmlns="6385dc9c-8632-49e9-a791-b8d07731333e" xsi:nil="true"/>
    <Old_x0020_Sector_x0020_Code xmlns="6385dc9c-8632-49e9-a791-b8d07731333e" xsi:nil="true"/>
    <Volume_x0020_Title xmlns="6385dc9c-8632-49e9-a791-b8d07731333e" xsi:nil="true"/>
    <wb_meetingdate xmlns="3e02667f-0271-471b-bd6e-11a2e16def1d" xsi:nil="true"/>
    <wb_unitowning xmlns="6385dc9c-8632-49e9-a791-b8d07731333e" xsi:nil="true"/>
    <wb_reproducibilitypackage xmlns="http://schemas.microsoft.com/sharepoint/v3/fields" xsi:nil="true"/>
    <Export_x0020_Porduct_x0020_ID xmlns="6385dc9c-8632-49e9-a791-b8d07731333e" xsi:nil="true"/>
    <gfe0ef498b1f4531b489e35184628d66 xmlns="6385dc9c-8632-49e9-a791-b8d07731333e">
      <Terms xmlns="http://schemas.microsoft.com/office/infopath/2007/PartnerControls"/>
    </gfe0ef498b1f4531b489e35184628d66>
    <la8e280b24ee4580863646f8933db267 xmlns="6385dc9c-8632-49e9-a791-b8d07731333e">
      <Terms xmlns="http://schemas.microsoft.com/office/infopath/2007/PartnerControls">
        <TermInfo xmlns="http://schemas.microsoft.com/office/infopath/2007/PartnerControls">
          <TermName xmlns="http://schemas.microsoft.com/office/infopath/2007/PartnerControls">IBRD</TermName>
          <TermId xmlns="http://schemas.microsoft.com/office/infopath/2007/PartnerControls">04371005-de81-4a1e-9b50-038cc9ef25c4</TermId>
        </TermInfo>
      </Terms>
    </la8e280b24ee4580863646f8933db267>
    <wb_wbdocsid xmlns="3e02667f-0271-471b-bd6e-11a2e16def1d" xsi:nil="true"/>
    <JSONData xmlns="3e02667f-0271-471b-bd6e-11a2e16def1d" xsi:nil="true"/>
    <wb_documentcomments xmlns="6385dc9c-8632-49e9-a791-b8d07731333e" xsi:nil="true"/>
    <WB_Status_Folder xmlns="6385dc9c-8632-49e9-a791-b8d07731333e">Released</WB_Status_Folder>
    <WBDocs_To xmlns="3e02667f-0271-471b-bd6e-11a2e16def1d" xsi:nil="true"/>
    <wb_boarddocumentnumber xmlns="3e02667f-0271-471b-bd6e-11a2e16def1d" xsi:nil="true"/>
    <wb_boardmeetingdate xmlns="6385dc9c-8632-49e9-a791-b8d07731333e" xsi:nil="true"/>
    <wb_rejectionreason xmlns="6385dc9c-8632-49e9-a791-b8d07731333e" xsi:nil="true"/>
    <wb_seriesname xmlns="6385dc9c-8632-49e9-a791-b8d07731333e" xsi:nil="true"/>
    <Volume_x0020_Language xmlns="6385dc9c-8632-49e9-a791-b8d07731333e" xsi:nil="true"/>
    <wb_unitowning0 xmlns="6385dc9c-8632-49e9-a791-b8d07731333e" xsi:nil="true"/>
    <wb_reportname xmlns="6385dc9c-8632-49e9-a791-b8d07731333e" xsi:nil="true"/>
    <WBG_Author xmlns="http://schemas.microsoft.com/sharepoint/v3/fields">World Bank</WBG_Author>
    <WB_LongAuthor_Flag xmlns="http://schemas.microsoft.com/sharepoint/v3/fields">No</WB_LongAuthor_Flag>
    <wb_ibcountry xmlns="6385dc9c-8632-49e9-a791-b8d07731333e">East Asia and Pacific</wb_ibcountry>
    <wb_isbn xmlns="6385dc9c-8632-49e9-a791-b8d07731333e" xsi:nil="true"/>
    <wb_versiontype xmlns="6385dc9c-8632-49e9-a791-b8d07731333e">Final</wb_versiontype>
    <lcf76f155ced4ddcb4097134ff3c332f xmlns="241e4cfd-0731-4eff-837c-45d1d997259a">
      <Terms xmlns="http://schemas.microsoft.com/office/infopath/2007/PartnerControls"/>
    </lcf76f155ced4ddcb4097134ff3c332f>
    <wb_topics_sys xmlns="6385dc9c-8632-49e9-a791-b8d07731333e">Climate Change
Disaster Risk Management
Energy
Environment
Sustainable Infrastructure Finance</wb_topics_sys>
    <wb_dataset xmlns="http://schemas.microsoft.com/sharepoint/v3/fields" xsi:nil="true"/>
    <wb_jsondata xmlns="3e02667f-0271-471b-bd6e-11a2e16def1d" xsi:nil="true"/>
    <WBDocs_Region xmlns="3e02667f-0271-471b-bd6e-11a2e16def1d" xsi:nil="true"/>
    <wb_digitalobjectidentifier xmlns="6385dc9c-8632-49e9-a791-b8d07731333e" xsi:nil="true"/>
    <wb_projectname xmlns="6385dc9c-8632-49e9-a791-b8d07731333e">Supporting Energy Transition Towards Decarbonization in East Asia and Pacific</wb_projectname>
    <wb_boardmeetingtype xmlns="3e02667f-0271-471b-bd6e-11a2e16def1d" xsi:nil="true"/>
    <Topic_x0020_L1 xmlns="6385dc9c-8632-49e9-a791-b8d07731333e" xsi:nil="true"/>
    <Topic_x0020_L2_x0020_Code xmlns="6385dc9c-8632-49e9-a791-b8d07731333e" xsi:nil="true"/>
    <wb_closingdateboard xmlns="6385dc9c-8632-49e9-a791-b8d07731333e" xsi:nil="true"/>
    <wb_ppcode xmlns="6385dc9c-8632-49e9-a791-b8d07731333e" xsi:nil="true"/>
    <wb_relateddatasethold xmlns="6385dc9c-8632-49e9-a791-b8d07731333e" xsi:nil="true"/>
    <Volumne_x0020_Comments xmlns="6385dc9c-8632-49e9-a791-b8d07731333e" xsi:nil="true"/>
    <ja1b524f3f534a9eafb10c0d6b7b176f xmlns="6385dc9c-8632-49e9-a791-b8d07731333e">
      <Terms xmlns="http://schemas.microsoft.com/office/infopath/2007/PartnerControls"/>
    </ja1b524f3f534a9eafb10c0d6b7b176f>
    <ncd8676b6f874fb3b13498347bded7f2 xmlns="6385dc9c-8632-49e9-a791-b8d07731333e">
      <Terms xmlns="http://schemas.microsoft.com/office/infopath/2007/PartnerControls">
        <TermInfo xmlns="http://schemas.microsoft.com/office/infopath/2007/PartnerControls">
          <TermName xmlns="http://schemas.microsoft.com/office/infopath/2007/PartnerControls">Report</TermName>
          <TermId xmlns="http://schemas.microsoft.com/office/infopath/2007/PartnerControls">99fc2e78-ee98-4335-9e41-5c3d226f3ce7</TermId>
        </TermInfo>
      </Terms>
    </ncd8676b6f874fb3b13498347bded7f2>
    <wb_virtualcollection1 xmlns="6385dc9c-8632-49e9-a791-b8d07731333e" xsi:nil="true"/>
    <Released_x0020_Date xmlns="6385dc9c-8632-49e9-a791-b8d07731333e" xsi:nil="true"/>
    <ReferredBy xmlns="http://schemas.microsoft.com/sharepoint/v3" xsi:nil="true"/>
    <WBDocs_Cc xmlns="3e02667f-0271-471b-bd6e-11a2e16def1d" xsi:nil="true"/>
    <wb_sourcecitation xmlns="6385dc9c-8632-49e9-a791-b8d07731333e" xsi:nil="true"/>
    <WB_IDU_Comment xmlns="6385dc9c-8632-49e9-a791-b8d07731333e" xsi:nil="true"/>
    <WBDocs_Addressee xmlns="3e02667f-0271-471b-bd6e-11a2e16def1d" xsi:nil="true"/>
    <Topic_x0020_l2 xmlns="6385dc9c-8632-49e9-a791-b8d07731333e" xsi:nil="true"/>
    <wb_category xmlns="3e02667f-0271-471b-bd6e-11a2e16def1d" xsi:nil="true"/>
    <wb_collectiontitle xmlns="6385dc9c-8632-49e9-a791-b8d07731333e" xsi:nil="true"/>
    <wb_copyrightholder xmlns="6385dc9c-8632-49e9-a791-b8d07731333e" xsi:nil="true"/>
  </documentManagement>
</p:properties>
</file>

<file path=customXml/item4.xml><?xml version="1.0" encoding="utf-8"?>
<?mso-contentType ?>
<SharedContentType xmlns="Microsoft.SharePoint.Taxonomy.ContentTypeSync" SourceId="2a6c10d7-b926-4fc0-945e-3cbf5049f6bd" ContentTypeId="0x010100F4C63C3BD852AE468EAEFD0E6C57C64F02"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B7DBC898-149D-460F-A5FC-5DDF2696E6BC}"/>
</file>

<file path=customXml/itemProps2.xml><?xml version="1.0" encoding="utf-8"?>
<ds:datastoreItem xmlns:ds="http://schemas.openxmlformats.org/officeDocument/2006/customXml" ds:itemID="{9C76764D-0BD4-4009-971D-52693DD09B8E}"/>
</file>

<file path=customXml/itemProps3.xml><?xml version="1.0" encoding="utf-8"?>
<ds:datastoreItem xmlns:ds="http://schemas.openxmlformats.org/officeDocument/2006/customXml" ds:itemID="{7EE69F7E-6E19-4C9A-8197-AC04AA9D34DC}"/>
</file>

<file path=customXml/itemProps4.xml><?xml version="1.0" encoding="utf-8"?>
<ds:datastoreItem xmlns:ds="http://schemas.openxmlformats.org/officeDocument/2006/customXml" ds:itemID="{713F7B9E-E2D6-4BF4-8459-54CC21D0D0C2}"/>
</file>

<file path=customXml/itemProps5.xml><?xml version="1.0" encoding="utf-8"?>
<ds:datastoreItem xmlns:ds="http://schemas.openxmlformats.org/officeDocument/2006/customXml" ds:itemID="{DA8F05D3-C086-4089-92A2-F6C33FD671F3}"/>
</file>

<file path=docMetadata/LabelInfo.xml><?xml version="1.0" encoding="utf-8"?>
<clbl:labelList xmlns:clbl="http://schemas.microsoft.com/office/2020/mipLabelMetadata">
  <clbl:label id="{c7ef1c8b-ba63-4702-8e74-5094387a97de}" enabled="0" method="" siteId="{c7ef1c8b-ba63-4702-8e74-5094387a97de}"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Industrial Decarbonization in East Asia : Transforming Energy, Finance, Technology, and Jobs - Annex : Industrial Transformation Technology and Investment Model
</dc:title>
  <dc:subject/>
  <dc:creator>World Bank</dc:creator>
  <cp:keywords/>
  <dc:description/>
  <cp:lastModifiedBy>Hemalatha Niranjan</cp:lastModifiedBy>
  <cp:revision/>
  <dcterms:created xsi:type="dcterms:W3CDTF">2024-11-15T23:48:47Z</dcterms:created>
  <dcterms:modified xsi:type="dcterms:W3CDTF">2025-08-26T18:23:02Z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0x010100F4C63C3BD852AE468EAEFD0E6C57C64F02002C8D7C9E701E8444AAD7038E9E130DC000A22CA735C32F3840975C1ABE33FC00C5</vt:lpwstr>
  </property>
  <property fmtid="{D5CDD505-2E9C-101B-9397-08002B2CF9AE}" pid="3" name="fbe16eaccf4749f086104f7c67297f76">
    <vt:lpwstr>World Bank|bc205cc9-8a56-48a3-9f30-b099e7707c1b</vt:lpwstr>
  </property>
  <property fmtid="{D5CDD505-2E9C-101B-9397-08002B2CF9AE}" pid="4" name="g60ac5c7cc5e48988332aa7f3f7675f4">
    <vt:lpwstr>World|181f87ec-6d12-43c8-9f7a-dc47bc14aa64</vt:lpwstr>
  </property>
  <property fmtid="{D5CDD505-2E9C-101B-9397-08002B2CF9AE}" pid="5" name="le7312e839b9405fb813e48a1ee083cb">
    <vt:lpwstr>English|e31af5d6-94ea-4ba5-925e-022fd8479dfd</vt:lpwstr>
  </property>
  <property fmtid="{D5CDD505-2E9C-101B-9397-08002B2CF9AE}" pid="6" name="n3588c81c2504f79a2ae07b8fc872de1">
    <vt:lpwstr>Official Use Only|4119b812-446b-4199-aebc-580c95bfd42a</vt:lpwstr>
  </property>
  <property fmtid="{D5CDD505-2E9C-101B-9397-08002B2CF9AE}" pid="7" name="f6836c8cfc5146d888b8918e85fd4b0e">
    <vt:lpwstr>World|181f87ec-6d12-43c8-9f7a-dc47bc14aa64</vt:lpwstr>
  </property>
  <property fmtid="{D5CDD505-2E9C-101B-9397-08002B2CF9AE}" pid="8" name="WBDocs_Originating_Unit">
    <vt:lpwstr/>
  </property>
  <property fmtid="{D5CDD505-2E9C-101B-9397-08002B2CF9AE}" pid="9" name="_dlc_DocIdItemGuid">
    <vt:lpwstr>11c495de-a673-4bbd-bfa8-9e72110e7094</vt:lpwstr>
  </property>
  <property fmtid="{D5CDD505-2E9C-101B-9397-08002B2CF9AE}" pid="12" name="TaxKeyword">
    <vt:lpwstr/>
  </property>
  <property fmtid="{D5CDD505-2E9C-101B-9397-08002B2CF9AE}" pid="18" name="Region">
    <vt:lpwstr>4;#World|181f87ec-6d12-43c8-9f7a-dc47bc14aa64</vt:lpwstr>
  </property>
  <property fmtid="{D5CDD505-2E9C-101B-9397-08002B2CF9AE}" pid="20" name="WBDocs_Access_To_Info_Exception">
    <vt:lpwstr>12. Not Assessed</vt:lpwstr>
  </property>
  <property fmtid="{D5CDD505-2E9C-101B-9397-08002B2CF9AE}" pid="21" name="m30f5f85ad26449189da578bd9e06217">
    <vt:lpwstr/>
  </property>
  <property fmtid="{D5CDD505-2E9C-101B-9397-08002B2CF9AE}" pid="33" name="wb_exceptionapprover">
    <vt:lpwstr/>
  </property>
  <property fmtid="{D5CDD505-2E9C-101B-9397-08002B2CF9AE}" pid="34" name="ncc44d6e437c4ee18d4e35566604faa7">
    <vt:lpwstr/>
  </property>
  <property fmtid="{D5CDD505-2E9C-101B-9397-08002B2CF9AE}" pid="37" name="wb_publicalternativeapprover">
    <vt:lpwstr/>
  </property>
  <property fmtid="{D5CDD505-2E9C-101B-9397-08002B2CF9AE}" pid="39" name="InternalSponsor">
    <vt:lpwstr/>
  </property>
  <property fmtid="{D5CDD505-2E9C-101B-9397-08002B2CF9AE}" pid="43" name="GeographicArea">
    <vt:lpwstr>4;#World|181f87ec-6d12-43c8-9f7a-dc47bc14aa64</vt:lpwstr>
  </property>
  <property fmtid="{D5CDD505-2E9C-101B-9397-08002B2CF9AE}" pid="47" name="wb_externalpublic">
    <vt:bool>false</vt:bool>
  </property>
  <property fmtid="{D5CDD505-2E9C-101B-9397-08002B2CF9AE}" pid="51" name="ExternalSponsor">
    <vt:lpwstr/>
  </property>
  <property fmtid="{D5CDD505-2E9C-101B-9397-08002B2CF9AE}" pid="52" name="InformationClassification">
    <vt:lpwstr>1;#Official Use Only|4119b812-446b-4199-aebc-580c95bfd42a</vt:lpwstr>
  </property>
  <property fmtid="{D5CDD505-2E9C-101B-9397-08002B2CF9AE}" pid="54" name="UserData">
    <vt:lpwstr/>
  </property>
  <property fmtid="{D5CDD505-2E9C-101B-9397-08002B2CF9AE}" pid="56" name="WBDocs_Document_Date">
    <vt:filetime>2025-08-26T15:33:39Z</vt:filetime>
  </property>
  <property fmtid="{D5CDD505-2E9C-101B-9397-08002B2CF9AE}" pid="59" name="e7fed2b567784b7fb4115fec76c3b6ef">
    <vt:lpwstr/>
  </property>
  <property fmtid="{D5CDD505-2E9C-101B-9397-08002B2CF9AE}" pid="71" name="wb_country">
    <vt:lpwstr/>
  </property>
  <property fmtid="{D5CDD505-2E9C-101B-9397-08002B2CF9AE}" pid="75" name="wb_publicapprover">
    <vt:lpwstr/>
  </property>
  <property fmtid="{D5CDD505-2E9C-101B-9397-08002B2CF9AE}" pid="77" name="Country">
    <vt:lpwstr/>
  </property>
  <property fmtid="{D5CDD505-2E9C-101B-9397-08002B2CF9AE}" pid="78" name="Organization">
    <vt:lpwstr>3;#World Bank|bc205cc9-8a56-48a3-9f30-b099e7707c1b</vt:lpwstr>
  </property>
  <property fmtid="{D5CDD505-2E9C-101B-9397-08002B2CF9AE}" pid="85" name="VPU">
    <vt:lpwstr/>
  </property>
  <property fmtid="{D5CDD505-2E9C-101B-9397-08002B2CF9AE}" pid="86" name="DocumentType">
    <vt:lpwstr/>
  </property>
  <property fmtid="{D5CDD505-2E9C-101B-9397-08002B2CF9AE}" pid="87" name="h40645383bce4db190f92f65d69cf557">
    <vt:lpwstr/>
  </property>
  <property fmtid="{D5CDD505-2E9C-101B-9397-08002B2CF9AE}" pid="88" name="e0919e4a962d4c1aa34dcc9ee85a7530">
    <vt:lpwstr/>
  </property>
  <property fmtid="{D5CDD505-2E9C-101B-9397-08002B2CF9AE}" pid="89" name="Topics">
    <vt:lpwstr/>
  </property>
  <property fmtid="{D5CDD505-2E9C-101B-9397-08002B2CF9AE}" pid="92" name="WBDocs_Information_Classification">
    <vt:lpwstr>Official Use Only</vt:lpwstr>
  </property>
  <property fmtid="{D5CDD505-2E9C-101B-9397-08002B2CF9AE}" pid="93" name="Languages">
    <vt:lpwstr>2;#English|e31af5d6-94ea-4ba5-925e-022fd8479dfd</vt:lpwstr>
  </property>
  <property fmtid="{D5CDD505-2E9C-101B-9397-08002B2CF9AE}" pid="94" name="g24ce987e2a14cd88b1be8bba67dc4d6">
    <vt:lpwstr/>
  </property>
  <property fmtid="{D5CDD505-2E9C-101B-9397-08002B2CF9AE}" pid="101" name="wb_language">
    <vt:lpwstr>7;#English|832426d7-d0f8-4cc5-a5f1-7b89f69e8f78</vt:lpwstr>
  </property>
  <property fmtid="{D5CDD505-2E9C-101B-9397-08002B2CF9AE}" pid="102" name="WBDocs_Local_Document_Type">
    <vt:lpwstr/>
  </property>
  <property fmtid="{D5CDD505-2E9C-101B-9397-08002B2CF9AE}" pid="105" name="TaxKeywordTaxHTField">
    <vt:lpwstr/>
  </property>
  <property fmtid="{D5CDD505-2E9C-101B-9397-08002B2CF9AE}" pid="108" name="BusinessFunctions">
    <vt:lpwstr/>
  </property>
  <property fmtid="{D5CDD505-2E9C-101B-9397-08002B2CF9AE}" pid="109" name="i008215bacac45029ee8cafff4c8e93b">
    <vt:lpwstr/>
  </property>
  <property fmtid="{D5CDD505-2E9C-101B-9397-08002B2CF9AE}" pid="110" name="o1cb080a3dca4eb8a0fd03c7cc8bf8f7">
    <vt:lpwstr/>
  </property>
  <property fmtid="{D5CDD505-2E9C-101B-9397-08002B2CF9AE}" pid="111" name="g5db487b699641c994752f446908f645">
    <vt:lpwstr/>
  </property>
  <property fmtid="{D5CDD505-2E9C-101B-9397-08002B2CF9AE}" pid="112" name="ed89010fab75481eba28f36694d32f6e">
    <vt:lpwstr/>
  </property>
  <property fmtid="{D5CDD505-2E9C-101B-9397-08002B2CF9AE}" pid="113" name="Stage">
    <vt:lpwstr>COM</vt:lpwstr>
  </property>
  <property fmtid="{D5CDD505-2E9C-101B-9397-08002B2CF9AE}" pid="114" name="wb_istemplate">
    <vt:bool>false</vt:bool>
  </property>
  <property fmtid="{D5CDD505-2E9C-101B-9397-08002B2CF9AE}" pid="117" name="ProjectID">
    <vt:lpwstr>P176829</vt:lpwstr>
  </property>
  <property fmtid="{D5CDD505-2E9C-101B-9397-08002B2CF9AE}" pid="123" name="wb_ishidden">
    <vt:bool>false</vt:bool>
  </property>
  <property fmtid="{D5CDD505-2E9C-101B-9397-08002B2CF9AE}" pid="124" name="wb_ismandatory">
    <vt:bool>false</vt:bool>
  </property>
  <property fmtid="{D5CDD505-2E9C-101B-9397-08002B2CF9AE}" pid="125" name="DocumentDate">
    <vt:filetime>2025-08-26T19:31:36Z</vt:filetime>
  </property>
  <property fmtid="{D5CDD505-2E9C-101B-9397-08002B2CF9AE}" pid="128" name="RefreshDate">
    <vt:filetime>2025-08-26T15:33:46Z</vt:filetime>
  </property>
  <property fmtid="{D5CDD505-2E9C-101B-9397-08002B2CF9AE}" pid="131" name="Authors">
    <vt:lpwstr>000585263:Priyank Lathwal:plathwal@worldbank.org;000530277: Yuge Ma:yma1@worldbank.org</vt:lpwstr>
  </property>
  <property fmtid="{D5CDD505-2E9C-101B-9397-08002B2CF9AE}" pid="132" name="Editors">
    <vt:lpwstr>000530277: Yuge Ma:yma1@worldbank.org;000585263: Priyank Lathwal:plathwal@worldbank.org;000252182: Claudia Ines Vasquez Suarez:cvasquez@worldbank.org;000154875: Xiaodong Wang:xwang1@worldbank.org;000469819: Inchul Hwang:ihwang@worldbank.org</vt:lpwstr>
  </property>
  <property fmtid="{D5CDD505-2E9C-101B-9397-08002B2CF9AE}" pid="134" name="wb_hasuseruploaded">
    <vt:bool>false</vt:bool>
  </property>
  <property fmtid="{D5CDD505-2E9C-101B-9397-08002B2CF9AE}" pid="139" name="Security Classification">
    <vt:lpwstr>Public</vt:lpwstr>
  </property>
  <property fmtid="{D5CDD505-2E9C-101B-9397-08002B2CF9AE}" pid="141" name="PolicyExceptions">
    <vt:lpwstr>[]</vt:lpwstr>
  </property>
  <property fmtid="{D5CDD505-2E9C-101B-9397-08002B2CF9AE}" pid="142" name="DocumentSetDescription">
    <vt:lpwstr/>
  </property>
  <property fmtid="{D5CDD505-2E9C-101B-9397-08002B2CF9AE}" pid="143" name="_SourceUrl">
    <vt:lpwstr/>
  </property>
  <property fmtid="{D5CDD505-2E9C-101B-9397-08002B2CF9AE}" pid="144" name="_CopySource">
    <vt:lpwstr>https://worldbankgroup.sharepoint.com/sites/P176829/Shared Documents/Project/Industrial Decarbonization in EAP Report Model v59_Final.xlsx</vt:lpwstr>
  </property>
  <property fmtid="{D5CDD505-2E9C-101B-9397-08002B2CF9AE}" pid="145" name="Main Topic1">
    <vt:lpwstr/>
  </property>
  <property fmtid="{D5CDD505-2E9C-101B-9397-08002B2CF9AE}" pid="146" name="wb_virtualcollection">
    <vt:lpwstr/>
  </property>
  <property fmtid="{D5CDD505-2E9C-101B-9397-08002B2CF9AE}" pid="147" name="Unit_x0020_Owning_x0020__x002F__x0020_Responsible">
    <vt:lpwstr/>
  </property>
  <property fmtid="{D5CDD505-2E9C-101B-9397-08002B2CF9AE}" pid="148" name="wb_ibtopic1">
    <vt:lpwstr>1294;#Energy Access Policy and Regulations|cd85fc78-282e-49e9-bb9d-4696e7267970;#1118;#Energy and Extractives|7617f3f5-4c3a-4e7e-943c-1ce06614b0f0;#1959;#Carbon Capture and Storage|a9ad96df-a831-4948-8e08-effbb58ba521;#1956;#Carbon Capture and Storage Law and Regulation|391ef436-5ef6-4577-8d6e-c955df8a65cf;#1906;#Carbon Capture and Storage Finance|44088c78-b2e0-4682-b835-526c8ba97218</vt:lpwstr>
  </property>
  <property fmtid="{D5CDD505-2E9C-101B-9397-08002B2CF9AE}" pid="149" name="Order">
    <vt:r8>32700</vt:r8>
  </property>
  <property fmtid="{D5CDD505-2E9C-101B-9397-08002B2CF9AE}" pid="150" name="Main_x0020_Topic1">
    <vt:lpwstr/>
  </property>
  <property fmtid="{D5CDD505-2E9C-101B-9397-08002B2CF9AE}" pid="151" name="wb_iblocaldocumenttype">
    <vt:lpwstr>1534;#Report|99fc2e78-ee98-4335-9e41-5c3d226f3ce7</vt:lpwstr>
  </property>
  <property fmtid="{D5CDD505-2E9C-101B-9397-08002B2CF9AE}" pid="152" name="xd_ProgID">
    <vt:lpwstr/>
  </property>
  <property fmtid="{D5CDD505-2E9C-101B-9397-08002B2CF9AE}" pid="153" name="MediaServiceImageTags">
    <vt:lpwstr/>
  </property>
  <property fmtid="{D5CDD505-2E9C-101B-9397-08002B2CF9AE}" pid="154" name="_SharedFileIndex">
    <vt:lpwstr/>
  </property>
  <property fmtid="{D5CDD505-2E9C-101B-9397-08002B2CF9AE}" pid="155" name="TemplateUrl">
    <vt:lpwstr/>
  </property>
  <property fmtid="{D5CDD505-2E9C-101B-9397-08002B2CF9AE}" pid="156" name="Unit Owning / Responsible">
    <vt:lpwstr/>
  </property>
  <property fmtid="{D5CDD505-2E9C-101B-9397-08002B2CF9AE}" pid="157" name="_ExtendedDescription">
    <vt:lpwstr/>
  </property>
  <property fmtid="{D5CDD505-2E9C-101B-9397-08002B2CF9AE}" pid="158" name="wb_bankgroupinstitution">
    <vt:lpwstr>10;#IBRD|04371005-de81-4a1e-9b50-038cc9ef25c4</vt:lpwstr>
  </property>
  <property fmtid="{D5CDD505-2E9C-101B-9397-08002B2CF9AE}" pid="159" name="MSIP_Label_f1bf45b6-5649-4236-82a3-f45024cd282e_Enabled">
    <vt:lpwstr>true</vt:lpwstr>
  </property>
  <property fmtid="{D5CDD505-2E9C-101B-9397-08002B2CF9AE}" pid="160" name="MSIP_Label_f1bf45b6-5649-4236-82a3-f45024cd282e_SetDate">
    <vt:lpwstr>2025-08-26T18:21:07Z</vt:lpwstr>
  </property>
  <property fmtid="{D5CDD505-2E9C-101B-9397-08002B2CF9AE}" pid="161" name="MSIP_Label_f1bf45b6-5649-4236-82a3-f45024cd282e_Method">
    <vt:lpwstr>Standard</vt:lpwstr>
  </property>
  <property fmtid="{D5CDD505-2E9C-101B-9397-08002B2CF9AE}" pid="162" name="MSIP_Label_f1bf45b6-5649-4236-82a3-f45024cd282e_Name">
    <vt:lpwstr>Official Use Only</vt:lpwstr>
  </property>
  <property fmtid="{D5CDD505-2E9C-101B-9397-08002B2CF9AE}" pid="163" name="MSIP_Label_f1bf45b6-5649-4236-82a3-f45024cd282e_SiteId">
    <vt:lpwstr>31a2fec0-266b-4c67-b56e-2796d8f59c36</vt:lpwstr>
  </property>
  <property fmtid="{D5CDD505-2E9C-101B-9397-08002B2CF9AE}" pid="164" name="MSIP_Label_f1bf45b6-5649-4236-82a3-f45024cd282e_ActionId">
    <vt:lpwstr>2cdcab7d-bd86-4671-8fd9-2e098c8efcd4</vt:lpwstr>
  </property>
  <property fmtid="{D5CDD505-2E9C-101B-9397-08002B2CF9AE}" pid="165" name="MSIP_Label_f1bf45b6-5649-4236-82a3-f45024cd282e_ContentBits">
    <vt:lpwstr>2</vt:lpwstr>
  </property>
  <property fmtid="{D5CDD505-2E9C-101B-9397-08002B2CF9AE}" pid="166" name="MSIP_Label_f1bf45b6-5649-4236-82a3-f45024cd282e_Tag">
    <vt:lpwstr>10, 3, 0, 2</vt:lpwstr>
  </property>
</Properties>
</file>