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6720" activeTab="2"/>
  </bookViews>
  <sheets>
    <sheet name="Fuel Type Comparison" sheetId="2" r:id="rId1"/>
    <sheet name="Transport and Storage" sheetId="3" r:id="rId2"/>
    <sheet name="Comparison Table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D2" i="4" s="1"/>
  <c r="F3" i="4"/>
  <c r="F4" i="4"/>
  <c r="F5" i="4"/>
  <c r="F6" i="4"/>
  <c r="F7" i="4"/>
  <c r="E4" i="4"/>
  <c r="E5" i="4"/>
  <c r="E6" i="4"/>
  <c r="E7" i="4"/>
  <c r="D3" i="4"/>
  <c r="D4" i="4"/>
  <c r="D5" i="4"/>
  <c r="D6" i="4"/>
  <c r="D7" i="4"/>
  <c r="C4" i="4"/>
  <c r="C5" i="4"/>
  <c r="C6" i="4"/>
  <c r="C7" i="4"/>
  <c r="A3" i="3"/>
  <c r="A13" i="3"/>
  <c r="A14" i="3" s="1"/>
  <c r="A5" i="3"/>
  <c r="A4" i="3"/>
  <c r="A6" i="3"/>
  <c r="A7" i="3" s="1"/>
  <c r="A11" i="3"/>
  <c r="M48" i="2"/>
  <c r="F2" i="4" s="1"/>
  <c r="C9" i="2"/>
  <c r="C13" i="2" s="1"/>
  <c r="C6" i="2"/>
  <c r="B9" i="2"/>
  <c r="B13" i="2" s="1"/>
  <c r="B6" i="2"/>
  <c r="E26" i="2"/>
  <c r="E27" i="2"/>
  <c r="E25" i="2"/>
  <c r="C15" i="2" s="1"/>
  <c r="C12" i="2"/>
  <c r="C18" i="2"/>
  <c r="C26" i="2"/>
  <c r="C27" i="2"/>
  <c r="C28" i="2"/>
  <c r="C29" i="2"/>
  <c r="C30" i="2"/>
  <c r="C25" i="2"/>
  <c r="B12" i="2"/>
  <c r="B18" i="2" s="1"/>
  <c r="I48" i="2"/>
  <c r="E2" i="4" s="1"/>
  <c r="M49" i="2"/>
  <c r="I49" i="2"/>
  <c r="E3" i="4" s="1"/>
  <c r="E49" i="2"/>
  <c r="A48" i="2"/>
  <c r="C2" i="4" s="1"/>
  <c r="A49" i="2"/>
  <c r="C3" i="4" s="1"/>
  <c r="B15" i="2"/>
  <c r="A10" i="3" l="1"/>
  <c r="A12" i="3"/>
  <c r="D43" i="2"/>
  <c r="B43" i="2"/>
  <c r="E43" i="2"/>
  <c r="F43" i="2"/>
  <c r="C19" i="2"/>
  <c r="C43" i="2"/>
  <c r="G43" i="2"/>
  <c r="C37" i="2"/>
  <c r="G37" i="2"/>
  <c r="K37" i="2"/>
  <c r="O37" i="2"/>
  <c r="S37" i="2"/>
  <c r="B37" i="2"/>
  <c r="D37" i="2"/>
  <c r="H37" i="2"/>
  <c r="L37" i="2"/>
  <c r="P37" i="2"/>
  <c r="T37" i="2"/>
  <c r="E37" i="2"/>
  <c r="I37" i="2"/>
  <c r="M37" i="2"/>
  <c r="Q37" i="2"/>
  <c r="U37" i="2"/>
  <c r="B19" i="2"/>
  <c r="F37" i="2"/>
  <c r="J37" i="2"/>
  <c r="N37" i="2"/>
  <c r="R37" i="2"/>
  <c r="V37" i="2"/>
  <c r="A15" i="3"/>
  <c r="A16" i="3" s="1"/>
  <c r="D8" i="4" s="1"/>
  <c r="C16" i="2" l="1"/>
  <c r="C17" i="2" s="1"/>
  <c r="I54" i="2" s="1"/>
  <c r="E9" i="4" s="1"/>
  <c r="B16" i="2"/>
  <c r="B17" i="2" s="1"/>
  <c r="A54" i="2" s="1"/>
  <c r="C9" i="4" s="1"/>
  <c r="E54" i="2" l="1"/>
  <c r="D9" i="4" s="1"/>
  <c r="M54" i="2"/>
  <c r="F9" i="4" s="1"/>
</calcChain>
</file>

<file path=xl/sharedStrings.xml><?xml version="1.0" encoding="utf-8"?>
<sst xmlns="http://schemas.openxmlformats.org/spreadsheetml/2006/main" count="179" uniqueCount="102">
  <si>
    <t>$/MW</t>
  </si>
  <si>
    <t>$/MW-year</t>
  </si>
  <si>
    <t>$/MWh</t>
  </si>
  <si>
    <t>Capacity Factor</t>
  </si>
  <si>
    <t>%</t>
  </si>
  <si>
    <t>Heat Rate</t>
  </si>
  <si>
    <t>btu/kWh</t>
  </si>
  <si>
    <t>$/ton CO2</t>
  </si>
  <si>
    <t>$/MMBtu</t>
  </si>
  <si>
    <t>90% CCS USC Unit (EIA)</t>
  </si>
  <si>
    <t>Sources:</t>
  </si>
  <si>
    <t>USC Unit (EIA)</t>
  </si>
  <si>
    <t>Fixed O&amp;M Cost</t>
  </si>
  <si>
    <t>Variable O&amp;M Cost</t>
  </si>
  <si>
    <t>Levelized Cost</t>
  </si>
  <si>
    <t>Coal</t>
  </si>
  <si>
    <t>Financial Assumptions:</t>
  </si>
  <si>
    <t>Inflation Rate</t>
  </si>
  <si>
    <t>Economic Lifetime (Years)</t>
  </si>
  <si>
    <t>Interest Rate - Nominal</t>
  </si>
  <si>
    <t>Calculated Interest Rate - Real</t>
  </si>
  <si>
    <t>Interest During Construction  - Nominal</t>
  </si>
  <si>
    <t>Rate of Return on Equity - Nominal</t>
  </si>
  <si>
    <t>Calculated Rate of Return on Equity - Real</t>
  </si>
  <si>
    <t>Debt Fraction</t>
  </si>
  <si>
    <t>Tax Rate (Federal and State)</t>
  </si>
  <si>
    <t>WACC - Nominal</t>
  </si>
  <si>
    <t>WACC - Real</t>
  </si>
  <si>
    <t>Depreciation Period</t>
  </si>
  <si>
    <t>Construction Finance Factor</t>
  </si>
  <si>
    <t>Present Value of Depreciation</t>
  </si>
  <si>
    <t>Project Finance Factor</t>
  </si>
  <si>
    <t>Capital Recovery Factor (CRF) - Nominal</t>
  </si>
  <si>
    <t>Capital Recovery Factor (CRF) - Real</t>
  </si>
  <si>
    <t>Construction Duration yrs</t>
  </si>
  <si>
    <t>Year</t>
  </si>
  <si>
    <t>Capital</t>
  </si>
  <si>
    <t>Accumulated</t>
  </si>
  <si>
    <t>Index</t>
  </si>
  <si>
    <t>Fraction*</t>
  </si>
  <si>
    <t>Interest</t>
  </si>
  <si>
    <t>Overnight Capital Cost</t>
  </si>
  <si>
    <t>MACRS yr</t>
  </si>
  <si>
    <t>Depreciation</t>
  </si>
  <si>
    <t>Fraction</t>
  </si>
  <si>
    <t>Factor</t>
  </si>
  <si>
    <t>Renewables</t>
  </si>
  <si>
    <t>Fuel Price</t>
  </si>
  <si>
    <t>$</t>
  </si>
  <si>
    <t>Construction Assumptions</t>
  </si>
  <si>
    <t>Depreciation Assumptions</t>
  </si>
  <si>
    <t>Thermal</t>
  </si>
  <si>
    <t>Renewable</t>
  </si>
  <si>
    <t>LCOE Calculations</t>
  </si>
  <si>
    <t>1) Methdology, Financial Assumptions, Construction Assumptions, and Depreciation Assumptions: NREL, 2016 Annual Technology Baseline, http://www.nrel.gov/docs/fy16osti/66944-DA.xlsm</t>
  </si>
  <si>
    <t>3) Coal 90% CCS USC Capital Costs, O&amp;M Costs, and Heat Rate: EIA, Addendum: Capital Cost Estimates for Additional Utility Scale Electric Generating Plants, April 2017, Table 1, https://www.eia.gov/analysis/studies/powerplants/capitalcost/pdf/eiatasks_10388_10687addendum.pdf</t>
  </si>
  <si>
    <t>2) Coal USC Capital Costs, O&amp;M Costs, and Heat Rate: EIA, Capital Cost Estimates for Utility Scale Electricity Generating Plants, 2016, Table 1, https://www.eia.gov/analysis/studies/powerplants/capitalcost/pdf/capcost_assumption.pdf</t>
  </si>
  <si>
    <t>4) Onshore Wind Capital Costs: DoE, 2015 Wind Technologies Market Report, Cost Trends, p.53, https://energy.gov/sites/prod/files/2016/08/f33/2015-Wind-Technologies-Market-Report-08162016.pdf</t>
  </si>
  <si>
    <t>5) Utility Scale Solar PV - Tracking Capital Costs: SEIA, Solar Market Insight Report 2016 Year in Review, National Solar PV System Pricing, http://www.seia.org/research-resources/solar-market-insight-report-2016-year-review</t>
  </si>
  <si>
    <t>6) Utility Scale Solar PV - Tracking DC-to-AC Derate Factor: The Brattle Group, Comparative Generation Costs of Utility-Scale and Residential-Scale PV in Xcel Energy Colorado's Service Area, 2015, p.70, http://brattle.com/system/publications/pdfs/000/005/188/original/Comparative_Generation_Costs_of_Utility-Scale_and_Residential-Scale_PV_in_Xcel_Energy_Colorado's_Service_Area.pdf</t>
  </si>
  <si>
    <t>7) Onshore Wind and Utility Scale Solar PV - Tracking Fixed O&amp;M Costs: EIA, Capital Cost Estimates for Utility Scale Electricity Generating Plants, 2016, Table 1, https://www.eia.gov/analysis/studies/powerplants/capitalcost/pdf/capcost_assumption.pdf</t>
  </si>
  <si>
    <t>8) Coal Fuel Price: EIA Annual Energy Outlook 2017</t>
  </si>
  <si>
    <t>9) Capacity Factors: EIA, Levelized Cost and Levelized Avoided Cost of New Generation Resources in the Annual Energy Outlook 2016, 2016, Table 1b, https://www.eia.gov/outlooks/aeo/pdf/electricity_generation.pdf</t>
  </si>
  <si>
    <t>Notes:</t>
  </si>
  <si>
    <t>1) To calculate the LCOE, we use NREL's methdology and financial, construction, and depreciation assumptions from the 2016 Annual Technology Baseline.</t>
  </si>
  <si>
    <t>2) We use non EIA data for onshore wind and solar PV to reflect the most up-to-date costs based on real-world installations.</t>
  </si>
  <si>
    <t>Unsubsidized Onshore Wind</t>
  </si>
  <si>
    <t>Unsubsidized Utility Scale Solar PV - Tracking</t>
  </si>
  <si>
    <t>Average plant size</t>
  </si>
  <si>
    <t>90% CCS Plant</t>
  </si>
  <si>
    <t>Plant Capacity Factor</t>
  </si>
  <si>
    <t>Plant Heat Rate</t>
  </si>
  <si>
    <t>Annual Heat Input</t>
  </si>
  <si>
    <t>Annual CO2 Mass Flow Rate</t>
  </si>
  <si>
    <t>Average Transport Distance</t>
  </si>
  <si>
    <t>Annual Transport Costs</t>
  </si>
  <si>
    <t>Annual Storage Costs</t>
  </si>
  <si>
    <t>1) Average Plant Size, Capture Rate, Capacity Factor, and Heat Rate: Capital Cost Estimates for Additional Utility Scale Electric Generating Plants, April 2017, Table 1 and Table 2-1, https://www.eia.gov/analysis/studies/powerplants/capitalcost/pdf/eiatasks_10388_10687addendum.pdf</t>
  </si>
  <si>
    <t>2) Transport Costs per Unit Distance, Average Storage Costs per Unit CO2, and Average Monitoring Costs per Unit CO2: IEA, Carbon Dioxide Capture and Storage, 2005, Figure 8.1 and Table 8.2, https://www.ipcc.ch/pdf/special-reports/srccs/srccs_wholereport.pdf</t>
  </si>
  <si>
    <t>1) We assume 500 km transport distance.</t>
  </si>
  <si>
    <t>2) We assume transport will occur on land in the easiest terrain, i.e., the lowest possible transport cost per unit CO2.</t>
  </si>
  <si>
    <t>MW</t>
  </si>
  <si>
    <t>t CO2/MMBtu</t>
  </si>
  <si>
    <t>MMBtu</t>
  </si>
  <si>
    <t>MMt CO2/year</t>
  </si>
  <si>
    <t>($/ton CO2)/250km</t>
  </si>
  <si>
    <t>km</t>
  </si>
  <si>
    <t>CO2 Capture Rate</t>
  </si>
  <si>
    <t>Average Storage Costs</t>
  </si>
  <si>
    <t>Average Monitoring Costs</t>
  </si>
  <si>
    <t>Annual Monitoring Costs</t>
  </si>
  <si>
    <t>Transportation Costs</t>
  </si>
  <si>
    <t>Total Annual Costs</t>
  </si>
  <si>
    <t>Levelized Costs</t>
  </si>
  <si>
    <t>Metric</t>
  </si>
  <si>
    <t>Unit</t>
  </si>
  <si>
    <t>CO2 Transport &amp; Storage</t>
  </si>
  <si>
    <t>Ultrasupercritical Coal</t>
  </si>
  <si>
    <t>Onshore Wind</t>
  </si>
  <si>
    <t>Solar PV</t>
  </si>
  <si>
    <t>Ultrasupercritical Coal with 90% CCS</t>
  </si>
  <si>
    <t>3) Calculations use the most current data, as of May 1, 2017, when this analysis was conducted.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</si>
</sst>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#,##0.000_);\(#,##0.000\)"/>
    <numFmt numFmtId="167" formatCode="#,##0.0000_);\(#,##0.0000\)"/>
    <numFmt numFmtId="168" formatCode="0.000"/>
    <numFmt numFmtId="169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theme="0" tint="-0.24994659260841701"/>
      </top>
      <bottom style="thin">
        <color auto="1"/>
      </bottom>
      <diagonal/>
    </border>
    <border>
      <left/>
      <right style="medium">
        <color theme="0" tint="-0.24994659260841701"/>
      </right>
      <top style="thin">
        <color auto="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 style="medium">
        <color theme="0" tint="-0.24994659260841701"/>
      </bottom>
      <diagonal/>
    </border>
    <border>
      <left/>
      <right style="thin">
        <color theme="0"/>
      </right>
      <top style="medium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auto="1"/>
      </top>
      <bottom style="thin">
        <color theme="0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theme="0" tint="-0.24994659260841701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 style="thin">
        <color theme="0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theme="0" tint="-0.24994659260841701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/>
    <xf numFmtId="164" fontId="0" fillId="0" borderId="5" xfId="0" applyNumberFormat="1" applyBorder="1"/>
    <xf numFmtId="0" fontId="0" fillId="2" borderId="0" xfId="0" applyFill="1" applyBorder="1"/>
    <xf numFmtId="44" fontId="0" fillId="0" borderId="5" xfId="0" applyNumberFormat="1" applyBorder="1"/>
    <xf numFmtId="9" fontId="0" fillId="0" borderId="5" xfId="0" applyNumberFormat="1" applyBorder="1"/>
    <xf numFmtId="2" fontId="0" fillId="0" borderId="5" xfId="0" applyNumberFormat="1" applyBorder="1"/>
    <xf numFmtId="44" fontId="2" fillId="3" borderId="7" xfId="0" applyNumberFormat="1" applyFont="1" applyFill="1" applyBorder="1"/>
    <xf numFmtId="44" fontId="2" fillId="3" borderId="7" xfId="1" applyFont="1" applyFill="1" applyBorder="1"/>
    <xf numFmtId="0" fontId="0" fillId="0" borderId="8" xfId="0" applyBorder="1"/>
    <xf numFmtId="0" fontId="0" fillId="0" borderId="9" xfId="0" applyBorder="1"/>
    <xf numFmtId="165" fontId="4" fillId="5" borderId="15" xfId="0" applyNumberFormat="1" applyFont="1" applyFill="1" applyBorder="1"/>
    <xf numFmtId="0" fontId="4" fillId="0" borderId="16" xfId="0" applyFont="1" applyBorder="1"/>
    <xf numFmtId="37" fontId="4" fillId="5" borderId="17" xfId="0" applyNumberFormat="1" applyFont="1" applyFill="1" applyBorder="1" applyAlignment="1">
      <alignment horizontal="right"/>
    </xf>
    <xf numFmtId="165" fontId="4" fillId="5" borderId="17" xfId="0" applyNumberFormat="1" applyFont="1" applyFill="1" applyBorder="1"/>
    <xf numFmtId="165" fontId="4" fillId="4" borderId="17" xfId="0" applyNumberFormat="1" applyFont="1" applyFill="1" applyBorder="1"/>
    <xf numFmtId="2" fontId="4" fillId="0" borderId="16" xfId="0" applyNumberFormat="1" applyFont="1" applyBorder="1"/>
    <xf numFmtId="166" fontId="4" fillId="4" borderId="17" xfId="0" applyNumberFormat="1" applyFont="1" applyFill="1" applyBorder="1"/>
    <xf numFmtId="0" fontId="4" fillId="0" borderId="0" xfId="0" applyFont="1"/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 applyAlignment="1">
      <alignment horizontal="center"/>
    </xf>
    <xf numFmtId="167" fontId="4" fillId="5" borderId="19" xfId="0" applyNumberFormat="1" applyFont="1" applyFill="1" applyBorder="1"/>
    <xf numFmtId="167" fontId="4" fillId="5" borderId="20" xfId="0" applyNumberFormat="1" applyFont="1" applyFill="1" applyBorder="1"/>
    <xf numFmtId="167" fontId="4" fillId="5" borderId="21" xfId="0" applyNumberFormat="1" applyFont="1" applyFill="1" applyBorder="1"/>
    <xf numFmtId="167" fontId="4" fillId="4" borderId="22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7" fontId="4" fillId="5" borderId="19" xfId="0" applyNumberFormat="1" applyFont="1" applyFill="1" applyBorder="1" applyAlignment="1"/>
    <xf numFmtId="167" fontId="4" fillId="5" borderId="20" xfId="0" applyNumberFormat="1" applyFont="1" applyFill="1" applyBorder="1" applyAlignment="1"/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165" fontId="4" fillId="5" borderId="28" xfId="0" applyNumberFormat="1" applyFont="1" applyFill="1" applyBorder="1"/>
    <xf numFmtId="0" fontId="4" fillId="0" borderId="29" xfId="0" applyFont="1" applyBorder="1"/>
    <xf numFmtId="37" fontId="4" fillId="5" borderId="30" xfId="0" applyNumberFormat="1" applyFont="1" applyFill="1" applyBorder="1" applyAlignment="1">
      <alignment horizontal="right"/>
    </xf>
    <xf numFmtId="165" fontId="4" fillId="5" borderId="30" xfId="0" applyNumberFormat="1" applyFont="1" applyFill="1" applyBorder="1"/>
    <xf numFmtId="165" fontId="4" fillId="4" borderId="30" xfId="0" applyNumberFormat="1" applyFont="1" applyFill="1" applyBorder="1"/>
    <xf numFmtId="2" fontId="4" fillId="0" borderId="29" xfId="0" applyNumberFormat="1" applyFont="1" applyBorder="1"/>
    <xf numFmtId="166" fontId="4" fillId="4" borderId="30" xfId="0" applyNumberFormat="1" applyFont="1" applyFill="1" applyBorder="1"/>
    <xf numFmtId="2" fontId="4" fillId="0" borderId="31" xfId="0" applyNumberFormat="1" applyFont="1" applyBorder="1"/>
    <xf numFmtId="165" fontId="4" fillId="4" borderId="32" xfId="0" applyNumberFormat="1" applyFont="1" applyFill="1" applyBorder="1"/>
    <xf numFmtId="165" fontId="4" fillId="4" borderId="33" xfId="0" applyNumberFormat="1" applyFont="1" applyFill="1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5" borderId="36" xfId="0" applyNumberFormat="1" applyFont="1" applyFill="1" applyBorder="1"/>
    <xf numFmtId="166" fontId="4" fillId="4" borderId="35" xfId="0" applyNumberFormat="1" applyFont="1" applyFill="1" applyBorder="1"/>
    <xf numFmtId="9" fontId="4" fillId="5" borderId="37" xfId="0" applyNumberFormat="1" applyFont="1" applyFill="1" applyBorder="1"/>
    <xf numFmtId="166" fontId="4" fillId="4" borderId="26" xfId="0" applyNumberFormat="1" applyFont="1" applyFill="1" applyBorder="1"/>
    <xf numFmtId="9" fontId="4" fillId="5" borderId="38" xfId="0" applyNumberFormat="1" applyFont="1" applyFill="1" applyBorder="1"/>
    <xf numFmtId="166" fontId="4" fillId="4" borderId="39" xfId="0" applyNumberFormat="1" applyFont="1" applyFill="1" applyBorder="1"/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7" fontId="4" fillId="0" borderId="41" xfId="0" applyNumberFormat="1" applyFont="1" applyBorder="1" applyAlignment="1">
      <alignment horizontal="center"/>
    </xf>
    <xf numFmtId="37" fontId="4" fillId="0" borderId="42" xfId="0" applyNumberFormat="1" applyFont="1" applyBorder="1" applyAlignment="1">
      <alignment horizontal="center"/>
    </xf>
    <xf numFmtId="37" fontId="4" fillId="0" borderId="43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0" fillId="0" borderId="0" xfId="0" applyBorder="1"/>
    <xf numFmtId="0" fontId="0" fillId="0" borderId="26" xfId="0" applyBorder="1"/>
    <xf numFmtId="0" fontId="5" fillId="0" borderId="51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67" fontId="4" fillId="5" borderId="53" xfId="0" applyNumberFormat="1" applyFont="1" applyFill="1" applyBorder="1"/>
    <xf numFmtId="0" fontId="4" fillId="0" borderId="54" xfId="0" applyFont="1" applyBorder="1" applyAlignment="1">
      <alignment horizontal="center"/>
    </xf>
    <xf numFmtId="167" fontId="4" fillId="5" borderId="55" xfId="0" applyNumberFormat="1" applyFont="1" applyFill="1" applyBorder="1"/>
    <xf numFmtId="0" fontId="4" fillId="0" borderId="51" xfId="0" applyFont="1" applyBorder="1" applyAlignment="1">
      <alignment horizontal="center" vertical="center" wrapText="1"/>
    </xf>
    <xf numFmtId="167" fontId="4" fillId="4" borderId="52" xfId="0" applyNumberFormat="1" applyFont="1" applyFill="1" applyBorder="1" applyAlignment="1"/>
    <xf numFmtId="0" fontId="4" fillId="0" borderId="56" xfId="0" applyFont="1" applyBorder="1" applyAlignment="1">
      <alignment horizontal="center" vertical="center" wrapText="1"/>
    </xf>
    <xf numFmtId="167" fontId="4" fillId="4" borderId="57" xfId="0" applyNumberFormat="1" applyFont="1" applyFill="1" applyBorder="1" applyAlignment="1">
      <alignment horizontal="center" vertical="center"/>
    </xf>
    <xf numFmtId="167" fontId="4" fillId="4" borderId="39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48" xfId="0" applyFont="1" applyBorder="1"/>
    <xf numFmtId="0" fontId="0" fillId="0" borderId="49" xfId="0" applyBorder="1"/>
    <xf numFmtId="0" fontId="0" fillId="0" borderId="50" xfId="0" applyBorder="1"/>
    <xf numFmtId="0" fontId="4" fillId="0" borderId="52" xfId="0" applyFont="1" applyBorder="1" applyAlignment="1">
      <alignment horizontal="center"/>
    </xf>
    <xf numFmtId="167" fontId="4" fillId="5" borderId="53" xfId="0" applyNumberFormat="1" applyFont="1" applyFill="1" applyBorder="1" applyAlignment="1"/>
    <xf numFmtId="167" fontId="4" fillId="5" borderId="58" xfId="0" applyNumberFormat="1" applyFont="1" applyFill="1" applyBorder="1"/>
    <xf numFmtId="167" fontId="4" fillId="4" borderId="59" xfId="0" applyNumberFormat="1" applyFont="1" applyFill="1" applyBorder="1" applyAlignment="1">
      <alignment horizontal="center" vertical="center"/>
    </xf>
    <xf numFmtId="0" fontId="2" fillId="6" borderId="45" xfId="0" applyFont="1" applyFill="1" applyBorder="1"/>
    <xf numFmtId="0" fontId="0" fillId="6" borderId="46" xfId="0" applyFill="1" applyBorder="1"/>
    <xf numFmtId="0" fontId="0" fillId="6" borderId="47" xfId="0" applyFill="1" applyBorder="1"/>
    <xf numFmtId="0" fontId="0" fillId="2" borderId="44" xfId="0" applyFill="1" applyBorder="1"/>
    <xf numFmtId="0" fontId="6" fillId="0" borderId="5" xfId="0" applyFont="1" applyBorder="1"/>
    <xf numFmtId="0" fontId="6" fillId="0" borderId="1" xfId="0" applyFont="1" applyBorder="1"/>
    <xf numFmtId="0" fontId="6" fillId="0" borderId="6" xfId="0" applyFont="1" applyBorder="1"/>
    <xf numFmtId="0" fontId="6" fillId="2" borderId="0" xfId="0" applyFont="1" applyFill="1" applyBorder="1"/>
    <xf numFmtId="0" fontId="6" fillId="0" borderId="0" xfId="0" applyFont="1"/>
    <xf numFmtId="0" fontId="7" fillId="0" borderId="0" xfId="2"/>
    <xf numFmtId="0" fontId="0" fillId="0" borderId="0" xfId="0" applyFont="1"/>
    <xf numFmtId="168" fontId="0" fillId="0" borderId="5" xfId="0" applyNumberForma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2" fontId="0" fillId="0" borderId="0" xfId="0" applyNumberFormat="1" applyAlignment="1">
      <alignment wrapText="1"/>
    </xf>
    <xf numFmtId="169" fontId="2" fillId="7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0" fontId="2" fillId="2" borderId="0" xfId="0" applyFont="1" applyFill="1" applyAlignment="1">
      <alignment horizontal="right" wrapText="1"/>
    </xf>
    <xf numFmtId="9" fontId="0" fillId="0" borderId="0" xfId="3" applyNumberFormat="1" applyFont="1" applyAlignment="1">
      <alignment wrapText="1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opLeftCell="A28" workbookViewId="0">
      <selection activeCell="F61" sqref="F61"/>
    </sheetView>
  </sheetViews>
  <sheetFormatPr defaultRowHeight="15" x14ac:dyDescent="0.25"/>
  <cols>
    <col min="1" max="1" width="27.140625" customWidth="1"/>
    <col min="2" max="2" width="23.28515625" customWidth="1"/>
    <col min="3" max="3" width="15.28515625" bestFit="1" customWidth="1"/>
    <col min="4" max="4" width="11.28515625" customWidth="1"/>
    <col min="5" max="5" width="14.5703125" customWidth="1"/>
    <col min="6" max="6" width="21" bestFit="1" customWidth="1"/>
    <col min="7" max="7" width="13.140625" bestFit="1" customWidth="1"/>
    <col min="8" max="8" width="11" customWidth="1"/>
    <col min="9" max="9" width="11.42578125" customWidth="1"/>
    <col min="10" max="10" width="21.85546875" customWidth="1"/>
    <col min="11" max="11" width="14.42578125" customWidth="1"/>
    <col min="12" max="12" width="10.42578125" customWidth="1"/>
    <col min="13" max="13" width="13" customWidth="1"/>
    <col min="14" max="14" width="21.85546875" customWidth="1"/>
    <col min="15" max="17" width="14.7109375" customWidth="1"/>
  </cols>
  <sheetData>
    <row r="1" spans="1:4" x14ac:dyDescent="0.25">
      <c r="A1" s="103" t="s">
        <v>16</v>
      </c>
      <c r="B1" s="104"/>
      <c r="C1" s="105"/>
    </row>
    <row r="2" spans="1:4" x14ac:dyDescent="0.25">
      <c r="A2" s="34"/>
      <c r="B2" s="31" t="s">
        <v>15</v>
      </c>
      <c r="C2" s="35" t="s">
        <v>46</v>
      </c>
    </row>
    <row r="3" spans="1:4" x14ac:dyDescent="0.25">
      <c r="A3" s="36" t="s">
        <v>17</v>
      </c>
      <c r="B3" s="15">
        <v>2.5000000000000001E-2</v>
      </c>
      <c r="C3" s="37">
        <v>2.5000000000000001E-2</v>
      </c>
      <c r="D3" s="5"/>
    </row>
    <row r="4" spans="1:4" x14ac:dyDescent="0.25">
      <c r="A4" s="38" t="s">
        <v>18</v>
      </c>
      <c r="B4" s="17">
        <v>20</v>
      </c>
      <c r="C4" s="39">
        <v>20</v>
      </c>
    </row>
    <row r="5" spans="1:4" x14ac:dyDescent="0.25">
      <c r="A5" s="38" t="s">
        <v>19</v>
      </c>
      <c r="B5" s="18">
        <v>0.08</v>
      </c>
      <c r="C5" s="40">
        <v>0.08</v>
      </c>
    </row>
    <row r="6" spans="1:4" x14ac:dyDescent="0.25">
      <c r="A6" s="38" t="s">
        <v>20</v>
      </c>
      <c r="B6" s="19">
        <f>(1+B5)/(1+B3)-1</f>
        <v>5.3658536585366123E-2</v>
      </c>
      <c r="C6" s="41">
        <f>(1+C5)/(1+C3)-1</f>
        <v>5.3658536585366123E-2</v>
      </c>
      <c r="D6" s="1"/>
    </row>
    <row r="7" spans="1:4" x14ac:dyDescent="0.25">
      <c r="A7" s="38" t="s">
        <v>21</v>
      </c>
      <c r="B7" s="18">
        <v>0.08</v>
      </c>
      <c r="C7" s="40">
        <v>0.08</v>
      </c>
    </row>
    <row r="8" spans="1:4" x14ac:dyDescent="0.25">
      <c r="A8" s="38" t="s">
        <v>22</v>
      </c>
      <c r="B8" s="18">
        <v>0.13</v>
      </c>
      <c r="C8" s="40">
        <v>0.13</v>
      </c>
    </row>
    <row r="9" spans="1:4" x14ac:dyDescent="0.25">
      <c r="A9" s="38" t="s">
        <v>23</v>
      </c>
      <c r="B9" s="19">
        <f>(1+B8)/(1+B3) - 1</f>
        <v>0.10243902439024399</v>
      </c>
      <c r="C9" s="41">
        <f>(1+C8)/(1+C3) - 1</f>
        <v>0.10243902439024399</v>
      </c>
      <c r="D9" s="16"/>
    </row>
    <row r="10" spans="1:4" x14ac:dyDescent="0.25">
      <c r="A10" s="38" t="s">
        <v>24</v>
      </c>
      <c r="B10" s="18">
        <v>0.6</v>
      </c>
      <c r="C10" s="40">
        <v>0.6</v>
      </c>
      <c r="D10" s="16"/>
    </row>
    <row r="11" spans="1:4" x14ac:dyDescent="0.25">
      <c r="A11" s="38" t="s">
        <v>25</v>
      </c>
      <c r="B11" s="18">
        <v>0.4</v>
      </c>
      <c r="C11" s="40">
        <v>0.4</v>
      </c>
      <c r="D11" s="16"/>
    </row>
    <row r="12" spans="1:4" x14ac:dyDescent="0.25">
      <c r="A12" s="38" t="s">
        <v>26</v>
      </c>
      <c r="B12" s="19">
        <f>IF(B11&gt;0,B10*B5*(1-B11)+(1-B10)*B8,B10*B5+(1-B10)*B8)</f>
        <v>8.0800000000000011E-2</v>
      </c>
      <c r="C12" s="41">
        <f>IF(C11&gt;0,C10*C5*(1-C11)+(1-C10)*C8,C10*C5+(1-C10)*C8)</f>
        <v>8.0800000000000011E-2</v>
      </c>
      <c r="D12" s="16"/>
    </row>
    <row r="13" spans="1:4" x14ac:dyDescent="0.25">
      <c r="A13" s="38" t="s">
        <v>27</v>
      </c>
      <c r="B13" s="19">
        <f xml:space="preserve"> ((1+((1-B10)*((1+B9)*(1+B3)-1)) + (B10*((1+B6)*(1+B3)-1)*(1-B11))) / (1+B3)) - 1</f>
        <v>5.4439024390244173E-2</v>
      </c>
      <c r="C13" s="41">
        <f xml:space="preserve"> ((1+((1-C10)*((1+C9)*(1+C3)-1)) + (C10*((1+C6)*(1+C3)-1)*(1-C11))) / (1+C3)) - 1</f>
        <v>5.4439024390244173E-2</v>
      </c>
      <c r="D13" s="16"/>
    </row>
    <row r="14" spans="1:4" x14ac:dyDescent="0.25">
      <c r="A14" s="38" t="s">
        <v>28</v>
      </c>
      <c r="B14" s="17">
        <v>20</v>
      </c>
      <c r="C14" s="39">
        <v>5</v>
      </c>
      <c r="D14" s="16"/>
    </row>
    <row r="15" spans="1:4" x14ac:dyDescent="0.25">
      <c r="A15" s="42" t="s">
        <v>29</v>
      </c>
      <c r="B15" s="21">
        <f>SUMPRODUCT(B25:B30,C25:C30)</f>
        <v>1.1608744696722724</v>
      </c>
      <c r="C15" s="43">
        <f>SUMPRODUCT(D25:D27,E25:E27)</f>
        <v>1.0389022742082548</v>
      </c>
      <c r="D15" s="20"/>
    </row>
    <row r="16" spans="1:4" x14ac:dyDescent="0.25">
      <c r="A16" s="42" t="s">
        <v>30</v>
      </c>
      <c r="B16" s="21">
        <f>SUMPRODUCT(B35:V35,B37:V37)</f>
        <v>0.50340217391111475</v>
      </c>
      <c r="C16" s="43">
        <f>SUMPRODUCT(B41:G41,B43:G43)</f>
        <v>0.80974345733223052</v>
      </c>
      <c r="D16" s="20"/>
    </row>
    <row r="17" spans="1:22" x14ac:dyDescent="0.25">
      <c r="A17" s="42" t="s">
        <v>31</v>
      </c>
      <c r="B17" s="21">
        <f xml:space="preserve"> (1 - B11 * B16) / (1 - B11)</f>
        <v>1.3310652173925903</v>
      </c>
      <c r="C17" s="43">
        <f xml:space="preserve"> (1 - C11 * C16) / (1 - C11)</f>
        <v>1.1268376951118464</v>
      </c>
      <c r="D17" s="20"/>
    </row>
    <row r="18" spans="1:22" x14ac:dyDescent="0.25">
      <c r="A18" s="42" t="s">
        <v>32</v>
      </c>
      <c r="B18" s="19">
        <f xml:space="preserve"> B12 / (1 - (1 / (1 + B12)^B4))</f>
        <v>0.10245931565143668</v>
      </c>
      <c r="C18" s="41">
        <f xml:space="preserve"> C12 / (1 - (1 / (1 + C12)^C4))</f>
        <v>0.10245931565143668</v>
      </c>
      <c r="D18" s="20"/>
    </row>
    <row r="19" spans="1:22" ht="15.75" thickBot="1" x14ac:dyDescent="0.3">
      <c r="A19" s="44" t="s">
        <v>33</v>
      </c>
      <c r="B19" s="45">
        <f xml:space="preserve"> B13 / (1 - (1 / (1 + B13)^B4))</f>
        <v>8.3290299431659706E-2</v>
      </c>
      <c r="C19" s="46">
        <f xml:space="preserve"> C13 / (1 - (1 / (1 + C13)^C4))</f>
        <v>8.3290299431659706E-2</v>
      </c>
    </row>
    <row r="20" spans="1:22" ht="15.75" thickBot="1" x14ac:dyDescent="0.3">
      <c r="A20" s="22"/>
      <c r="B20" s="22"/>
      <c r="C20" s="22"/>
      <c r="D20" s="22"/>
      <c r="E20" s="22"/>
    </row>
    <row r="21" spans="1:22" ht="15.75" thickBot="1" x14ac:dyDescent="0.3">
      <c r="A21" s="106" t="s">
        <v>49</v>
      </c>
      <c r="B21" s="107"/>
      <c r="C21" s="107"/>
      <c r="D21" s="107"/>
      <c r="E21" s="108"/>
    </row>
    <row r="22" spans="1:22" x14ac:dyDescent="0.25">
      <c r="A22" s="62" t="s">
        <v>34</v>
      </c>
      <c r="B22" s="115">
        <v>6</v>
      </c>
      <c r="C22" s="116"/>
      <c r="D22" s="115">
        <v>3</v>
      </c>
      <c r="E22" s="116"/>
    </row>
    <row r="23" spans="1:22" x14ac:dyDescent="0.25">
      <c r="A23" s="57" t="s">
        <v>35</v>
      </c>
      <c r="B23" s="47" t="s">
        <v>36</v>
      </c>
      <c r="C23" s="48" t="s">
        <v>37</v>
      </c>
      <c r="D23" s="47" t="s">
        <v>36</v>
      </c>
      <c r="E23" s="48" t="s">
        <v>37</v>
      </c>
    </row>
    <row r="24" spans="1:22" x14ac:dyDescent="0.25">
      <c r="A24" s="58" t="s">
        <v>38</v>
      </c>
      <c r="B24" s="49" t="s">
        <v>39</v>
      </c>
      <c r="C24" s="50" t="s">
        <v>40</v>
      </c>
      <c r="D24" s="49" t="s">
        <v>39</v>
      </c>
      <c r="E24" s="50" t="s">
        <v>40</v>
      </c>
    </row>
    <row r="25" spans="1:22" x14ac:dyDescent="0.25">
      <c r="A25" s="59">
        <v>0</v>
      </c>
      <c r="B25" s="51">
        <v>0.1</v>
      </c>
      <c r="C25" s="52">
        <f t="shared" ref="C25:C30" si="0">1+(1-$B$11)*((1+$B$7)^(A25+0.5)-1)</f>
        <v>1.0235382907247959</v>
      </c>
      <c r="D25" s="51">
        <v>0.8</v>
      </c>
      <c r="E25" s="52">
        <f>1+(1-$C$11)*((1+$C$7)^($A25+0.5)-1)</f>
        <v>1.0235382907247959</v>
      </c>
    </row>
    <row r="26" spans="1:22" x14ac:dyDescent="0.25">
      <c r="A26" s="60">
        <v>1</v>
      </c>
      <c r="B26" s="53">
        <v>0.2</v>
      </c>
      <c r="C26" s="54">
        <f t="shared" si="0"/>
        <v>1.0734213539827795</v>
      </c>
      <c r="D26" s="53">
        <v>0.1</v>
      </c>
      <c r="E26" s="54">
        <f t="shared" ref="E26:E27" si="1">1+(1-$C$11)*((1+$C$7)^($A26+0.5)-1)</f>
        <v>1.0734213539827795</v>
      </c>
    </row>
    <row r="27" spans="1:22" ht="15.75" thickBot="1" x14ac:dyDescent="0.3">
      <c r="A27" s="60">
        <v>2</v>
      </c>
      <c r="B27" s="53">
        <v>0.2</v>
      </c>
      <c r="C27" s="54">
        <f t="shared" si="0"/>
        <v>1.127295062301402</v>
      </c>
      <c r="D27" s="55">
        <v>0.1</v>
      </c>
      <c r="E27" s="56">
        <f t="shared" si="1"/>
        <v>1.127295062301402</v>
      </c>
    </row>
    <row r="28" spans="1:22" x14ac:dyDescent="0.25">
      <c r="A28" s="60">
        <v>3</v>
      </c>
      <c r="B28" s="53">
        <v>0.2</v>
      </c>
      <c r="C28" s="54">
        <f t="shared" si="0"/>
        <v>1.1854786672855142</v>
      </c>
      <c r="D28" s="22"/>
      <c r="E28" s="22"/>
    </row>
    <row r="29" spans="1:22" x14ac:dyDescent="0.25">
      <c r="A29" s="60">
        <v>4</v>
      </c>
      <c r="B29" s="53">
        <v>0.2</v>
      </c>
      <c r="C29" s="54">
        <f t="shared" si="0"/>
        <v>1.2483169606683553</v>
      </c>
      <c r="D29" s="22"/>
      <c r="E29" s="22"/>
    </row>
    <row r="30" spans="1:22" ht="15.75" thickBot="1" x14ac:dyDescent="0.3">
      <c r="A30" s="61">
        <v>5</v>
      </c>
      <c r="B30" s="55">
        <v>0.1</v>
      </c>
      <c r="C30" s="56">
        <f t="shared" si="0"/>
        <v>1.3161823175218239</v>
      </c>
      <c r="D30" s="22"/>
      <c r="E30" s="22"/>
    </row>
    <row r="31" spans="1:22" ht="15.75" thickBot="1" x14ac:dyDescent="0.3"/>
    <row r="32" spans="1:22" ht="15.75" thickBot="1" x14ac:dyDescent="0.3">
      <c r="A32" s="109" t="s">
        <v>50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1:22" ht="15.75" thickBot="1" x14ac:dyDescent="0.3">
      <c r="A33" s="75" t="s">
        <v>51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</row>
    <row r="34" spans="1:22" x14ac:dyDescent="0.25">
      <c r="A34" s="65" t="s">
        <v>42</v>
      </c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4">
        <v>6</v>
      </c>
      <c r="H34" s="25">
        <v>7</v>
      </c>
      <c r="I34" s="26">
        <v>8</v>
      </c>
      <c r="J34" s="26">
        <v>9</v>
      </c>
      <c r="K34" s="26">
        <v>10</v>
      </c>
      <c r="L34" s="26">
        <v>11</v>
      </c>
      <c r="M34" s="26">
        <v>12</v>
      </c>
      <c r="N34" s="26">
        <v>13</v>
      </c>
      <c r="O34" s="26">
        <v>14</v>
      </c>
      <c r="P34" s="26">
        <v>15</v>
      </c>
      <c r="Q34" s="26">
        <v>16</v>
      </c>
      <c r="R34" s="26">
        <v>17</v>
      </c>
      <c r="S34" s="26">
        <v>18</v>
      </c>
      <c r="T34" s="26">
        <v>19</v>
      </c>
      <c r="U34" s="26">
        <v>20</v>
      </c>
      <c r="V34" s="66">
        <v>21</v>
      </c>
    </row>
    <row r="35" spans="1:22" x14ac:dyDescent="0.25">
      <c r="A35" s="47" t="s">
        <v>43</v>
      </c>
      <c r="B35" s="27">
        <v>3.7499999999999999E-2</v>
      </c>
      <c r="C35" s="28">
        <v>7.2190000000000004E-2</v>
      </c>
      <c r="D35" s="28">
        <v>6.6769999999999996E-2</v>
      </c>
      <c r="E35" s="28">
        <v>6.1769999999999999E-2</v>
      </c>
      <c r="F35" s="28">
        <v>5.713E-2</v>
      </c>
      <c r="G35" s="28">
        <v>5.2850000000000001E-2</v>
      </c>
      <c r="H35" s="28">
        <v>4.888E-2</v>
      </c>
      <c r="I35" s="28">
        <v>4.5220000000000003E-2</v>
      </c>
      <c r="J35" s="28">
        <v>4.462E-2</v>
      </c>
      <c r="K35" s="28">
        <v>4.4609999999999997E-2</v>
      </c>
      <c r="L35" s="28">
        <v>4.462E-2</v>
      </c>
      <c r="M35" s="28">
        <v>4.4609999999999997E-2</v>
      </c>
      <c r="N35" s="28">
        <v>4.462E-2</v>
      </c>
      <c r="O35" s="28">
        <v>4.4609999999999997E-2</v>
      </c>
      <c r="P35" s="28">
        <v>4.462E-2</v>
      </c>
      <c r="Q35" s="28">
        <v>4.4609999999999997E-2</v>
      </c>
      <c r="R35" s="28">
        <v>4.462E-2</v>
      </c>
      <c r="S35" s="28">
        <v>4.4609999999999997E-2</v>
      </c>
      <c r="T35" s="28">
        <v>4.462E-2</v>
      </c>
      <c r="U35" s="28">
        <v>4.4609999999999997E-2</v>
      </c>
      <c r="V35" s="67">
        <v>2.231E-2</v>
      </c>
    </row>
    <row r="36" spans="1:22" ht="15.75" thickBot="1" x14ac:dyDescent="0.3">
      <c r="A36" s="68" t="s">
        <v>44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69"/>
    </row>
    <row r="37" spans="1:22" x14ac:dyDescent="0.25">
      <c r="A37" s="70" t="s">
        <v>43</v>
      </c>
      <c r="B37" s="30">
        <f t="shared" ref="B37:V37" si="2">1/((1+$B$13)*(1+$B$3))^B34</f>
        <v>0.92524056254626186</v>
      </c>
      <c r="C37" s="30">
        <f t="shared" si="2"/>
        <v>0.85607009858092309</v>
      </c>
      <c r="D37" s="30">
        <f t="shared" si="2"/>
        <v>0.79207077959004724</v>
      </c>
      <c r="E37" s="30">
        <f t="shared" si="2"/>
        <v>0.73285601368435149</v>
      </c>
      <c r="F37" s="30">
        <f t="shared" si="2"/>
        <v>0.67806811036672032</v>
      </c>
      <c r="G37" s="30">
        <f t="shared" si="2"/>
        <v>0.62737611988038511</v>
      </c>
      <c r="H37" s="30">
        <f t="shared" si="2"/>
        <v>0.58047383408621855</v>
      </c>
      <c r="I37" s="30">
        <f t="shared" si="2"/>
        <v>0.53707793679331839</v>
      </c>
      <c r="J37" s="30">
        <f t="shared" si="2"/>
        <v>0.49692629236983554</v>
      </c>
      <c r="K37" s="30">
        <f t="shared" si="2"/>
        <v>0.45977636229629487</v>
      </c>
      <c r="L37" s="30">
        <f t="shared" si="2"/>
        <v>0.42540374009649778</v>
      </c>
      <c r="M37" s="30">
        <f t="shared" si="2"/>
        <v>0.39360079579616741</v>
      </c>
      <c r="N37" s="30">
        <f t="shared" si="2"/>
        <v>0.36417542172110223</v>
      </c>
      <c r="O37" s="30">
        <f t="shared" si="2"/>
        <v>0.33694987205875476</v>
      </c>
      <c r="P37" s="30">
        <f t="shared" si="2"/>
        <v>0.31175968917353325</v>
      </c>
      <c r="Q37" s="30">
        <f t="shared" si="2"/>
        <v>0.28845271019016766</v>
      </c>
      <c r="R37" s="30">
        <f t="shared" si="2"/>
        <v>0.26688814784434456</v>
      </c>
      <c r="S37" s="30">
        <f t="shared" si="2"/>
        <v>0.24693574004843133</v>
      </c>
      <c r="T37" s="30">
        <f t="shared" si="2"/>
        <v>0.22847496303518808</v>
      </c>
      <c r="U37" s="30">
        <f t="shared" si="2"/>
        <v>0.21139430332641379</v>
      </c>
      <c r="V37" s="71">
        <f t="shared" si="2"/>
        <v>0.1955905841288062</v>
      </c>
    </row>
    <row r="38" spans="1:22" ht="15.75" thickBot="1" x14ac:dyDescent="0.3">
      <c r="A38" s="72" t="s">
        <v>45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5.75" thickBot="1" x14ac:dyDescent="0.3">
      <c r="A39" s="76" t="s">
        <v>52</v>
      </c>
      <c r="B39" s="77"/>
      <c r="C39" s="77"/>
      <c r="D39" s="77"/>
      <c r="E39" s="77"/>
      <c r="F39" s="77"/>
      <c r="G39" s="78"/>
    </row>
    <row r="40" spans="1:22" x14ac:dyDescent="0.25">
      <c r="A40" s="65" t="s">
        <v>42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79">
        <v>6</v>
      </c>
    </row>
    <row r="41" spans="1:22" x14ac:dyDescent="0.25">
      <c r="A41" s="47" t="s">
        <v>43</v>
      </c>
      <c r="B41" s="32">
        <v>0.2</v>
      </c>
      <c r="C41" s="33">
        <v>0.32</v>
      </c>
      <c r="D41" s="33">
        <v>0.192</v>
      </c>
      <c r="E41" s="33">
        <v>0.1152</v>
      </c>
      <c r="F41" s="33">
        <v>0.1152</v>
      </c>
      <c r="G41" s="80">
        <v>5.7599999999999998E-2</v>
      </c>
    </row>
    <row r="42" spans="1:22" ht="15.75" thickBot="1" x14ac:dyDescent="0.3">
      <c r="A42" s="68" t="s">
        <v>44</v>
      </c>
      <c r="B42" s="29"/>
      <c r="C42" s="29"/>
      <c r="D42" s="29"/>
      <c r="E42" s="29"/>
      <c r="F42" s="29"/>
      <c r="G42" s="81"/>
    </row>
    <row r="43" spans="1:22" x14ac:dyDescent="0.25">
      <c r="A43" s="70" t="s">
        <v>43</v>
      </c>
      <c r="B43" s="30">
        <f>1/((1+$C$13)*(1+$C$3))^B40</f>
        <v>0.92524056254626186</v>
      </c>
      <c r="C43" s="30">
        <f t="shared" ref="C43:G43" si="3">1/((1+$C$13)*(1+$C$3))^C40</f>
        <v>0.85607009858092309</v>
      </c>
      <c r="D43" s="30">
        <f t="shared" si="3"/>
        <v>0.79207077959004724</v>
      </c>
      <c r="E43" s="30">
        <f t="shared" si="3"/>
        <v>0.73285601368435149</v>
      </c>
      <c r="F43" s="30">
        <f t="shared" si="3"/>
        <v>0.67806811036672032</v>
      </c>
      <c r="G43" s="71">
        <f t="shared" si="3"/>
        <v>0.62737611988038511</v>
      </c>
    </row>
    <row r="44" spans="1:22" ht="15.75" thickBot="1" x14ac:dyDescent="0.3">
      <c r="A44" s="72" t="s">
        <v>45</v>
      </c>
      <c r="B44" s="73"/>
      <c r="C44" s="73"/>
      <c r="D44" s="73"/>
      <c r="E44" s="73"/>
      <c r="F44" s="73"/>
      <c r="G44" s="82"/>
    </row>
    <row r="45" spans="1:22" ht="15.75" thickBot="1" x14ac:dyDescent="0.3"/>
    <row r="46" spans="1:22" ht="15.75" thickBot="1" x14ac:dyDescent="0.3">
      <c r="A46" s="83" t="s">
        <v>53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</row>
    <row r="47" spans="1:22" x14ac:dyDescent="0.25">
      <c r="A47" s="112" t="s">
        <v>11</v>
      </c>
      <c r="B47" s="113"/>
      <c r="C47" s="114"/>
      <c r="D47" s="7"/>
      <c r="E47" s="112" t="s">
        <v>9</v>
      </c>
      <c r="F47" s="113"/>
      <c r="G47" s="114"/>
      <c r="H47" s="7"/>
      <c r="I47" s="112" t="s">
        <v>66</v>
      </c>
      <c r="J47" s="113"/>
      <c r="K47" s="114"/>
      <c r="L47" s="7"/>
      <c r="M47" s="112" t="s">
        <v>67</v>
      </c>
      <c r="N47" s="113"/>
      <c r="O47" s="114"/>
    </row>
    <row r="48" spans="1:22" x14ac:dyDescent="0.25">
      <c r="A48" s="6">
        <f>3636*10^3</f>
        <v>3636000</v>
      </c>
      <c r="B48" s="2" t="s">
        <v>41</v>
      </c>
      <c r="C48" s="4" t="s">
        <v>0</v>
      </c>
      <c r="D48" s="7"/>
      <c r="E48" s="6">
        <f>5569*10^3</f>
        <v>5569000</v>
      </c>
      <c r="F48" s="2" t="s">
        <v>41</v>
      </c>
      <c r="G48" s="4" t="s">
        <v>0</v>
      </c>
      <c r="H48" s="7"/>
      <c r="I48" s="6">
        <f>1690*10^3</f>
        <v>1690000</v>
      </c>
      <c r="J48" s="2" t="s">
        <v>41</v>
      </c>
      <c r="K48" s="4" t="s">
        <v>0</v>
      </c>
      <c r="L48" s="7"/>
      <c r="M48" s="6">
        <f>1.18*10^6/0.859</f>
        <v>1373690.3376018626</v>
      </c>
      <c r="N48" s="2" t="s">
        <v>41</v>
      </c>
      <c r="O48" s="4" t="s">
        <v>0</v>
      </c>
    </row>
    <row r="49" spans="1:15" x14ac:dyDescent="0.25">
      <c r="A49" s="6">
        <f>42.1*1000</f>
        <v>42100</v>
      </c>
      <c r="B49" s="2" t="s">
        <v>12</v>
      </c>
      <c r="C49" s="4" t="s">
        <v>1</v>
      </c>
      <c r="D49" s="7"/>
      <c r="E49" s="6">
        <f>80.53*1000</f>
        <v>80530</v>
      </c>
      <c r="F49" s="2" t="s">
        <v>12</v>
      </c>
      <c r="G49" s="4" t="s">
        <v>1</v>
      </c>
      <c r="H49" s="7"/>
      <c r="I49" s="6">
        <f>39.7*10^3</f>
        <v>39700</v>
      </c>
      <c r="J49" s="2" t="s">
        <v>12</v>
      </c>
      <c r="K49" s="4" t="s">
        <v>1</v>
      </c>
      <c r="L49" s="7"/>
      <c r="M49" s="6">
        <f>21.8*10^3</f>
        <v>21800</v>
      </c>
      <c r="N49" s="2" t="s">
        <v>12</v>
      </c>
      <c r="O49" s="4" t="s">
        <v>1</v>
      </c>
    </row>
    <row r="50" spans="1:15" x14ac:dyDescent="0.25">
      <c r="A50" s="8">
        <v>4.5999999999999996</v>
      </c>
      <c r="B50" s="2" t="s">
        <v>13</v>
      </c>
      <c r="C50" s="4" t="s">
        <v>2</v>
      </c>
      <c r="D50" s="7"/>
      <c r="E50" s="8">
        <v>9.51</v>
      </c>
      <c r="F50" s="2" t="s">
        <v>13</v>
      </c>
      <c r="G50" s="4" t="s">
        <v>2</v>
      </c>
      <c r="H50" s="7"/>
      <c r="I50" s="8">
        <v>0</v>
      </c>
      <c r="J50" s="2" t="s">
        <v>13</v>
      </c>
      <c r="K50" s="4" t="s">
        <v>2</v>
      </c>
      <c r="L50" s="7"/>
      <c r="M50" s="8">
        <v>0</v>
      </c>
      <c r="N50" s="2" t="s">
        <v>13</v>
      </c>
      <c r="O50" s="4" t="s">
        <v>2</v>
      </c>
    </row>
    <row r="51" spans="1:15" s="91" customFormat="1" x14ac:dyDescent="0.25">
      <c r="A51" s="87">
        <v>2.2000000000000002</v>
      </c>
      <c r="B51" s="88" t="s">
        <v>47</v>
      </c>
      <c r="C51" s="89" t="s">
        <v>8</v>
      </c>
      <c r="D51" s="90"/>
      <c r="E51" s="87">
        <v>2.2000000000000002</v>
      </c>
      <c r="F51" s="88" t="s">
        <v>47</v>
      </c>
      <c r="G51" s="89" t="s">
        <v>8</v>
      </c>
      <c r="H51" s="90"/>
      <c r="I51" s="87">
        <v>0</v>
      </c>
      <c r="J51" s="88" t="s">
        <v>47</v>
      </c>
      <c r="K51" s="89" t="s">
        <v>8</v>
      </c>
      <c r="L51" s="90"/>
      <c r="M51" s="87">
        <v>0</v>
      </c>
      <c r="N51" s="88" t="s">
        <v>47</v>
      </c>
      <c r="O51" s="89" t="s">
        <v>8</v>
      </c>
    </row>
    <row r="52" spans="1:15" x14ac:dyDescent="0.25">
      <c r="A52" s="3">
        <v>8800</v>
      </c>
      <c r="B52" s="2" t="s">
        <v>5</v>
      </c>
      <c r="C52" s="4" t="s">
        <v>6</v>
      </c>
      <c r="D52" s="7"/>
      <c r="E52" s="3">
        <v>11650</v>
      </c>
      <c r="F52" s="2" t="s">
        <v>5</v>
      </c>
      <c r="G52" s="4" t="s">
        <v>6</v>
      </c>
      <c r="H52" s="7"/>
      <c r="I52" s="3">
        <v>0</v>
      </c>
      <c r="J52" s="2" t="s">
        <v>5</v>
      </c>
      <c r="K52" s="4" t="s">
        <v>6</v>
      </c>
      <c r="L52" s="7"/>
      <c r="M52" s="3">
        <v>0</v>
      </c>
      <c r="N52" s="2" t="s">
        <v>5</v>
      </c>
      <c r="O52" s="4" t="s">
        <v>6</v>
      </c>
    </row>
    <row r="53" spans="1:15" x14ac:dyDescent="0.25">
      <c r="A53" s="9">
        <v>0.85</v>
      </c>
      <c r="B53" s="2" t="s">
        <v>3</v>
      </c>
      <c r="C53" s="4" t="s">
        <v>4</v>
      </c>
      <c r="D53" s="7"/>
      <c r="E53" s="9">
        <v>0.85</v>
      </c>
      <c r="F53" s="2" t="s">
        <v>3</v>
      </c>
      <c r="G53" s="4" t="s">
        <v>4</v>
      </c>
      <c r="H53" s="7"/>
      <c r="I53" s="9">
        <v>0.4</v>
      </c>
      <c r="J53" s="2" t="s">
        <v>3</v>
      </c>
      <c r="K53" s="4" t="s">
        <v>4</v>
      </c>
      <c r="L53" s="7"/>
      <c r="M53" s="9">
        <v>0.25</v>
      </c>
      <c r="N53" s="2" t="s">
        <v>3</v>
      </c>
      <c r="O53" s="4" t="s">
        <v>4</v>
      </c>
    </row>
    <row r="54" spans="1:15" ht="15.75" thickBot="1" x14ac:dyDescent="0.3">
      <c r="A54" s="12">
        <f>(B19*B17*B15*A48+A49)/(8760*A53)+A50+A52/1000*$A$51</f>
        <v>92.460363691129444</v>
      </c>
      <c r="B54" s="13" t="s">
        <v>14</v>
      </c>
      <c r="C54" s="14" t="s">
        <v>2</v>
      </c>
      <c r="D54" s="86"/>
      <c r="E54" s="12">
        <f>(B19*B17*B15*E48+E49)/(8760*E53)+E50+E52/1000*$E$51</f>
        <v>142.21239835277035</v>
      </c>
      <c r="F54" s="13" t="s">
        <v>14</v>
      </c>
      <c r="G54" s="14" t="s">
        <v>2</v>
      </c>
      <c r="H54" s="86"/>
      <c r="I54" s="12">
        <f>(C19*C17*C15*I48+I49)/(8760*I53)+I50+I52/1000*$I$51</f>
        <v>58.35753883461954</v>
      </c>
      <c r="J54" s="13" t="s">
        <v>14</v>
      </c>
      <c r="K54" s="14" t="s">
        <v>2</v>
      </c>
      <c r="L54" s="86"/>
      <c r="M54" s="12">
        <f>(C19*C17*C15*M48+M49)/(8760*M53)+M50+M52/1000*$M$51</f>
        <v>71.115427745210212</v>
      </c>
      <c r="N54" s="13" t="s">
        <v>14</v>
      </c>
      <c r="O54" s="14" t="s">
        <v>2</v>
      </c>
    </row>
    <row r="56" spans="1:15" x14ac:dyDescent="0.25">
      <c r="I56" s="92"/>
    </row>
    <row r="57" spans="1:15" x14ac:dyDescent="0.25">
      <c r="A57" t="s">
        <v>10</v>
      </c>
    </row>
    <row r="58" spans="1:15" x14ac:dyDescent="0.25">
      <c r="A58" t="s">
        <v>54</v>
      </c>
    </row>
    <row r="59" spans="1:15" x14ac:dyDescent="0.25">
      <c r="A59" t="s">
        <v>56</v>
      </c>
    </row>
    <row r="60" spans="1:15" x14ac:dyDescent="0.25">
      <c r="A60" t="s">
        <v>55</v>
      </c>
    </row>
    <row r="61" spans="1:15" x14ac:dyDescent="0.25">
      <c r="A61" t="s">
        <v>57</v>
      </c>
    </row>
    <row r="62" spans="1:15" x14ac:dyDescent="0.25">
      <c r="A62" t="s">
        <v>58</v>
      </c>
    </row>
    <row r="63" spans="1:15" x14ac:dyDescent="0.25">
      <c r="A63" t="s">
        <v>59</v>
      </c>
    </row>
    <row r="64" spans="1:15" x14ac:dyDescent="0.25">
      <c r="A64" t="s">
        <v>60</v>
      </c>
    </row>
    <row r="65" spans="1:1" x14ac:dyDescent="0.25">
      <c r="A65" t="s">
        <v>61</v>
      </c>
    </row>
    <row r="66" spans="1:1" x14ac:dyDescent="0.25">
      <c r="A66" s="93" t="s">
        <v>62</v>
      </c>
    </row>
    <row r="68" spans="1:1" x14ac:dyDescent="0.25">
      <c r="A68" t="s">
        <v>63</v>
      </c>
    </row>
    <row r="69" spans="1:1" x14ac:dyDescent="0.25">
      <c r="A69" t="s">
        <v>64</v>
      </c>
    </row>
    <row r="70" spans="1:1" x14ac:dyDescent="0.25">
      <c r="A70" t="s">
        <v>65</v>
      </c>
    </row>
    <row r="71" spans="1:1" x14ac:dyDescent="0.25">
      <c r="A71" t="s">
        <v>101</v>
      </c>
    </row>
  </sheetData>
  <mergeCells count="9">
    <mergeCell ref="A1:C1"/>
    <mergeCell ref="A21:E21"/>
    <mergeCell ref="A32:V32"/>
    <mergeCell ref="M47:O47"/>
    <mergeCell ref="B22:C22"/>
    <mergeCell ref="D22:E22"/>
    <mergeCell ref="A47:C47"/>
    <mergeCell ref="E47:G47"/>
    <mergeCell ref="I47:K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1"/>
    </sheetView>
  </sheetViews>
  <sheetFormatPr defaultRowHeight="15" x14ac:dyDescent="0.25"/>
  <cols>
    <col min="1" max="1" width="13.85546875" customWidth="1"/>
    <col min="2" max="2" width="25.85546875" bestFit="1" customWidth="1"/>
    <col min="3" max="3" width="18.140625" bestFit="1" customWidth="1"/>
  </cols>
  <sheetData>
    <row r="1" spans="1:3" x14ac:dyDescent="0.25">
      <c r="A1" s="117" t="s">
        <v>69</v>
      </c>
      <c r="B1" s="118"/>
      <c r="C1" s="119"/>
    </row>
    <row r="2" spans="1:3" x14ac:dyDescent="0.25">
      <c r="A2" s="3">
        <v>650</v>
      </c>
      <c r="B2" s="2" t="s">
        <v>68</v>
      </c>
      <c r="C2" s="4" t="s">
        <v>81</v>
      </c>
    </row>
    <row r="3" spans="1:3" x14ac:dyDescent="0.25">
      <c r="A3" s="94">
        <f>CONVERT(20.6*9,"lbm","ton")</f>
        <v>9.2700000000000018E-2</v>
      </c>
      <c r="B3" s="2" t="s">
        <v>87</v>
      </c>
      <c r="C3" s="4" t="s">
        <v>82</v>
      </c>
    </row>
    <row r="4" spans="1:3" x14ac:dyDescent="0.25">
      <c r="A4" s="9">
        <f>'Fuel Type Comparison'!$E$53</f>
        <v>0.85</v>
      </c>
      <c r="B4" s="2" t="s">
        <v>70</v>
      </c>
      <c r="C4" s="4" t="s">
        <v>4</v>
      </c>
    </row>
    <row r="5" spans="1:3" x14ac:dyDescent="0.25">
      <c r="A5" s="3">
        <f>'Fuel Type Comparison'!$E$52</f>
        <v>11650</v>
      </c>
      <c r="B5" s="2" t="s">
        <v>71</v>
      </c>
      <c r="C5" s="4" t="s">
        <v>6</v>
      </c>
    </row>
    <row r="6" spans="1:3" x14ac:dyDescent="0.25">
      <c r="A6" s="3">
        <f>A5/1000*8760*A4*A2</f>
        <v>56384834.999999993</v>
      </c>
      <c r="B6" s="2" t="s">
        <v>72</v>
      </c>
      <c r="C6" s="4" t="s">
        <v>83</v>
      </c>
    </row>
    <row r="7" spans="1:3" x14ac:dyDescent="0.25">
      <c r="A7" s="10">
        <f>A6*A3/10^6</f>
        <v>5.2268742044999996</v>
      </c>
      <c r="B7" s="2" t="s">
        <v>73</v>
      </c>
      <c r="C7" s="4" t="s">
        <v>84</v>
      </c>
    </row>
    <row r="8" spans="1:3" x14ac:dyDescent="0.25">
      <c r="A8" s="8">
        <v>2</v>
      </c>
      <c r="B8" s="2" t="s">
        <v>91</v>
      </c>
      <c r="C8" s="4" t="s">
        <v>85</v>
      </c>
    </row>
    <row r="9" spans="1:3" x14ac:dyDescent="0.25">
      <c r="A9" s="3">
        <v>500</v>
      </c>
      <c r="B9" s="2" t="s">
        <v>74</v>
      </c>
      <c r="C9" s="4" t="s">
        <v>86</v>
      </c>
    </row>
    <row r="10" spans="1:3" x14ac:dyDescent="0.25">
      <c r="A10" s="6">
        <f>A8*A7*10^6*(A9/250)</f>
        <v>20907496.818</v>
      </c>
      <c r="B10" s="2" t="s">
        <v>75</v>
      </c>
      <c r="C10" s="4" t="s">
        <v>48</v>
      </c>
    </row>
    <row r="11" spans="1:3" x14ac:dyDescent="0.25">
      <c r="A11" s="8">
        <f>AVERAGE(0.5,8)</f>
        <v>4.25</v>
      </c>
      <c r="B11" s="2" t="s">
        <v>88</v>
      </c>
      <c r="C11" s="4" t="s">
        <v>7</v>
      </c>
    </row>
    <row r="12" spans="1:3" x14ac:dyDescent="0.25">
      <c r="A12" s="6">
        <f>A11*A7*10^6</f>
        <v>22214215.369125001</v>
      </c>
      <c r="B12" s="2" t="s">
        <v>76</v>
      </c>
      <c r="C12" s="4" t="s">
        <v>48</v>
      </c>
    </row>
    <row r="13" spans="1:3" x14ac:dyDescent="0.25">
      <c r="A13" s="8">
        <f>AVERAGE(0.1,0.3)</f>
        <v>0.2</v>
      </c>
      <c r="B13" s="2" t="s">
        <v>89</v>
      </c>
      <c r="C13" s="4" t="s">
        <v>7</v>
      </c>
    </row>
    <row r="14" spans="1:3" x14ac:dyDescent="0.25">
      <c r="A14" s="6">
        <f>A13*A7*10^6</f>
        <v>1045374.8408999998</v>
      </c>
      <c r="B14" s="2" t="s">
        <v>90</v>
      </c>
      <c r="C14" s="4" t="s">
        <v>48</v>
      </c>
    </row>
    <row r="15" spans="1:3" x14ac:dyDescent="0.25">
      <c r="A15" s="6">
        <f>SUM(A14,A12,A10)</f>
        <v>44167087.028025001</v>
      </c>
      <c r="B15" s="2" t="s">
        <v>92</v>
      </c>
      <c r="C15" s="4" t="s">
        <v>48</v>
      </c>
    </row>
    <row r="16" spans="1:3" ht="15.75" thickBot="1" x14ac:dyDescent="0.3">
      <c r="A16" s="11">
        <f>A15/(A2*A4*8760)</f>
        <v>9.1256197500000003</v>
      </c>
      <c r="B16" s="13" t="s">
        <v>93</v>
      </c>
      <c r="C16" s="14" t="s">
        <v>2</v>
      </c>
    </row>
    <row r="18" spans="1:1" x14ac:dyDescent="0.25">
      <c r="A18" t="s">
        <v>10</v>
      </c>
    </row>
    <row r="19" spans="1:1" x14ac:dyDescent="0.25">
      <c r="A19" t="s">
        <v>77</v>
      </c>
    </row>
    <row r="20" spans="1:1" x14ac:dyDescent="0.25">
      <c r="A20" t="s">
        <v>78</v>
      </c>
    </row>
    <row r="22" spans="1:1" x14ac:dyDescent="0.25">
      <c r="A22" t="s">
        <v>63</v>
      </c>
    </row>
    <row r="23" spans="1:1" x14ac:dyDescent="0.25">
      <c r="A23" t="s">
        <v>79</v>
      </c>
    </row>
    <row r="24" spans="1:1" x14ac:dyDescent="0.25">
      <c r="A24" t="s">
        <v>80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2" sqref="A12"/>
    </sheetView>
  </sheetViews>
  <sheetFormatPr defaultRowHeight="15" x14ac:dyDescent="0.25"/>
  <cols>
    <col min="1" max="1" width="24.85546875" style="96" customWidth="1"/>
    <col min="2" max="2" width="12.85546875" style="96" customWidth="1"/>
    <col min="3" max="3" width="17.140625" style="96" customWidth="1"/>
    <col min="4" max="4" width="17.5703125" style="96" customWidth="1"/>
    <col min="5" max="5" width="11.7109375" style="96" customWidth="1"/>
    <col min="6" max="6" width="11.140625" style="96" customWidth="1"/>
    <col min="7" max="16384" width="9.140625" style="96"/>
  </cols>
  <sheetData>
    <row r="1" spans="1:6" ht="30" x14ac:dyDescent="0.25">
      <c r="A1" s="97" t="s">
        <v>94</v>
      </c>
      <c r="B1" s="97" t="s">
        <v>95</v>
      </c>
      <c r="C1" s="101" t="s">
        <v>97</v>
      </c>
      <c r="D1" s="101" t="s">
        <v>100</v>
      </c>
      <c r="E1" s="101" t="s">
        <v>98</v>
      </c>
      <c r="F1" s="101" t="s">
        <v>99</v>
      </c>
    </row>
    <row r="2" spans="1:6" x14ac:dyDescent="0.25">
      <c r="A2" s="96" t="s">
        <v>41</v>
      </c>
      <c r="B2" s="96" t="s">
        <v>0</v>
      </c>
      <c r="C2" s="96">
        <f>'Fuel Type Comparison'!A48</f>
        <v>3636000</v>
      </c>
      <c r="D2" s="96">
        <f>'Fuel Type Comparison'!E48</f>
        <v>5569000</v>
      </c>
      <c r="E2" s="96">
        <f>'Fuel Type Comparison'!I48</f>
        <v>1690000</v>
      </c>
      <c r="F2" s="100">
        <f>'Fuel Type Comparison'!M48</f>
        <v>1373690.3376018626</v>
      </c>
    </row>
    <row r="3" spans="1:6" x14ac:dyDescent="0.25">
      <c r="A3" s="96" t="s">
        <v>12</v>
      </c>
      <c r="B3" s="96" t="s">
        <v>1</v>
      </c>
      <c r="C3" s="96">
        <f>'Fuel Type Comparison'!A49</f>
        <v>42100</v>
      </c>
      <c r="D3" s="96">
        <f>'Fuel Type Comparison'!E49</f>
        <v>80530</v>
      </c>
      <c r="E3" s="96">
        <f>'Fuel Type Comparison'!I49</f>
        <v>39700</v>
      </c>
      <c r="F3" s="96">
        <f>'Fuel Type Comparison'!M49</f>
        <v>21800</v>
      </c>
    </row>
    <row r="4" spans="1:6" x14ac:dyDescent="0.25">
      <c r="A4" s="96" t="s">
        <v>13</v>
      </c>
      <c r="B4" s="96" t="s">
        <v>2</v>
      </c>
      <c r="C4" s="96">
        <f>'Fuel Type Comparison'!A50</f>
        <v>4.5999999999999996</v>
      </c>
      <c r="D4" s="96">
        <f>'Fuel Type Comparison'!E50</f>
        <v>9.51</v>
      </c>
      <c r="E4" s="96">
        <f>'Fuel Type Comparison'!I50</f>
        <v>0</v>
      </c>
      <c r="F4" s="96">
        <f>'Fuel Type Comparison'!M50</f>
        <v>0</v>
      </c>
    </row>
    <row r="5" spans="1:6" x14ac:dyDescent="0.25">
      <c r="A5" s="96" t="s">
        <v>47</v>
      </c>
      <c r="B5" s="96" t="s">
        <v>8</v>
      </c>
      <c r="C5" s="96">
        <f>'Fuel Type Comparison'!A51</f>
        <v>2.2000000000000002</v>
      </c>
      <c r="D5" s="96">
        <f>'Fuel Type Comparison'!E51</f>
        <v>2.2000000000000002</v>
      </c>
      <c r="E5" s="96">
        <f>'Fuel Type Comparison'!I51</f>
        <v>0</v>
      </c>
      <c r="F5" s="96">
        <f>'Fuel Type Comparison'!M51</f>
        <v>0</v>
      </c>
    </row>
    <row r="6" spans="1:6" x14ac:dyDescent="0.25">
      <c r="A6" s="96" t="s">
        <v>5</v>
      </c>
      <c r="B6" s="96" t="s">
        <v>6</v>
      </c>
      <c r="C6" s="96">
        <f>'Fuel Type Comparison'!A52</f>
        <v>8800</v>
      </c>
      <c r="D6" s="96">
        <f>'Fuel Type Comparison'!E52</f>
        <v>11650</v>
      </c>
      <c r="E6" s="96">
        <f>'Fuel Type Comparison'!I52</f>
        <v>0</v>
      </c>
      <c r="F6" s="96">
        <f>'Fuel Type Comparison'!M52</f>
        <v>0</v>
      </c>
    </row>
    <row r="7" spans="1:6" x14ac:dyDescent="0.25">
      <c r="A7" s="96" t="s">
        <v>3</v>
      </c>
      <c r="B7" s="96" t="s">
        <v>4</v>
      </c>
      <c r="C7" s="96">
        <f>'Fuel Type Comparison'!A53</f>
        <v>0.85</v>
      </c>
      <c r="D7" s="96">
        <f>'Fuel Type Comparison'!E53</f>
        <v>0.85</v>
      </c>
      <c r="E7" s="96">
        <f>'Fuel Type Comparison'!I53</f>
        <v>0.4</v>
      </c>
      <c r="F7" s="96">
        <f>'Fuel Type Comparison'!M53</f>
        <v>0.25</v>
      </c>
    </row>
    <row r="8" spans="1:6" x14ac:dyDescent="0.25">
      <c r="A8" s="96" t="s">
        <v>96</v>
      </c>
      <c r="B8" s="96" t="s">
        <v>2</v>
      </c>
      <c r="C8" s="96">
        <v>0</v>
      </c>
      <c r="D8" s="98">
        <f>'Transport and Storage'!A16</f>
        <v>9.1256197500000003</v>
      </c>
      <c r="E8" s="96">
        <v>0</v>
      </c>
      <c r="F8" s="96">
        <v>0</v>
      </c>
    </row>
    <row r="9" spans="1:6" x14ac:dyDescent="0.25">
      <c r="A9" s="95" t="s">
        <v>14</v>
      </c>
      <c r="B9" s="95" t="s">
        <v>2</v>
      </c>
      <c r="C9" s="99">
        <f>'Fuel Type Comparison'!A54</f>
        <v>92.460363691129444</v>
      </c>
      <c r="D9" s="99">
        <f>'Fuel Type Comparison'!E54+'Comparison Table'!D8</f>
        <v>151.33801810277035</v>
      </c>
      <c r="E9" s="99">
        <f>'Fuel Type Comparison'!I54</f>
        <v>58.35753883461954</v>
      </c>
      <c r="F9" s="99">
        <f>'Fuel Type Comparison'!M54</f>
        <v>71.115427745210212</v>
      </c>
    </row>
    <row r="18" spans="1:1" x14ac:dyDescent="0.25">
      <c r="A18" s="1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Type Comparison</vt:lpstr>
      <vt:lpstr>Transport and Storage</vt:lpstr>
      <vt:lpstr>Comparison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</dc:creator>
  <cp:lastModifiedBy>Hallie Kennan</cp:lastModifiedBy>
  <dcterms:created xsi:type="dcterms:W3CDTF">2017-04-18T20:37:00Z</dcterms:created>
  <dcterms:modified xsi:type="dcterms:W3CDTF">2017-05-02T22:25:51Z</dcterms:modified>
</cp:coreProperties>
</file>