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45" windowHeight="6855" firstSheet="7" activeTab="11"/>
  </bookViews>
  <sheets>
    <sheet name="ABOUT THIS SPREADSHEET" sheetId="36" r:id="rId1"/>
    <sheet name="GRAPH synthesis" sheetId="29" r:id="rId2"/>
    <sheet name="synthesis graph" sheetId="26" r:id="rId3"/>
    <sheet name="TABLE" sheetId="25" r:id="rId4"/>
    <sheet name="2nd compliance period (with Q1)" sheetId="30" r:id="rId5"/>
    <sheet name="synethsize (with Q1 adjustment)" sheetId="31" r:id="rId6"/>
    <sheet name="synthesize (b4 Q1 adjustment)" sheetId="7" r:id="rId7"/>
    <sheet name="TABLE main findings" sheetId="19" r:id="rId8"/>
    <sheet name="MRR data across the two" sheetId="1" r:id="rId9"/>
    <sheet name="GRAPH whole picture " sheetId="20" r:id="rId10"/>
    <sheet name="GRAPH emissions vs. cap levels" sheetId="18" r:id="rId11"/>
    <sheet name="GRAPH offsets sensitivity" sheetId="21" r:id="rId12"/>
    <sheet name="MRR data with caps for graph" sheetId="9" r:id="rId13"/>
    <sheet name="offsets sensitivity" sheetId="22" r:id="rId14"/>
    <sheet name="find crossover year" sheetId="15" r:id="rId15"/>
    <sheet name="demand scenarios" sheetId="6" r:id="rId16"/>
    <sheet name="graph demand forecasts" sheetId="17" r:id="rId17"/>
    <sheet name="retired available for CP2 &amp; 3" sheetId="3" r:id="rId18"/>
    <sheet name="future supply" sheetId="4" r:id="rId19"/>
    <sheet name="current allowance holdings" sheetId="5" r:id="rId20"/>
    <sheet name="California revenue estimation" sheetId="10" r:id="rId21"/>
    <sheet name="TABLE Cali revenue" sheetId="23" r:id="rId22"/>
    <sheet name="estimate free-auction-consign" sheetId="34" r:id="rId23"/>
    <sheet name="2016 revenue hypotheticals" sheetId="24" r:id="rId24"/>
    <sheet name="bid to cover ratio" sheetId="32" r:id="rId25"/>
    <sheet name="free vs auction CARB plan 2020" sheetId="33" r:id="rId26"/>
    <sheet name="Sheet1" sheetId="35" r:id="rId27"/>
  </sheets>
  <externalReferences>
    <externalReference r:id="rId28"/>
  </externalReferences>
  <calcPr calcId="145621"/>
</workbook>
</file>

<file path=xl/calcChain.xml><?xml version="1.0" encoding="utf-8"?>
<calcChain xmlns="http://schemas.openxmlformats.org/spreadsheetml/2006/main">
  <c r="A32" i="19" l="1"/>
  <c r="E51" i="24" l="1"/>
  <c r="E50" i="24"/>
  <c r="E49" i="24"/>
  <c r="C13" i="10"/>
  <c r="H31" i="30"/>
  <c r="C29" i="30" l="1"/>
  <c r="B29" i="30"/>
  <c r="C27" i="30"/>
  <c r="B27" i="30"/>
  <c r="A38" i="30"/>
  <c r="K16" i="32"/>
  <c r="K15" i="32"/>
  <c r="K14" i="32"/>
  <c r="K13" i="32"/>
  <c r="D13" i="32"/>
  <c r="E13" i="32"/>
  <c r="I13" i="32"/>
  <c r="H13" i="32"/>
  <c r="H3" i="32"/>
  <c r="I3" i="32"/>
  <c r="H4" i="32"/>
  <c r="I4" i="32"/>
  <c r="H5" i="32"/>
  <c r="I5" i="32"/>
  <c r="H6" i="32"/>
  <c r="I6" i="32"/>
  <c r="H7" i="32"/>
  <c r="I7" i="32"/>
  <c r="H8" i="32"/>
  <c r="I8" i="32"/>
  <c r="H9" i="32"/>
  <c r="I9" i="32"/>
  <c r="H10" i="32"/>
  <c r="I10" i="32"/>
  <c r="H11" i="32"/>
  <c r="I11" i="32"/>
  <c r="I2" i="32"/>
  <c r="H2" i="32"/>
  <c r="A35" i="30" l="1"/>
  <c r="B23" i="30" s="1"/>
  <c r="C23" i="30" l="1"/>
  <c r="B5" i="26" l="1"/>
  <c r="B6" i="26"/>
  <c r="C6" i="26"/>
  <c r="C5" i="26"/>
  <c r="C4" i="26"/>
  <c r="B4" i="26"/>
  <c r="M5" i="34" l="1"/>
  <c r="M6" i="34"/>
  <c r="M7" i="34"/>
  <c r="M4" i="34"/>
  <c r="C16" i="34"/>
  <c r="D16" i="34"/>
  <c r="E16" i="34"/>
  <c r="B16" i="34"/>
  <c r="I8" i="34"/>
  <c r="J8" i="34"/>
  <c r="K8" i="34"/>
  <c r="H8" i="34"/>
  <c r="L5" i="34"/>
  <c r="L6" i="34"/>
  <c r="I4" i="34"/>
  <c r="J4" i="34"/>
  <c r="K4" i="34"/>
  <c r="H4" i="34"/>
  <c r="L4" i="34" s="1"/>
  <c r="C2" i="10"/>
  <c r="C3" i="10"/>
  <c r="C4" i="10"/>
  <c r="C5" i="10"/>
  <c r="B8" i="10"/>
  <c r="G22" i="25"/>
  <c r="F22" i="25"/>
  <c r="B22" i="25"/>
  <c r="C22" i="25"/>
  <c r="G20" i="25"/>
  <c r="F20" i="25"/>
  <c r="G24" i="25"/>
  <c r="F24" i="25"/>
  <c r="C24" i="25"/>
  <c r="C20" i="25"/>
  <c r="C18" i="25"/>
  <c r="B24" i="25"/>
  <c r="B20" i="25"/>
  <c r="B18" i="25"/>
  <c r="I9" i="33"/>
  <c r="H9" i="33"/>
  <c r="G9" i="33"/>
  <c r="F9" i="33"/>
  <c r="E9" i="33"/>
  <c r="D9" i="33"/>
  <c r="C9" i="33"/>
  <c r="B9" i="33"/>
  <c r="A9" i="33"/>
  <c r="I8" i="33"/>
  <c r="H8" i="33"/>
  <c r="G8" i="33"/>
  <c r="F8" i="33"/>
  <c r="E8" i="33"/>
  <c r="D8" i="33"/>
  <c r="C8" i="33"/>
  <c r="B8" i="33"/>
  <c r="A8" i="33"/>
  <c r="I7" i="33"/>
  <c r="H7" i="33"/>
  <c r="G7" i="33"/>
  <c r="F7" i="33"/>
  <c r="E7" i="33"/>
  <c r="D7" i="33"/>
  <c r="C7" i="33"/>
  <c r="B7" i="33"/>
  <c r="A7" i="33"/>
  <c r="I6" i="33"/>
  <c r="H6" i="33"/>
  <c r="G6" i="33"/>
  <c r="F6" i="33"/>
  <c r="E6" i="33"/>
  <c r="D6" i="33"/>
  <c r="C6" i="33"/>
  <c r="B6" i="33"/>
  <c r="A6" i="33"/>
  <c r="I5" i="33"/>
  <c r="H5" i="33"/>
  <c r="G5" i="33"/>
  <c r="F5" i="33"/>
  <c r="E5" i="33"/>
  <c r="D5" i="33"/>
  <c r="C5" i="33"/>
  <c r="B5" i="33"/>
  <c r="A5" i="33"/>
  <c r="I4" i="33"/>
  <c r="H4" i="33"/>
  <c r="G4" i="33"/>
  <c r="F4" i="33"/>
  <c r="B40" i="33" s="1"/>
  <c r="E4" i="33"/>
  <c r="D4" i="33"/>
  <c r="C4" i="33"/>
  <c r="B4" i="33"/>
  <c r="A4" i="33"/>
  <c r="I3" i="33"/>
  <c r="H3" i="33"/>
  <c r="G3" i="33"/>
  <c r="F3" i="33"/>
  <c r="E3" i="33"/>
  <c r="D3" i="33"/>
  <c r="C3" i="33"/>
  <c r="B3" i="33"/>
  <c r="A3" i="33"/>
  <c r="C2" i="33"/>
  <c r="D2" i="33" s="1"/>
  <c r="E2" i="33" s="1"/>
  <c r="F2" i="33" s="1"/>
  <c r="G2" i="33" s="1"/>
  <c r="H2" i="33" s="1"/>
  <c r="I2" i="33" s="1"/>
  <c r="C23" i="32"/>
  <c r="C24" i="32"/>
  <c r="C25" i="32"/>
  <c r="C26" i="32"/>
  <c r="C27" i="32"/>
  <c r="C28" i="32"/>
  <c r="C22" i="32"/>
  <c r="D20" i="32"/>
  <c r="D21" i="32"/>
  <c r="D22" i="32"/>
  <c r="D23" i="32"/>
  <c r="D24" i="32"/>
  <c r="D25" i="32"/>
  <c r="D26" i="32"/>
  <c r="D27" i="32"/>
  <c r="D28" i="32"/>
  <c r="D19" i="32"/>
  <c r="C21" i="32"/>
  <c r="C20" i="32"/>
  <c r="C19" i="32"/>
  <c r="A21" i="32"/>
  <c r="A20" i="32"/>
  <c r="A19" i="32"/>
  <c r="C33" i="24"/>
  <c r="C29" i="24"/>
  <c r="E23" i="24"/>
  <c r="C25" i="24" s="1"/>
  <c r="E21" i="30"/>
  <c r="G21" i="30"/>
  <c r="B21" i="30" s="1"/>
  <c r="B25" i="30" s="1"/>
  <c r="B41" i="33" l="1"/>
  <c r="B44" i="33" s="1"/>
  <c r="B39" i="33"/>
  <c r="C21" i="30"/>
  <c r="C25" i="30" s="1"/>
  <c r="L8" i="34"/>
  <c r="L7" i="34" s="1"/>
  <c r="C23" i="31"/>
  <c r="B23" i="31"/>
  <c r="C15" i="31"/>
  <c r="B15" i="31"/>
  <c r="G16" i="31"/>
  <c r="C19" i="31"/>
  <c r="B19" i="31"/>
  <c r="C7" i="31"/>
  <c r="B7" i="31"/>
  <c r="A7" i="31"/>
  <c r="C6" i="31"/>
  <c r="B6" i="31"/>
  <c r="A6" i="31"/>
  <c r="C5" i="31"/>
  <c r="B5" i="31"/>
  <c r="B9" i="31" s="1"/>
  <c r="A5" i="31"/>
  <c r="C4" i="31"/>
  <c r="B4" i="31"/>
  <c r="A4" i="31"/>
  <c r="C3" i="31"/>
  <c r="B3" i="31"/>
  <c r="A3" i="31"/>
  <c r="C2" i="31"/>
  <c r="C9" i="31" s="1"/>
  <c r="B2" i="31"/>
  <c r="A2" i="31"/>
  <c r="C1" i="31"/>
  <c r="B1" i="31"/>
  <c r="C17" i="30"/>
  <c r="B17" i="30"/>
  <c r="B4" i="30"/>
  <c r="C4" i="30"/>
  <c r="A7" i="30"/>
  <c r="A6" i="30"/>
  <c r="C3" i="30"/>
  <c r="B3" i="30"/>
  <c r="A3" i="30"/>
  <c r="C2" i="30"/>
  <c r="B2" i="30"/>
  <c r="A2" i="30"/>
  <c r="C1" i="30"/>
  <c r="B1" i="30"/>
  <c r="B11" i="30" l="1"/>
  <c r="C11" i="30"/>
  <c r="C11" i="31"/>
  <c r="C13" i="31" s="1"/>
  <c r="C17" i="31" s="1"/>
  <c r="C21" i="31" s="1"/>
  <c r="B11" i="31"/>
  <c r="B13" i="31" s="1"/>
  <c r="B17" i="31" s="1"/>
  <c r="B21" i="31" s="1"/>
  <c r="I9" i="31"/>
  <c r="A34" i="31"/>
  <c r="A36" i="31" s="1"/>
  <c r="B9" i="30"/>
  <c r="B13" i="30" s="1"/>
  <c r="B15" i="30" s="1"/>
  <c r="C9" i="30"/>
  <c r="C13" i="30" s="1"/>
  <c r="C15" i="30" s="1"/>
  <c r="C12" i="26"/>
  <c r="B12" i="26"/>
  <c r="D9" i="26"/>
  <c r="C7" i="26"/>
  <c r="B7" i="26"/>
  <c r="F6" i="26"/>
  <c r="A6" i="26"/>
  <c r="A5" i="26"/>
  <c r="E24" i="25"/>
  <c r="E22" i="25"/>
  <c r="A22" i="25"/>
  <c r="E20" i="25"/>
  <c r="A20" i="25"/>
  <c r="A18" i="25"/>
  <c r="B2" i="25"/>
  <c r="C2" i="25"/>
  <c r="E2" i="25"/>
  <c r="I2" i="25"/>
  <c r="C8" i="25"/>
  <c r="B8" i="25"/>
  <c r="C10" i="25"/>
  <c r="B10" i="25"/>
  <c r="C1" i="25"/>
  <c r="B1" i="25"/>
  <c r="B3" i="26" s="1"/>
  <c r="A17" i="24"/>
  <c r="A18" i="24"/>
  <c r="A19" i="24"/>
  <c r="C27" i="24"/>
  <c r="C26" i="24"/>
  <c r="C34" i="24"/>
  <c r="C31" i="24"/>
  <c r="B42" i="24"/>
  <c r="C42" i="24" s="1"/>
  <c r="B12" i="24"/>
  <c r="B14" i="24" s="1"/>
  <c r="D14" i="24" s="1"/>
  <c r="C19" i="24" s="1"/>
  <c r="E5" i="24"/>
  <c r="D5" i="24"/>
  <c r="C5" i="24"/>
  <c r="B5" i="24"/>
  <c r="C19" i="30" l="1"/>
  <c r="B19" i="30"/>
  <c r="C25" i="31"/>
  <c r="C38" i="31"/>
  <c r="C40" i="31" s="1"/>
  <c r="C27" i="31"/>
  <c r="B38" i="31"/>
  <c r="B40" i="31" s="1"/>
  <c r="B27" i="31"/>
  <c r="B25" i="31"/>
  <c r="D8" i="26"/>
  <c r="C4" i="25"/>
  <c r="B4" i="25"/>
  <c r="E39" i="24"/>
  <c r="B19" i="24"/>
  <c r="B18" i="24"/>
  <c r="B11" i="24"/>
  <c r="C30" i="24"/>
  <c r="C35" i="24"/>
  <c r="D12" i="24"/>
  <c r="C18" i="24" s="1"/>
  <c r="H29" i="30" l="1"/>
  <c r="G40" i="31"/>
  <c r="F25" i="31"/>
  <c r="B6" i="25"/>
  <c r="C6" i="25"/>
  <c r="D11" i="24"/>
  <c r="C17" i="24" s="1"/>
  <c r="B17" i="24"/>
  <c r="C12" i="25" l="1"/>
  <c r="B12" i="25"/>
  <c r="F3" i="10"/>
  <c r="F4" i="10" s="1"/>
  <c r="F5" i="10" s="1"/>
  <c r="B14" i="25" l="1"/>
  <c r="C14" i="25"/>
  <c r="C6" i="10"/>
  <c r="D5" i="10" s="1"/>
  <c r="B2" i="10"/>
  <c r="B3" i="10"/>
  <c r="B4" i="10"/>
  <c r="B5" i="10"/>
  <c r="C11" i="22"/>
  <c r="C23" i="22"/>
  <c r="B23" i="22"/>
  <c r="C19" i="22"/>
  <c r="B19" i="22"/>
  <c r="C15" i="22"/>
  <c r="B15" i="22"/>
  <c r="C7" i="22"/>
  <c r="B7" i="22"/>
  <c r="A7" i="22"/>
  <c r="C6" i="22"/>
  <c r="B6" i="22"/>
  <c r="A6" i="22"/>
  <c r="C5" i="22"/>
  <c r="B5" i="22"/>
  <c r="A5" i="22"/>
  <c r="C4" i="22"/>
  <c r="B4" i="22"/>
  <c r="A4" i="22"/>
  <c r="C3" i="22"/>
  <c r="B3" i="22"/>
  <c r="A3" i="22"/>
  <c r="C2" i="22"/>
  <c r="C9" i="22" s="1"/>
  <c r="B2" i="22"/>
  <c r="B9" i="22" s="1"/>
  <c r="A2" i="22"/>
  <c r="C1" i="22"/>
  <c r="B1" i="22"/>
  <c r="D4" i="10" l="1"/>
  <c r="D3" i="10"/>
  <c r="D2" i="10"/>
  <c r="B6" i="10"/>
  <c r="C10" i="10" s="1"/>
  <c r="C11" i="10" s="1"/>
  <c r="C13" i="22"/>
  <c r="C17" i="22" s="1"/>
  <c r="C21" i="22" s="1"/>
  <c r="B13" i="22"/>
  <c r="B17" i="22" s="1"/>
  <c r="B21" i="22" s="1"/>
  <c r="I9" i="22"/>
  <c r="F33" i="9"/>
  <c r="F34" i="9"/>
  <c r="F35" i="9"/>
  <c r="F36" i="9"/>
  <c r="F37" i="9"/>
  <c r="F32" i="9"/>
  <c r="E33" i="9"/>
  <c r="E35" i="9"/>
  <c r="E37" i="9"/>
  <c r="B29" i="9"/>
  <c r="C29" i="9"/>
  <c r="D29" i="9"/>
  <c r="G29" i="9"/>
  <c r="H29" i="9"/>
  <c r="I29" i="9"/>
  <c r="A30" i="9"/>
  <c r="H30" i="9"/>
  <c r="A31" i="9"/>
  <c r="H31" i="9"/>
  <c r="A32" i="9"/>
  <c r="D32" i="9"/>
  <c r="E32" i="9" s="1"/>
  <c r="A33" i="9"/>
  <c r="D33" i="9"/>
  <c r="A34" i="9"/>
  <c r="D34" i="9"/>
  <c r="E34" i="9" s="1"/>
  <c r="A35" i="9"/>
  <c r="D35" i="9"/>
  <c r="A36" i="9"/>
  <c r="D36" i="9"/>
  <c r="E36" i="9" s="1"/>
  <c r="A37" i="9"/>
  <c r="D37" i="9"/>
  <c r="N6" i="10" l="1"/>
  <c r="O6" i="10"/>
  <c r="L3" i="10"/>
  <c r="N3" i="10"/>
  <c r="G2" i="10"/>
  <c r="M2" i="10"/>
  <c r="N2" i="10"/>
  <c r="I2" i="10"/>
  <c r="L4" i="10"/>
  <c r="B25" i="22"/>
  <c r="B27" i="22"/>
  <c r="C27" i="22"/>
  <c r="C25" i="22"/>
  <c r="D45" i="19"/>
  <c r="C45" i="19"/>
  <c r="B45" i="19"/>
  <c r="D1" i="19"/>
  <c r="D23" i="19"/>
  <c r="B23" i="19"/>
  <c r="D19" i="19"/>
  <c r="B19" i="19"/>
  <c r="D15" i="19"/>
  <c r="B15" i="19"/>
  <c r="D7" i="19"/>
  <c r="B7" i="19"/>
  <c r="A7" i="19"/>
  <c r="D6" i="19"/>
  <c r="B6" i="19"/>
  <c r="A6" i="19"/>
  <c r="D5" i="19"/>
  <c r="B5" i="19"/>
  <c r="A5" i="19"/>
  <c r="D4" i="19"/>
  <c r="B4" i="19"/>
  <c r="A4" i="19"/>
  <c r="D3" i="19"/>
  <c r="B3" i="19"/>
  <c r="A3" i="19"/>
  <c r="D2" i="19"/>
  <c r="D9" i="19" s="1"/>
  <c r="B2" i="19"/>
  <c r="A2" i="19"/>
  <c r="B1" i="19"/>
  <c r="I16" i="9"/>
  <c r="H16" i="9"/>
  <c r="G16" i="9"/>
  <c r="D16" i="9"/>
  <c r="A17" i="9"/>
  <c r="A18" i="9"/>
  <c r="A19" i="9"/>
  <c r="A20" i="9"/>
  <c r="A21" i="9"/>
  <c r="A22" i="9"/>
  <c r="A23" i="9"/>
  <c r="A24" i="9"/>
  <c r="K3" i="9"/>
  <c r="H18" i="9" s="1"/>
  <c r="K2" i="9"/>
  <c r="H17" i="9" s="1"/>
  <c r="J6" i="10" l="1"/>
  <c r="G6" i="10"/>
  <c r="L6" i="10"/>
  <c r="H6" i="10"/>
  <c r="M6" i="10"/>
  <c r="I6" i="10"/>
  <c r="L5" i="10"/>
  <c r="O5" i="10"/>
  <c r="N5" i="10"/>
  <c r="M5" i="10"/>
  <c r="M4" i="10"/>
  <c r="O4" i="10"/>
  <c r="L2" i="10"/>
  <c r="L7" i="10" s="1"/>
  <c r="B4" i="23" s="1"/>
  <c r="O2" i="10"/>
  <c r="N7" i="10"/>
  <c r="D4" i="23" s="1"/>
  <c r="N4" i="10"/>
  <c r="H2" i="10"/>
  <c r="J2" i="10"/>
  <c r="M3" i="10"/>
  <c r="M7" i="10" s="1"/>
  <c r="C4" i="23" s="1"/>
  <c r="O3" i="10"/>
  <c r="F25" i="22"/>
  <c r="B9" i="19"/>
  <c r="J9" i="19" s="1"/>
  <c r="D11" i="19"/>
  <c r="D13" i="19" s="1"/>
  <c r="D17" i="19" s="1"/>
  <c r="D21" i="19" s="1"/>
  <c r="O3" i="9"/>
  <c r="O2" i="9"/>
  <c r="N3" i="9"/>
  <c r="N2" i="9"/>
  <c r="O7" i="10" l="1"/>
  <c r="E4" i="23" s="1"/>
  <c r="I3" i="9"/>
  <c r="I18" i="9" s="1"/>
  <c r="B11" i="19"/>
  <c r="B13" i="19" s="1"/>
  <c r="B17" i="19" s="1"/>
  <c r="B21" i="19" s="1"/>
  <c r="B25" i="19" s="1"/>
  <c r="G25" i="19" s="1"/>
  <c r="D25" i="19"/>
  <c r="D27" i="19"/>
  <c r="I2" i="9"/>
  <c r="I17" i="9" s="1"/>
  <c r="K18" i="9" l="1"/>
  <c r="I31" i="9"/>
  <c r="K17" i="9"/>
  <c r="I30" i="9"/>
  <c r="B27" i="19"/>
  <c r="C19" i="7" l="1"/>
  <c r="B19" i="7"/>
  <c r="M4" i="1"/>
  <c r="M3" i="1"/>
  <c r="A34" i="22" l="1"/>
  <c r="A34" i="19"/>
  <c r="A36" i="19" l="1"/>
  <c r="B38" i="19"/>
  <c r="D38" i="19"/>
  <c r="D40" i="19" s="1"/>
  <c r="D46" i="19" s="1"/>
  <c r="A36" i="22"/>
  <c r="B38" i="22"/>
  <c r="C38" i="22"/>
  <c r="F9" i="15"/>
  <c r="G9" i="15"/>
  <c r="H9" i="15"/>
  <c r="A1" i="15"/>
  <c r="B1" i="15"/>
  <c r="C1" i="15"/>
  <c r="D1" i="15"/>
  <c r="E1" i="15"/>
  <c r="F1" i="15"/>
  <c r="G1" i="15"/>
  <c r="H1" i="15"/>
  <c r="A2" i="15"/>
  <c r="A3" i="15"/>
  <c r="A4" i="15"/>
  <c r="A5" i="15"/>
  <c r="A6" i="15"/>
  <c r="A7" i="15"/>
  <c r="D2" i="6"/>
  <c r="D2" i="15" s="1"/>
  <c r="B40" i="19" l="1"/>
  <c r="H40" i="19" s="1"/>
  <c r="C46" i="19" s="1"/>
  <c r="C40" i="22"/>
  <c r="B40" i="22"/>
  <c r="G40" i="22" s="1"/>
  <c r="D3" i="6"/>
  <c r="B46" i="19" l="1"/>
  <c r="D4" i="6"/>
  <c r="D3" i="15"/>
  <c r="H4" i="9"/>
  <c r="G19" i="9" s="1"/>
  <c r="G32" i="9" s="1"/>
  <c r="H3" i="9"/>
  <c r="G18" i="9" s="1"/>
  <c r="G31" i="9" s="1"/>
  <c r="H2" i="9"/>
  <c r="G17" i="9" s="1"/>
  <c r="G30" i="9" s="1"/>
  <c r="B3" i="6"/>
  <c r="B4" i="6"/>
  <c r="B5" i="6"/>
  <c r="B6" i="6"/>
  <c r="D8" i="9" s="1"/>
  <c r="B23" i="9" s="1"/>
  <c r="B36" i="9" s="1"/>
  <c r="B7" i="6"/>
  <c r="C2" i="6"/>
  <c r="B2" i="6"/>
  <c r="K3" i="1"/>
  <c r="K4" i="1"/>
  <c r="K2" i="1"/>
  <c r="B2" i="15" l="1"/>
  <c r="B5" i="15"/>
  <c r="C2" i="15"/>
  <c r="B7" i="15"/>
  <c r="B4" i="15"/>
  <c r="B3" i="15"/>
  <c r="B6" i="15"/>
  <c r="D9" i="9"/>
  <c r="B24" i="9" s="1"/>
  <c r="B37" i="9" s="1"/>
  <c r="D5" i="6"/>
  <c r="D4" i="15"/>
  <c r="D7" i="9"/>
  <c r="B22" i="9" s="1"/>
  <c r="B35" i="9" s="1"/>
  <c r="C3" i="6"/>
  <c r="D5" i="9"/>
  <c r="B20" i="9" s="1"/>
  <c r="B33" i="9" s="1"/>
  <c r="D6" i="9"/>
  <c r="B21" i="9" s="1"/>
  <c r="B34" i="9" s="1"/>
  <c r="J4" i="1"/>
  <c r="J3" i="1"/>
  <c r="C3" i="15" l="1"/>
  <c r="D6" i="6"/>
  <c r="D5" i="15"/>
  <c r="G5" i="9"/>
  <c r="C20" i="9" s="1"/>
  <c r="C33" i="9" s="1"/>
  <c r="C4" i="6"/>
  <c r="E3" i="10"/>
  <c r="J5" i="9"/>
  <c r="J6" i="9"/>
  <c r="J7" i="9"/>
  <c r="J8" i="9"/>
  <c r="J9" i="9"/>
  <c r="J4" i="9"/>
  <c r="E4" i="10" l="1"/>
  <c r="H3" i="10"/>
  <c r="G3" i="10"/>
  <c r="J3" i="10"/>
  <c r="I3" i="10"/>
  <c r="D24" i="9"/>
  <c r="E7" i="6"/>
  <c r="E2" i="6"/>
  <c r="F2" i="6" s="1"/>
  <c r="F2" i="15" s="1"/>
  <c r="D19" i="9"/>
  <c r="K19" i="9" s="1"/>
  <c r="D21" i="9"/>
  <c r="E4" i="6"/>
  <c r="E3" i="6"/>
  <c r="H3" i="6" s="1"/>
  <c r="H3" i="15" s="1"/>
  <c r="D20" i="9"/>
  <c r="D23" i="9"/>
  <c r="E6" i="6"/>
  <c r="H6" i="6" s="1"/>
  <c r="H6" i="15" s="1"/>
  <c r="D22" i="9"/>
  <c r="E5" i="6"/>
  <c r="G2" i="6"/>
  <c r="G2" i="15" s="1"/>
  <c r="D7" i="6"/>
  <c r="D6" i="15"/>
  <c r="C4" i="15"/>
  <c r="G4" i="6"/>
  <c r="G4" i="15" s="1"/>
  <c r="C5" i="6"/>
  <c r="G6" i="9"/>
  <c r="C21" i="9" s="1"/>
  <c r="C34" i="9" s="1"/>
  <c r="E5" i="10" l="1"/>
  <c r="I4" i="10"/>
  <c r="H4" i="10"/>
  <c r="G4" i="10"/>
  <c r="J4" i="10"/>
  <c r="F3" i="6"/>
  <c r="F3" i="15" s="1"/>
  <c r="H2" i="6"/>
  <c r="H2" i="15" s="1"/>
  <c r="E3" i="15"/>
  <c r="G3" i="6"/>
  <c r="G3" i="15" s="1"/>
  <c r="E2" i="15"/>
  <c r="E5" i="15"/>
  <c r="F5" i="6"/>
  <c r="F5" i="15" s="1"/>
  <c r="H5" i="6"/>
  <c r="H5" i="15" s="1"/>
  <c r="E6" i="15"/>
  <c r="F6" i="6"/>
  <c r="F6" i="15" s="1"/>
  <c r="E4" i="15"/>
  <c r="H4" i="6"/>
  <c r="H4" i="15" s="1"/>
  <c r="F4" i="6"/>
  <c r="F4" i="15" s="1"/>
  <c r="E7" i="15"/>
  <c r="F7" i="6"/>
  <c r="F7" i="15" s="1"/>
  <c r="F11" i="15" s="1"/>
  <c r="C5" i="15"/>
  <c r="G5" i="6"/>
  <c r="G5" i="15" s="1"/>
  <c r="D7" i="15"/>
  <c r="H7" i="6"/>
  <c r="H7" i="15" s="1"/>
  <c r="H11" i="15" s="1"/>
  <c r="C6" i="6"/>
  <c r="G7" i="9"/>
  <c r="C22" i="9" s="1"/>
  <c r="C35" i="9" s="1"/>
  <c r="C23" i="7"/>
  <c r="B23" i="7"/>
  <c r="C15" i="7"/>
  <c r="B15" i="7"/>
  <c r="B1" i="7"/>
  <c r="C1" i="7"/>
  <c r="A2" i="7"/>
  <c r="A3" i="7"/>
  <c r="A4" i="7"/>
  <c r="A5" i="7"/>
  <c r="A6" i="7"/>
  <c r="A7" i="7"/>
  <c r="D13" i="5"/>
  <c r="C12" i="5"/>
  <c r="B11" i="5"/>
  <c r="B12" i="4"/>
  <c r="D10" i="3"/>
  <c r="B16" i="3" s="1"/>
  <c r="I5" i="10" l="1"/>
  <c r="I7" i="10" s="1"/>
  <c r="D3" i="23" s="1"/>
  <c r="H5" i="10"/>
  <c r="H7" i="10" s="1"/>
  <c r="C3" i="23" s="1"/>
  <c r="G5" i="10"/>
  <c r="G7" i="10" s="1"/>
  <c r="B3" i="23" s="1"/>
  <c r="J5" i="10"/>
  <c r="J7" i="10" s="1"/>
  <c r="E3" i="23" s="1"/>
  <c r="C6" i="15"/>
  <c r="G6" i="6"/>
  <c r="G6" i="15" s="1"/>
  <c r="A34" i="7"/>
  <c r="C7" i="6"/>
  <c r="G8" i="9"/>
  <c r="C23" i="9" s="1"/>
  <c r="C36" i="9" s="1"/>
  <c r="B5" i="7"/>
  <c r="B2" i="7"/>
  <c r="B6" i="7"/>
  <c r="B3" i="7"/>
  <c r="B7" i="7"/>
  <c r="B4" i="7"/>
  <c r="C7" i="15" l="1"/>
  <c r="G7" i="6"/>
  <c r="G7" i="15" s="1"/>
  <c r="G11" i="15" s="1"/>
  <c r="A36" i="7"/>
  <c r="G9" i="9"/>
  <c r="C24" i="9" s="1"/>
  <c r="C37" i="9" s="1"/>
  <c r="B9" i="7"/>
  <c r="C2" i="7"/>
  <c r="B11" i="7" l="1"/>
  <c r="B13" i="7" s="1"/>
  <c r="B17" i="7" s="1"/>
  <c r="C3" i="7"/>
  <c r="B21" i="7" l="1"/>
  <c r="C4" i="7"/>
  <c r="B25" i="7" l="1"/>
  <c r="B27" i="7"/>
  <c r="B38" i="7"/>
  <c r="B40" i="7" s="1"/>
  <c r="C5" i="7"/>
  <c r="C7" i="7" l="1"/>
  <c r="C6" i="7"/>
  <c r="C9" i="7" s="1"/>
  <c r="C11" i="7" l="1"/>
  <c r="C13" i="7" s="1"/>
  <c r="C17" i="7" s="1"/>
  <c r="I9" i="7"/>
  <c r="C21" i="7" l="1"/>
  <c r="C25" i="7" l="1"/>
  <c r="F25" i="7" s="1"/>
  <c r="C27" i="7"/>
  <c r="C38" i="7"/>
  <c r="C40" i="7" s="1"/>
  <c r="G40" i="7" s="1"/>
</calcChain>
</file>

<file path=xl/sharedStrings.xml><?xml version="1.0" encoding="utf-8"?>
<sst xmlns="http://schemas.openxmlformats.org/spreadsheetml/2006/main" count="326" uniqueCount="227">
  <si>
    <t>Noncovered</t>
  </si>
  <si>
    <t>CA fuel suppliers</t>
  </si>
  <si>
    <t xml:space="preserve">CA imported electricity </t>
  </si>
  <si>
    <t>Quebec</t>
  </si>
  <si>
    <t>CA large emitters</t>
  </si>
  <si>
    <t>Que large emitters</t>
  </si>
  <si>
    <t>Que fuel suppliers</t>
  </si>
  <si>
    <t>In retirement accounts</t>
  </si>
  <si>
    <t>total</t>
  </si>
  <si>
    <t>Auction + Issuance + Allocation</t>
  </si>
  <si>
    <t>Future supply / still available</t>
  </si>
  <si>
    <t>+consignment</t>
  </si>
  <si>
    <t>Vintage</t>
  </si>
  <si>
    <t>General</t>
  </si>
  <si>
    <t>Compliance</t>
  </si>
  <si>
    <t>Retirement**</t>
  </si>
  <si>
    <t>Amount of retired allowances available to cover CP2 emissions</t>
  </si>
  <si>
    <t xml:space="preserve">total </t>
  </si>
  <si>
    <t>flat emissions</t>
  </si>
  <si>
    <t>CP1 allowances surrendered (Based on 2013-2014 compliance report)</t>
  </si>
  <si>
    <t>Total emissions</t>
  </si>
  <si>
    <t>This is demand after offsets taken into account</t>
  </si>
  <si>
    <t>Current allowance holdings</t>
  </si>
  <si>
    <t>Demand after figuring in 4% offsets</t>
  </si>
  <si>
    <t>Demand after accounting for current allowance holdings</t>
  </si>
  <si>
    <t>Future supply</t>
  </si>
  <si>
    <t xml:space="preserve">Fraction of future supply demanded </t>
  </si>
  <si>
    <t>absolute level of oversupply</t>
  </si>
  <si>
    <t>How broad is the spread in aggregate</t>
  </si>
  <si>
    <t>CA cap level</t>
  </si>
  <si>
    <t>Quebec cap level</t>
  </si>
  <si>
    <t>*assumes 1.5% annual inflation</t>
  </si>
  <si>
    <t>average</t>
  </si>
  <si>
    <t>CA narrow scope</t>
  </si>
  <si>
    <t xml:space="preserve">CA+QUE broad scope </t>
  </si>
  <si>
    <t>Flat emissions forecast</t>
  </si>
  <si>
    <t>offsets at 4% of emissions</t>
  </si>
  <si>
    <t>fraction free</t>
  </si>
  <si>
    <t>2% annual decline forecast</t>
  </si>
  <si>
    <t>emissions continued 1% decline</t>
  </si>
  <si>
    <t>emissions fall at 2% annually</t>
  </si>
  <si>
    <t>cap below current emissions trajectory</t>
  </si>
  <si>
    <t>cap level</t>
  </si>
  <si>
    <t>First year emissions below cap</t>
  </si>
  <si>
    <t>Delta in 2020</t>
  </si>
  <si>
    <t>NOW ACCOUNT FOR FREE ALLOCATION</t>
  </si>
  <si>
    <t>fraction of future supply free</t>
  </si>
  <si>
    <t>future supply to be auctioned</t>
  </si>
  <si>
    <t>demand after accounting for future free</t>
  </si>
  <si>
    <t>fraction needed of future auctions</t>
  </si>
  <si>
    <t>annual decline</t>
  </si>
  <si>
    <t>Allowances retired for use in second compliance period</t>
  </si>
  <si>
    <t>Demand after accounting for retired allowance in CP2</t>
  </si>
  <si>
    <t>midpoint</t>
  </si>
  <si>
    <t>https://icapcarbonaction.com/en/?option=com_etsmap&amp;task=export&amp;format=pdf&amp;layout=list&amp;systems%5B%5D=73</t>
  </si>
  <si>
    <t>Quebec cap levels found here</t>
  </si>
  <si>
    <t>Flat emissions</t>
  </si>
  <si>
    <t>2% annual decline</t>
  </si>
  <si>
    <t>CA Total</t>
  </si>
  <si>
    <t>notes:  Qubec does not track imported electicity.  It seems that this is because there is so much hydro for import that is is not necessary to worry about imported electricity?</t>
  </si>
  <si>
    <t>Narrow emissions</t>
  </si>
  <si>
    <t>Broad emissions</t>
  </si>
  <si>
    <t>Quebec narrow emissions</t>
  </si>
  <si>
    <t>CA narrow emissions</t>
  </si>
  <si>
    <t>CA narrow cap</t>
  </si>
  <si>
    <t>Quebec narrow cap</t>
  </si>
  <si>
    <t>Broad cap</t>
  </si>
  <si>
    <t>Narrow cap</t>
  </si>
  <si>
    <t>Reorganize for graphing</t>
  </si>
  <si>
    <t>Delta between cap and emissions</t>
  </si>
  <si>
    <t>Emission trajectory</t>
  </si>
  <si>
    <t>Flat emissions - 0% annual decline</t>
  </si>
  <si>
    <t>1% annual decline</t>
  </si>
  <si>
    <t>% of allowances yet to be distributed that would be needed for compliance through 2020</t>
  </si>
  <si>
    <t>High demand scenario</t>
  </si>
  <si>
    <t>Current trend scenario</t>
  </si>
  <si>
    <t>Low demand scenario</t>
  </si>
  <si>
    <t>Under assumption of 35% free allocation, % of allowances slated for auction needed for compliance through 2020 (i.e.  minimum expected level of auction sales)</t>
  </si>
  <si>
    <t>Cap +4% offsets</t>
  </si>
  <si>
    <t>Cap +8% offsets</t>
  </si>
  <si>
    <t>original spread</t>
  </si>
  <si>
    <t>OFFSETS SENSITIVITY</t>
  </si>
  <si>
    <t>compare strongest and weakest demand</t>
  </si>
  <si>
    <t>implies flat emissions with zero offsets and 2% decline with 8% offsets</t>
  </si>
  <si>
    <t>Demand after figuring in offsets</t>
  </si>
  <si>
    <t>0% scenario</t>
  </si>
  <si>
    <t>8% scenario</t>
  </si>
  <si>
    <t>price floor</t>
  </si>
  <si>
    <t>linked program broad scope cap</t>
  </si>
  <si>
    <t>Total</t>
  </si>
  <si>
    <t>Fraction of 2017-2020 in this year</t>
  </si>
  <si>
    <t>note this is needed to scale down future supply (i.e. 1390 MMT) from compliance instrument report, which in terms allows imputatin of annual auctioning</t>
  </si>
  <si>
    <t>Revenue with no free allocation</t>
  </si>
  <si>
    <t>CA fraction of cap levels</t>
  </si>
  <si>
    <t>Ca fraction of future supply on compliance instrument report</t>
  </si>
  <si>
    <t>at higher price</t>
  </si>
  <si>
    <t>With no free allocation</t>
  </si>
  <si>
    <t>At higher price floor ($20 in 2017 to $24.16 in 2020)</t>
  </si>
  <si>
    <t>At current price floor ($13.54 in 2017 to estimated $16.36 in 2020)</t>
  </si>
  <si>
    <t>Revenue with 15% free allocation</t>
  </si>
  <si>
    <t>with $3 increase in price floor from 2017 to 2020</t>
  </si>
  <si>
    <t>with 15%</t>
  </si>
  <si>
    <t>Q4</t>
  </si>
  <si>
    <t>Q3 /Aug</t>
  </si>
  <si>
    <t>Q2</t>
  </si>
  <si>
    <t>Q1</t>
  </si>
  <si>
    <t>current sales</t>
  </si>
  <si>
    <t>ARB</t>
  </si>
  <si>
    <t>consigned</t>
  </si>
  <si>
    <t>advance sales</t>
  </si>
  <si>
    <t>ARB component</t>
  </si>
  <si>
    <t>Nov sales check</t>
  </si>
  <si>
    <t>slight unexplained difference</t>
  </si>
  <si>
    <t>some sort of fees or something? Operating expenses?</t>
  </si>
  <si>
    <t>current</t>
  </si>
  <si>
    <t>Value at $12.73</t>
  </si>
  <si>
    <t>Value at $20</t>
  </si>
  <si>
    <t>2016 cap level in California</t>
  </si>
  <si>
    <t>Tons at 73% auctioned</t>
  </si>
  <si>
    <t>At 100% auction</t>
  </si>
  <si>
    <t>At 85% auctioned (~15% for trade exposed currently)</t>
  </si>
  <si>
    <t>Hyptothetical 2016 results with annual compliance</t>
  </si>
  <si>
    <t>https://www.arb.ca.gov/cc/capandtrade/auction/nov-2016/ca_proceeds_report.pdf</t>
  </si>
  <si>
    <t>Some small variations with CARB's final tallies.</t>
  </si>
  <si>
    <t>percentage off</t>
  </si>
  <si>
    <t>Current allowances sales</t>
  </si>
  <si>
    <t>2016 advance saales</t>
  </si>
  <si>
    <t>100% auction</t>
  </si>
  <si>
    <t>85% auction</t>
  </si>
  <si>
    <t>73% auction</t>
  </si>
  <si>
    <t>$4.7 billion</t>
  </si>
  <si>
    <t>$4.0 billion</t>
  </si>
  <si>
    <t>$3.4 billion</t>
  </si>
  <si>
    <t>$7.3 billion</t>
  </si>
  <si>
    <t>$6.2 billion</t>
  </si>
  <si>
    <t>$5.4 billion</t>
  </si>
  <si>
    <t>Total emissions 2015-2020</t>
  </si>
  <si>
    <t>Reorganization below</t>
  </si>
  <si>
    <t>adjusted for 2017 Q1</t>
  </si>
  <si>
    <t>Government held allowances for distribution</t>
  </si>
  <si>
    <t>Remaining demand</t>
  </si>
  <si>
    <t>Offsets at 4%</t>
  </si>
  <si>
    <t>Covered so far (retired, held, and offsets)</t>
  </si>
  <si>
    <t>Emissions fall at 2% annually</t>
  </si>
  <si>
    <t>oversupply</t>
  </si>
  <si>
    <t>Cumulative supply</t>
  </si>
  <si>
    <t>end 2017</t>
  </si>
  <si>
    <t>Total emissions 2nd compliance period</t>
  </si>
  <si>
    <t>Emission to end of Q1 2017</t>
  </si>
  <si>
    <t>Current allowance holdings through Q1</t>
  </si>
  <si>
    <t>(estimated based on auction results)</t>
  </si>
  <si>
    <t xml:space="preserve">Q1 auction results </t>
  </si>
  <si>
    <t>Demand after figuring in retired allowances for CP2</t>
  </si>
  <si>
    <t xml:space="preserve">Needed for CP2 compliance </t>
  </si>
  <si>
    <t>Tons (MMT)</t>
  </si>
  <si>
    <t>2016 Q2</t>
  </si>
  <si>
    <t>2016 Q3</t>
  </si>
  <si>
    <t>2015 Q3</t>
  </si>
  <si>
    <t>2015 Q2</t>
  </si>
  <si>
    <t>2015 Q4</t>
  </si>
  <si>
    <t xml:space="preserve">2015 Q1 </t>
  </si>
  <si>
    <t>2014 Q4</t>
  </si>
  <si>
    <t>2016 Q4</t>
  </si>
  <si>
    <t xml:space="preserve">2016 Q1 </t>
  </si>
  <si>
    <t>2017 Q1</t>
  </si>
  <si>
    <t>Current auction: bid ratio</t>
  </si>
  <si>
    <t>Advance auction: bid ratio</t>
  </si>
  <si>
    <t>Current auction: volume sold</t>
  </si>
  <si>
    <t>Advance auction: volume sold</t>
  </si>
  <si>
    <t>actual 2015 in CA MRR under cap</t>
  </si>
  <si>
    <t>1% reduction from 2015 in 2016 would mean</t>
  </si>
  <si>
    <t>after 4% offset reduction</t>
  </si>
  <si>
    <t>at current trend</t>
  </si>
  <si>
    <t>Need to adjust for 6.44 allowances sold at Q1 2017 auction</t>
  </si>
  <si>
    <t>GGRF</t>
  </si>
  <si>
    <t>total allowances</t>
  </si>
  <si>
    <t>GGRF sum</t>
  </si>
  <si>
    <t>GGRF fraction</t>
  </si>
  <si>
    <t xml:space="preserve">Future supply: Quebec + California </t>
  </si>
  <si>
    <t>Fraction needed at 82% use (middle demand scenario)</t>
  </si>
  <si>
    <t>Above column reflects cap levels in regulation</t>
  </si>
  <si>
    <t>1% decline demand across years</t>
  </si>
  <si>
    <r>
      <t>Table 2: Estimate of State-Owned Allowances by Budget Year</t>
    </r>
    <r>
      <rPr>
        <b/>
        <strike/>
        <vertAlign val="super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(million metric tons)</t>
    </r>
  </si>
  <si>
    <t>ALLOWANCES</t>
  </si>
  <si>
    <t xml:space="preserve">Advance Auction </t>
  </si>
  <si>
    <r>
      <rPr>
        <b/>
        <i/>
        <sz val="10"/>
        <color theme="1"/>
        <rFont val="Calibri"/>
        <family val="2"/>
        <scheme val="minor"/>
      </rPr>
      <t>Free Allocation</t>
    </r>
    <r>
      <rPr>
        <b/>
        <sz val="10"/>
        <color theme="1"/>
        <rFont val="Calibri"/>
        <family val="2"/>
        <scheme val="minor"/>
      </rPr>
      <t xml:space="preserve">
   Publicly Owned               
   Utility Allocation </t>
    </r>
  </si>
  <si>
    <t>Investor-Owned Utility Allocation</t>
  </si>
  <si>
    <t>Public Wholesale Water Allocation</t>
  </si>
  <si>
    <t>Industrial Allocation</t>
  </si>
  <si>
    <t>"But for" Combined Heat and Power Allocation</t>
  </si>
  <si>
    <t>University/Public Service Facility Allocation</t>
  </si>
  <si>
    <t>Legacy Contract Allocation</t>
  </si>
  <si>
    <t>Natural Gas Supplier Allocation</t>
  </si>
  <si>
    <t>Waste-to-Energy Allocation</t>
  </si>
  <si>
    <r>
      <t>TOTAL CURRENT ESTIMATED AVAILABLE STATE-OWNED ALLOWANCES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</si>
  <si>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electric</t>
  </si>
  <si>
    <t>natural gas</t>
  </si>
  <si>
    <t>industry</t>
  </si>
  <si>
    <t>Totals</t>
  </si>
  <si>
    <t>fraction</t>
  </si>
  <si>
    <t>remainder</t>
  </si>
  <si>
    <t>Revenue with 46% auction</t>
  </si>
  <si>
    <t>Revenue with 28% free allocation</t>
  </si>
  <si>
    <t>with 28%</t>
  </si>
  <si>
    <t>54 free</t>
  </si>
  <si>
    <t>Fraction needed at low and high demand</t>
  </si>
  <si>
    <t>low</t>
  </si>
  <si>
    <t>high</t>
  </si>
  <si>
    <t>Current trend -middle scenario</t>
  </si>
  <si>
    <t>High demand</t>
  </si>
  <si>
    <t>Subtract 2018-2019-2020 vintage</t>
  </si>
  <si>
    <t>Allowance holdings for current compliance period</t>
  </si>
  <si>
    <t>% compliance current</t>
  </si>
  <si>
    <t>% compliance advance</t>
  </si>
  <si>
    <t>total bought by compliance entities</t>
  </si>
  <si>
    <t xml:space="preserve">fraction bought by compliance entities </t>
  </si>
  <si>
    <t xml:space="preserve">current # bought by compliance </t>
  </si>
  <si>
    <t xml:space="preserve">advance # bought by compliance </t>
  </si>
  <si>
    <t>fraction bought by third parties</t>
  </si>
  <si>
    <t>2018-2019-2020 vintage</t>
  </si>
  <si>
    <t xml:space="preserve">Account for number held by third part investors </t>
  </si>
  <si>
    <t xml:space="preserve">We are actively seeking feedback on our methodology, findings, and recommendations.  </t>
  </si>
  <si>
    <t xml:space="preserve">This spreadsheet include the assumptions, data, and calculations underlying the analysis described in our report RECALIBRATING CALIFORNIA’S CAP-AND-TRADE PROGRAM TO ACCOUNT FOR OVERSUPPLY 
</t>
  </si>
  <si>
    <t xml:space="preserve">Until that time, feel free to contact the author so that he can walk through the components.  </t>
  </si>
  <si>
    <t>Email:  chrisb@energyinnovation.org</t>
  </si>
  <si>
    <t>Phone: 415.799.2164</t>
  </si>
  <si>
    <t>We intend to improve the accessiblity of this spreadsheet through an overview that describes each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</si>
</sst>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_(* #,##0.000_);_(* \(#,##0.000\);_(* &quot;-&quot;??_);_(@_)"/>
    <numFmt numFmtId="168" formatCode="0.000000"/>
    <numFmt numFmtId="169" formatCode="#,##0.00000"/>
    <numFmt numFmtId="170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trike/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2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1" applyFont="1"/>
    <xf numFmtId="3" fontId="2" fillId="0" borderId="1" xfId="0" applyNumberFormat="1" applyFont="1" applyBorder="1"/>
    <xf numFmtId="49" fontId="0" fillId="0" borderId="0" xfId="0" applyNumberFormat="1"/>
    <xf numFmtId="0" fontId="3" fillId="3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4" borderId="0" xfId="0" applyFill="1"/>
    <xf numFmtId="1" fontId="0" fillId="0" borderId="0" xfId="0" applyNumberFormat="1"/>
    <xf numFmtId="164" fontId="0" fillId="0" borderId="0" xfId="1" applyNumberFormat="1" applyFont="1" applyAlignment="1">
      <alignment horizontal="left"/>
    </xf>
    <xf numFmtId="3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9" fontId="0" fillId="0" borderId="0" xfId="3" applyFont="1" applyAlignment="1">
      <alignment horizontal="center"/>
    </xf>
    <xf numFmtId="9" fontId="0" fillId="0" borderId="0" xfId="3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5" borderId="0" xfId="0" applyFill="1"/>
    <xf numFmtId="0" fontId="0" fillId="6" borderId="0" xfId="0" applyFill="1"/>
    <xf numFmtId="44" fontId="0" fillId="0" borderId="0" xfId="4" applyFont="1"/>
    <xf numFmtId="44" fontId="0" fillId="0" borderId="0" xfId="0" applyNumberFormat="1"/>
    <xf numFmtId="2" fontId="0" fillId="0" borderId="0" xfId="4" applyNumberFormat="1" applyFont="1"/>
    <xf numFmtId="0" fontId="0" fillId="0" borderId="0" xfId="0" applyAlignment="1">
      <alignment vertical="center"/>
    </xf>
    <xf numFmtId="0" fontId="4" fillId="0" borderId="0" xfId="0" applyFont="1"/>
    <xf numFmtId="8" fontId="0" fillId="0" borderId="0" xfId="0" applyNumberFormat="1"/>
    <xf numFmtId="165" fontId="0" fillId="0" borderId="0" xfId="0" applyNumberFormat="1"/>
    <xf numFmtId="166" fontId="0" fillId="0" borderId="0" xfId="3" applyNumberFormat="1" applyFont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right"/>
    </xf>
    <xf numFmtId="167" fontId="0" fillId="0" borderId="0" xfId="0" applyNumberFormat="1"/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0" borderId="0" xfId="0"/>
    <xf numFmtId="2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 indent="1"/>
    </xf>
    <xf numFmtId="2" fontId="8" fillId="0" borderId="7" xfId="1" applyNumberFormat="1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7" xfId="1" applyNumberFormat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7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top" wrapText="1"/>
    </xf>
    <xf numFmtId="1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 indent="2"/>
    </xf>
    <xf numFmtId="2" fontId="9" fillId="0" borderId="12" xfId="1" applyNumberFormat="1" applyFont="1" applyBorder="1" applyAlignment="1">
      <alignment horizontal="center" vertical="center"/>
    </xf>
    <xf numFmtId="2" fontId="9" fillId="0" borderId="13" xfId="1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8" fontId="0" fillId="0" borderId="0" xfId="0" applyNumberFormat="1"/>
    <xf numFmtId="2" fontId="0" fillId="5" borderId="0" xfId="0" applyNumberFormat="1" applyFill="1"/>
    <xf numFmtId="164" fontId="0" fillId="0" borderId="0" xfId="1" applyNumberFormat="1" applyFont="1" applyAlignment="1">
      <alignment vertical="center"/>
    </xf>
    <xf numFmtId="4" fontId="0" fillId="0" borderId="0" xfId="0" applyNumberFormat="1"/>
    <xf numFmtId="10" fontId="0" fillId="0" borderId="0" xfId="0" applyNumberFormat="1"/>
    <xf numFmtId="9" fontId="0" fillId="0" borderId="0" xfId="3" applyFont="1"/>
    <xf numFmtId="169" fontId="0" fillId="0" borderId="0" xfId="0" applyNumberFormat="1"/>
    <xf numFmtId="170" fontId="0" fillId="9" borderId="0" xfId="0" applyNumberFormat="1" applyFill="1"/>
    <xf numFmtId="9" fontId="0" fillId="0" borderId="0" xfId="0" applyNumberFormat="1"/>
    <xf numFmtId="0" fontId="13" fillId="0" borderId="0" xfId="0" applyFont="1" applyAlignment="1">
      <alignment vertical="center"/>
    </xf>
    <xf numFmtId="0" fontId="6" fillId="7" borderId="3" xfId="0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5">
    <cellStyle name="Comma" xfId="1" builtinId="3"/>
    <cellStyle name="Currency" xfId="4" builtinId="4"/>
    <cellStyle name="Normal" xfId="0" builtinId="0"/>
    <cellStyle name="Normal 10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3.xml"/><Relationship Id="rId26" Type="http://schemas.openxmlformats.org/officeDocument/2006/relationships/worksheet" Target="worksheets/sheet21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4.xml"/><Relationship Id="rId17" Type="http://schemas.openxmlformats.org/officeDocument/2006/relationships/chartsheet" Target="chartsheets/sheet5.xml"/><Relationship Id="rId25" Type="http://schemas.openxmlformats.org/officeDocument/2006/relationships/worksheet" Target="worksheets/sheet2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24" Type="http://schemas.openxmlformats.org/officeDocument/2006/relationships/worksheet" Target="worksheets/sheet19.xml"/><Relationship Id="rId32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8.xml"/><Relationship Id="rId28" Type="http://schemas.openxmlformats.org/officeDocument/2006/relationships/externalLink" Target="externalLinks/externalLink1.xml"/><Relationship Id="rId10" Type="http://schemas.openxmlformats.org/officeDocument/2006/relationships/chartsheet" Target="chartsheets/sheet2.xml"/><Relationship Id="rId19" Type="http://schemas.openxmlformats.org/officeDocument/2006/relationships/worksheet" Target="worksheets/sheet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7.xml"/><Relationship Id="rId27" Type="http://schemas.openxmlformats.org/officeDocument/2006/relationships/worksheet" Target="worksheets/sheet22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cap="all" baseline="0">
                <a:latin typeface="Century Gothic" panose="020B0502020202020204" pitchFamily="34" charset="0"/>
              </a:defRPr>
            </a:pPr>
            <a:r>
              <a:rPr lang="en-US" sz="1800" cap="all" baseline="0">
                <a:latin typeface="Century Gothic" panose="020B0502020202020204" pitchFamily="34" charset="0"/>
              </a:rPr>
              <a:t>Cumulative supply to 2020 above remaining demand by 190-300 MMT</a:t>
            </a:r>
          </a:p>
        </c:rich>
      </c:tx>
      <c:layout>
        <c:manualLayout>
          <c:xMode val="edge"/>
          <c:yMode val="edge"/>
          <c:x val="0.11545344992218429"/>
          <c:y val="2.42429374375346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3515926882174"/>
          <c:y val="0.14119087907477221"/>
          <c:w val="0.55705442072465872"/>
          <c:h val="0.75298344123982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'synthesis graph'!$A$4</c:f>
              <c:strCache>
                <c:ptCount val="1"/>
                <c:pt idx="0">
                  <c:v>Offsets at 4%</c:v>
                </c:pt>
              </c:strCache>
            </c:strRef>
          </c:tx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graph'!$B$4:$D$4</c:f>
              <c:numCache>
                <c:formatCode>General</c:formatCode>
                <c:ptCount val="3"/>
                <c:pt idx="0">
                  <c:v>95.522958000000003</c:v>
                </c:pt>
                <c:pt idx="1">
                  <c:v>90.872278817567704</c:v>
                </c:pt>
              </c:numCache>
            </c:numRef>
          </c:val>
        </c:ser>
        <c:ser>
          <c:idx val="1"/>
          <c:order val="1"/>
          <c:tx>
            <c:strRef>
              <c:f>'synthesis graph'!$A$5</c:f>
              <c:strCache>
                <c:ptCount val="1"/>
                <c:pt idx="0">
                  <c:v>Allowances retired for use in second compliance period</c:v>
                </c:pt>
              </c:strCache>
            </c:strRef>
          </c:tx>
          <c:spPr>
            <a:pattFill prst="dkVert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graph'!$B$5:$D$5</c:f>
              <c:numCache>
                <c:formatCode>General</c:formatCode>
                <c:ptCount val="3"/>
                <c:pt idx="0">
                  <c:v>128.82007200000001</c:v>
                </c:pt>
                <c:pt idx="1">
                  <c:v>128.82007200000001</c:v>
                </c:pt>
              </c:numCache>
            </c:numRef>
          </c:val>
        </c:ser>
        <c:ser>
          <c:idx val="2"/>
          <c:order val="2"/>
          <c:tx>
            <c:strRef>
              <c:f>'synthesis graph'!$A$6</c:f>
              <c:strCache>
                <c:ptCount val="1"/>
                <c:pt idx="0">
                  <c:v>Current allowance holdings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graph'!$B$6:$D$6</c:f>
              <c:numCache>
                <c:formatCode>_(* #,##0.00_);_(* \(#,##0.00\);_(* "-"??_);_(@_)</c:formatCode>
                <c:ptCount val="3"/>
                <c:pt idx="0">
                  <c:v>922.34696982639446</c:v>
                </c:pt>
                <c:pt idx="1">
                  <c:v>922.34696982639446</c:v>
                </c:pt>
              </c:numCache>
            </c:numRef>
          </c:val>
        </c:ser>
        <c:ser>
          <c:idx val="3"/>
          <c:order val="3"/>
          <c:tx>
            <c:strRef>
              <c:f>'synthesis graph'!$A$7</c:f>
              <c:strCache>
                <c:ptCount val="1"/>
                <c:pt idx="0">
                  <c:v>Remaining demand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graph'!$B$7:$D$7</c:f>
              <c:numCache>
                <c:formatCode>General</c:formatCode>
                <c:ptCount val="3"/>
                <c:pt idx="0">
                  <c:v>1254.265427</c:v>
                </c:pt>
                <c:pt idx="1">
                  <c:v>1142.6491266216249</c:v>
                </c:pt>
              </c:numCache>
            </c:numRef>
          </c:val>
        </c:ser>
        <c:ser>
          <c:idx val="4"/>
          <c:order val="4"/>
          <c:tx>
            <c:strRef>
              <c:f>'synthesis graph'!$A$8</c:f>
              <c:strCache>
                <c:ptCount val="1"/>
                <c:pt idx="0">
                  <c:v>Covered so far (retired, held, and offsets)</c:v>
                </c:pt>
              </c:strCache>
            </c:strRef>
          </c:tx>
          <c:spPr>
            <a:pattFill prst="lt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graph'!$B$8:$D$8</c:f>
              <c:numCache>
                <c:formatCode>General</c:formatCode>
                <c:ptCount val="3"/>
                <c:pt idx="2" formatCode="_(* #,##0.00_);_(* \(#,##0.00\);_(* &quot;-&quot;??_);_(@_)">
                  <c:v>1146.6899998263946</c:v>
                </c:pt>
              </c:numCache>
            </c:numRef>
          </c:val>
        </c:ser>
        <c:ser>
          <c:idx val="5"/>
          <c:order val="5"/>
          <c:tx>
            <c:strRef>
              <c:f>'synthesis graph'!$A$9</c:f>
              <c:strCache>
                <c:ptCount val="1"/>
                <c:pt idx="0">
                  <c:v>Government held allowances for distribution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'synthesis graph'!$B$3:$D$3</c:f>
              <c:strCache>
                <c:ptCount val="3"/>
                <c:pt idx="0">
                  <c:v>High demand scenario</c:v>
                </c:pt>
                <c:pt idx="1">
                  <c:v>2% annual decline</c:v>
                </c:pt>
                <c:pt idx="2">
                  <c:v>Cumulative supply</c:v>
                </c:pt>
              </c:strCache>
            </c:strRef>
          </c:cat>
          <c:val>
            <c:numRef>
              <c:f>'synthesis graph'!$B$9:$D$9</c:f>
              <c:numCache>
                <c:formatCode>General</c:formatCode>
                <c:ptCount val="3"/>
                <c:pt idx="2" formatCode="_(* #,##0.00_);_(* \(#,##0.00\);_(* &quot;-&quot;??_);_(@_)">
                  <c:v>1443.4776731736056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72576"/>
        <c:axId val="194482560"/>
      </c:barChart>
      <c:catAx>
        <c:axId val="194472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50">
                <a:latin typeface="Century Gothic" panose="020B0502020202020204" pitchFamily="34" charset="0"/>
              </a:defRPr>
            </a:pPr>
            <a:endParaRPr lang="en-US"/>
          </a:p>
        </c:txPr>
        <c:crossAx val="194482560"/>
        <c:crosses val="autoZero"/>
        <c:auto val="1"/>
        <c:lblAlgn val="ctr"/>
        <c:lblOffset val="100"/>
        <c:noMultiLvlLbl val="0"/>
      </c:catAx>
      <c:valAx>
        <c:axId val="19448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Million Metric Tons of Carbon Dioxide</a:t>
                </a:r>
              </a:p>
            </c:rich>
          </c:tx>
          <c:layout>
            <c:manualLayout>
              <c:xMode val="edge"/>
              <c:yMode val="edge"/>
              <c:x val="8.579849691198977E-3"/>
              <c:y val="0.269175293387410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447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40239631115351"/>
          <c:y val="0.31190852067037006"/>
          <c:w val="0.30979982157215069"/>
          <c:h val="0.54772528939185416"/>
        </c:manualLayout>
      </c:layout>
      <c:overlay val="0"/>
      <c:txPr>
        <a:bodyPr/>
        <a:lstStyle/>
        <a:p>
          <a:pPr>
            <a:defRPr sz="14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Century Gothic" panose="020B0502020202020204" pitchFamily="34" charset="0"/>
              </a:defRPr>
            </a:pPr>
            <a:r>
              <a:rPr lang="en-US" sz="1800">
                <a:latin typeface="Century Gothic" panose="020B0502020202020204" pitchFamily="34" charset="0"/>
              </a:rPr>
              <a:t>HIGH AND LOW</a:t>
            </a:r>
            <a:r>
              <a:rPr lang="en-US" sz="1800" baseline="0">
                <a:latin typeface="Century Gothic" panose="020B0502020202020204" pitchFamily="34" charset="0"/>
              </a:rPr>
              <a:t> DEMAND SCENARIOS, COMPARED TO FUTURE CAP LEVELS</a:t>
            </a:r>
            <a:endParaRPr lang="en-US" sz="1800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2145064771739025"/>
          <c:y val="1.21060836088711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98012764528668"/>
          <c:y val="0.12900541373891147"/>
          <c:w val="0.63442173574457039"/>
          <c:h val="0.79425869779211722"/>
        </c:manualLayout>
      </c:layout>
      <c:lineChart>
        <c:grouping val="standard"/>
        <c:varyColors val="0"/>
        <c:ser>
          <c:idx val="0"/>
          <c:order val="0"/>
          <c:tx>
            <c:strRef>
              <c:f>'MRR data with caps for graph'!$B$16</c:f>
              <c:strCache>
                <c:ptCount val="1"/>
                <c:pt idx="0">
                  <c:v>Flat emissions forecast</c:v>
                </c:pt>
              </c:strCache>
            </c:strRef>
          </c:tx>
          <c:spPr>
            <a:ln w="31750">
              <a:solidFill>
                <a:schemeClr val="accent6"/>
              </a:solidFill>
              <a:prstDash val="sysDash"/>
            </a:ln>
          </c:spPr>
          <c:marker>
            <c:symbol val="triangle"/>
            <c:size val="7"/>
            <c:spPr>
              <a:noFill/>
              <a:ln w="25400">
                <a:solidFill>
                  <a:schemeClr val="accent6"/>
                </a:solidFill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graph'!$B$17:$B$24</c:f>
              <c:numCache>
                <c:formatCode>General</c:formatCode>
                <c:ptCount val="8"/>
                <c:pt idx="3">
                  <c:v>398.01232499999998</c:v>
                </c:pt>
                <c:pt idx="4">
                  <c:v>398.01232499999998</c:v>
                </c:pt>
                <c:pt idx="5">
                  <c:v>398.01232499999998</c:v>
                </c:pt>
                <c:pt idx="6">
                  <c:v>398.01232499999998</c:v>
                </c:pt>
                <c:pt idx="7">
                  <c:v>398.01232499999998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'MRR data with caps for graph'!$C$16</c:f>
              <c:strCache>
                <c:ptCount val="1"/>
                <c:pt idx="0">
                  <c:v>2% annual decline forecast</c:v>
                </c:pt>
              </c:strCache>
            </c:strRef>
          </c:tx>
          <c:spPr>
            <a:ln w="31750">
              <a:solidFill>
                <a:schemeClr val="accent6"/>
              </a:solidFill>
              <a:prstDash val="sysDash"/>
            </a:ln>
          </c:spPr>
          <c:marker>
            <c:symbol val="square"/>
            <c:size val="7"/>
            <c:spPr>
              <a:noFill/>
              <a:ln w="25400">
                <a:solidFill>
                  <a:schemeClr val="accent6"/>
                </a:solidFill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graph'!$C$17:$C$24</c:f>
              <c:numCache>
                <c:formatCode>General</c:formatCode>
                <c:ptCount val="8"/>
                <c:pt idx="3">
                  <c:v>390.05207849999999</c:v>
                </c:pt>
                <c:pt idx="4">
                  <c:v>382.25103693</c:v>
                </c:pt>
                <c:pt idx="5">
                  <c:v>374.60601619139999</c:v>
                </c:pt>
                <c:pt idx="6">
                  <c:v>367.11389586757201</c:v>
                </c:pt>
                <c:pt idx="7">
                  <c:v>359.77161795022056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'MRR data with caps for graph'!$D$16</c:f>
              <c:strCache>
                <c:ptCount val="1"/>
                <c:pt idx="0">
                  <c:v>Broad cap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graph'!$D$17:$D$24</c:f>
              <c:numCache>
                <c:formatCode>General</c:formatCode>
                <c:ptCount val="8"/>
                <c:pt idx="2">
                  <c:v>444.02000000000004</c:v>
                </c:pt>
                <c:pt idx="3">
                  <c:v>430.29399999999998</c:v>
                </c:pt>
                <c:pt idx="4">
                  <c:v>416.66399999999999</c:v>
                </c:pt>
                <c:pt idx="5">
                  <c:v>392.17899999999997</c:v>
                </c:pt>
                <c:pt idx="6">
                  <c:v>378.90900000000005</c:v>
                </c:pt>
                <c:pt idx="7">
                  <c:v>365.54599999999999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'MRR data with caps for graph'!$G$16</c:f>
              <c:strCache>
                <c:ptCount val="1"/>
                <c:pt idx="0">
                  <c:v>Broad emissions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ln w="25400">
                <a:solidFill>
                  <a:schemeClr val="accent1"/>
                </a:solidFill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graph'!$G$17:$G$24</c:f>
              <c:numCache>
                <c:formatCode>General</c:formatCode>
                <c:ptCount val="8"/>
                <c:pt idx="0">
                  <c:v>405.14185488546792</c:v>
                </c:pt>
                <c:pt idx="1">
                  <c:v>402.04491757722496</c:v>
                </c:pt>
                <c:pt idx="2">
                  <c:v>398.01232499999998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'MRR data with caps for graph'!$H$16</c:f>
              <c:strCache>
                <c:ptCount val="1"/>
                <c:pt idx="0">
                  <c:v>Narrow cap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graph'!$H$17:$H$24</c:f>
              <c:numCache>
                <c:formatCode>General</c:formatCode>
                <c:ptCount val="8"/>
                <c:pt idx="0">
                  <c:v>184.37200000000001</c:v>
                </c:pt>
                <c:pt idx="1">
                  <c:v>181.30299999999997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'MRR data with caps for graph'!$I$16</c:f>
              <c:strCache>
                <c:ptCount val="1"/>
                <c:pt idx="0">
                  <c:v>Narrow emissions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noFill/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graph'!$I$17:$I$24</c:f>
              <c:numCache>
                <c:formatCode>General</c:formatCode>
                <c:ptCount val="8"/>
                <c:pt idx="0">
                  <c:v>164.31762752952255</c:v>
                </c:pt>
                <c:pt idx="1">
                  <c:v>163.97106275584656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14304"/>
        <c:axId val="194524288"/>
      </c:lineChart>
      <c:catAx>
        <c:axId val="194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4524288"/>
        <c:crosses val="autoZero"/>
        <c:auto val="1"/>
        <c:lblAlgn val="ctr"/>
        <c:lblOffset val="100"/>
        <c:noMultiLvlLbl val="0"/>
      </c:catAx>
      <c:valAx>
        <c:axId val="19452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0">
                    <a:latin typeface="Century Gothic" panose="020B0502020202020204" pitchFamily="34" charset="0"/>
                  </a:defRPr>
                </a:pPr>
                <a:r>
                  <a:rPr lang="en-US" sz="1600" b="1">
                    <a:latin typeface="Century Gothic" panose="020B0502020202020204" pitchFamily="34" charset="0"/>
                  </a:rPr>
                  <a:t>Million Metric</a:t>
                </a:r>
                <a:r>
                  <a:rPr lang="en-US" sz="1600" b="1" baseline="0">
                    <a:latin typeface="Century Gothic" panose="020B0502020202020204" pitchFamily="34" charset="0"/>
                  </a:rPr>
                  <a:t> Tons of Carbon Dioxide</a:t>
                </a:r>
              </a:p>
            </c:rich>
          </c:tx>
          <c:layout>
            <c:manualLayout>
              <c:xMode val="edge"/>
              <c:yMode val="edge"/>
              <c:x val="1.1959389691673157E-2"/>
              <c:y val="0.226758643377387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451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88532202705426"/>
          <c:y val="0.54222227020614422"/>
          <c:w val="0.25464832280580313"/>
          <c:h val="0.38370549627953487"/>
        </c:manualLayout>
      </c:layout>
      <c:overlay val="0"/>
      <c:txPr>
        <a:bodyPr/>
        <a:lstStyle/>
        <a:p>
          <a:pPr>
            <a:defRPr sz="12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cap="all" baseline="0">
                <a:latin typeface="Century Gothic" panose="020B0502020202020204" pitchFamily="34" charset="0"/>
              </a:defRPr>
            </a:pPr>
            <a:r>
              <a:rPr lang="en-US" sz="1800" cap="all" baseline="0">
                <a:latin typeface="Century Gothic" panose="020B0502020202020204" pitchFamily="34" charset="0"/>
              </a:rPr>
              <a:t>California-Quebec cap-and-trade program: </a:t>
            </a:r>
          </a:p>
          <a:p>
            <a:pPr>
              <a:defRPr sz="1800" cap="all" baseline="0">
                <a:latin typeface="Century Gothic" panose="020B0502020202020204" pitchFamily="34" charset="0"/>
              </a:defRPr>
            </a:pPr>
            <a:r>
              <a:rPr lang="en-US" sz="1800" cap="all" baseline="0">
                <a:latin typeface="Century Gothic" panose="020B0502020202020204" pitchFamily="34" charset="0"/>
              </a:rPr>
              <a:t>emissions and cap levels</a:t>
            </a:r>
          </a:p>
        </c:rich>
      </c:tx>
      <c:layout>
        <c:manualLayout>
          <c:xMode val="edge"/>
          <c:yMode val="edge"/>
          <c:x val="0.18183385429717225"/>
          <c:y val="1.41301464369540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1736558959749"/>
          <c:y val="0.1273091226228095"/>
          <c:w val="0.66576592076653851"/>
          <c:h val="0.77874384110785433"/>
        </c:manualLayout>
      </c:layout>
      <c:lineChart>
        <c:grouping val="standard"/>
        <c:varyColors val="0"/>
        <c:ser>
          <c:idx val="0"/>
          <c:order val="0"/>
          <c:tx>
            <c:strRef>
              <c:f>'MRR data with caps for graph'!$D$16</c:f>
              <c:strCache>
                <c:ptCount val="1"/>
                <c:pt idx="0">
                  <c:v>Broad cap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graph'!$D$17:$D$24</c:f>
              <c:numCache>
                <c:formatCode>General</c:formatCode>
                <c:ptCount val="8"/>
                <c:pt idx="2">
                  <c:v>444.02000000000004</c:v>
                </c:pt>
                <c:pt idx="3">
                  <c:v>430.29399999999998</c:v>
                </c:pt>
                <c:pt idx="4">
                  <c:v>416.66399999999999</c:v>
                </c:pt>
                <c:pt idx="5">
                  <c:v>392.17899999999997</c:v>
                </c:pt>
                <c:pt idx="6">
                  <c:v>378.90900000000005</c:v>
                </c:pt>
                <c:pt idx="7">
                  <c:v>365.54599999999999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'MRR data with caps for graph'!$G$16</c:f>
              <c:strCache>
                <c:ptCount val="1"/>
                <c:pt idx="0">
                  <c:v>Broad emissions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graph'!$G$17:$G$24</c:f>
              <c:numCache>
                <c:formatCode>General</c:formatCode>
                <c:ptCount val="8"/>
                <c:pt idx="0">
                  <c:v>405.14185488546792</c:v>
                </c:pt>
                <c:pt idx="1">
                  <c:v>402.04491757722496</c:v>
                </c:pt>
                <c:pt idx="2">
                  <c:v>398.01232499999998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'MRR data with caps for graph'!$H$16</c:f>
              <c:strCache>
                <c:ptCount val="1"/>
                <c:pt idx="0">
                  <c:v>Narrow cap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graph'!$H$17:$H$24</c:f>
              <c:numCache>
                <c:formatCode>General</c:formatCode>
                <c:ptCount val="8"/>
                <c:pt idx="0">
                  <c:v>184.37200000000001</c:v>
                </c:pt>
                <c:pt idx="1">
                  <c:v>181.30299999999997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'MRR data with caps for graph'!$I$16</c:f>
              <c:strCache>
                <c:ptCount val="1"/>
                <c:pt idx="0">
                  <c:v>Narrow emissions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ln>
                <a:solidFill>
                  <a:srgbClr val="92D050"/>
                </a:solidFill>
              </a:ln>
            </c:spPr>
          </c:marker>
          <c:cat>
            <c:numRef>
              <c:f>'MRR data with caps for graph'!$A$17:$A$24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graph'!$I$17:$I$24</c:f>
              <c:numCache>
                <c:formatCode>General</c:formatCode>
                <c:ptCount val="8"/>
                <c:pt idx="0">
                  <c:v>164.31762752952255</c:v>
                </c:pt>
                <c:pt idx="1">
                  <c:v>163.97106275584656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48320"/>
        <c:axId val="194654592"/>
      </c:lineChart>
      <c:catAx>
        <c:axId val="1946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4654592"/>
        <c:crosses val="autoZero"/>
        <c:auto val="1"/>
        <c:lblAlgn val="ctr"/>
        <c:lblOffset val="100"/>
        <c:noMultiLvlLbl val="0"/>
      </c:catAx>
      <c:valAx>
        <c:axId val="19465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1" cap="none" baseline="0">
                    <a:latin typeface="Century Gothic" panose="020B0502020202020204" pitchFamily="34" charset="0"/>
                  </a:defRPr>
                </a:pPr>
                <a:r>
                  <a:rPr lang="en-US" sz="1600" b="1" cap="none" baseline="0">
                    <a:latin typeface="Century Gothic" panose="020B0502020202020204" pitchFamily="34" charset="0"/>
                  </a:rPr>
                  <a:t>Million Metric Tons of Carbon Dioxide</a:t>
                </a:r>
              </a:p>
            </c:rich>
          </c:tx>
          <c:layout>
            <c:manualLayout>
              <c:xMode val="edge"/>
              <c:yMode val="edge"/>
              <c:x val="8.2479420840733172E-3"/>
              <c:y val="0.208835144088620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464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75976543897296"/>
          <c:y val="0.51611207367844913"/>
          <c:w val="0.21244135548363033"/>
          <c:h val="0.22417056119887219"/>
        </c:manualLayout>
      </c:layout>
      <c:overlay val="0"/>
      <c:txPr>
        <a:bodyPr/>
        <a:lstStyle/>
        <a:p>
          <a:pPr>
            <a:defRPr sz="14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>
                <a:latin typeface="Century Gothic" panose="020B0502020202020204" pitchFamily="34" charset="0"/>
              </a:rPr>
              <a:t>VARYING OFFSET SCENARIOS ABOVE ALLOWANCE CAPS</a:t>
            </a:r>
            <a:endParaRPr lang="en-US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7811835661889167"/>
          <c:y val="1.81591254133067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59913352716887"/>
          <c:y val="9.5516999673993658E-2"/>
          <c:w val="0.66169406227233463"/>
          <c:h val="0.84346150742029846"/>
        </c:manualLayout>
      </c:layout>
      <c:lineChart>
        <c:grouping val="standard"/>
        <c:varyColors val="0"/>
        <c:ser>
          <c:idx val="0"/>
          <c:order val="0"/>
          <c:tx>
            <c:strRef>
              <c:f>'MRR data with caps for graph'!$B$29</c:f>
              <c:strCache>
                <c:ptCount val="1"/>
                <c:pt idx="0">
                  <c:v>Flat emissions forecast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triangle"/>
            <c:size val="7"/>
            <c:spPr>
              <a:noFill/>
              <a:ln w="19050">
                <a:solidFill>
                  <a:srgbClr val="FFC000"/>
                </a:solidFill>
              </a:ln>
            </c:spPr>
          </c:marker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graph'!$B$30:$B$37</c:f>
              <c:numCache>
                <c:formatCode>General</c:formatCode>
                <c:ptCount val="8"/>
                <c:pt idx="3">
                  <c:v>398.01232499999998</c:v>
                </c:pt>
                <c:pt idx="4">
                  <c:v>398.01232499999998</c:v>
                </c:pt>
                <c:pt idx="5">
                  <c:v>398.01232499999998</c:v>
                </c:pt>
                <c:pt idx="6">
                  <c:v>398.01232499999998</c:v>
                </c:pt>
                <c:pt idx="7">
                  <c:v>398.01232499999998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'MRR data with caps for graph'!$C$29</c:f>
              <c:strCache>
                <c:ptCount val="1"/>
                <c:pt idx="0">
                  <c:v>2% annual decline forecast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pPr>
              <a:noFill/>
              <a:ln w="15875">
                <a:solidFill>
                  <a:srgbClr val="FFC000"/>
                </a:solidFill>
              </a:ln>
            </c:spPr>
          </c:marker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graph'!$C$30:$C$37</c:f>
              <c:numCache>
                <c:formatCode>General</c:formatCode>
                <c:ptCount val="8"/>
                <c:pt idx="3">
                  <c:v>390.05207849999999</c:v>
                </c:pt>
                <c:pt idx="4">
                  <c:v>382.25103693</c:v>
                </c:pt>
                <c:pt idx="5">
                  <c:v>374.60601619139999</c:v>
                </c:pt>
                <c:pt idx="6">
                  <c:v>367.11389586757201</c:v>
                </c:pt>
                <c:pt idx="7">
                  <c:v>359.77161795022056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'MRR data with caps for graph'!$D$29</c:f>
              <c:strCache>
                <c:ptCount val="1"/>
                <c:pt idx="0">
                  <c:v>Broad cap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graph'!$D$30:$D$37</c:f>
              <c:numCache>
                <c:formatCode>General</c:formatCode>
                <c:ptCount val="8"/>
                <c:pt idx="2">
                  <c:v>444.02000000000004</c:v>
                </c:pt>
                <c:pt idx="3">
                  <c:v>430.29399999999998</c:v>
                </c:pt>
                <c:pt idx="4">
                  <c:v>416.66399999999999</c:v>
                </c:pt>
                <c:pt idx="5">
                  <c:v>392.17899999999997</c:v>
                </c:pt>
                <c:pt idx="6">
                  <c:v>378.90900000000005</c:v>
                </c:pt>
                <c:pt idx="7">
                  <c:v>365.54599999999999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'MRR data with caps for graph'!$E$29</c:f>
              <c:strCache>
                <c:ptCount val="1"/>
                <c:pt idx="0">
                  <c:v>Cap +4% offsets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graph'!$E$30:$E$37</c:f>
              <c:numCache>
                <c:formatCode>General</c:formatCode>
                <c:ptCount val="8"/>
                <c:pt idx="2">
                  <c:v>461.78080000000006</c:v>
                </c:pt>
                <c:pt idx="3">
                  <c:v>447.50576000000001</c:v>
                </c:pt>
                <c:pt idx="4">
                  <c:v>433.33055999999999</c:v>
                </c:pt>
                <c:pt idx="5">
                  <c:v>407.86615999999998</c:v>
                </c:pt>
                <c:pt idx="6">
                  <c:v>394.06536000000006</c:v>
                </c:pt>
                <c:pt idx="7">
                  <c:v>380.16784000000001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'MRR data with caps for graph'!$F$29</c:f>
              <c:strCache>
                <c:ptCount val="1"/>
                <c:pt idx="0">
                  <c:v>Cap +8% offsets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graph'!$F$30:$F$37</c:f>
              <c:numCache>
                <c:formatCode>General</c:formatCode>
                <c:ptCount val="8"/>
                <c:pt idx="2">
                  <c:v>479.54160000000002</c:v>
                </c:pt>
                <c:pt idx="3">
                  <c:v>464.71751999999998</c:v>
                </c:pt>
                <c:pt idx="4">
                  <c:v>449.99712</c:v>
                </c:pt>
                <c:pt idx="5">
                  <c:v>423.55331999999999</c:v>
                </c:pt>
                <c:pt idx="6">
                  <c:v>409.22172000000006</c:v>
                </c:pt>
                <c:pt idx="7">
                  <c:v>394.78967999999998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'MRR data with caps for graph'!$G$29</c:f>
              <c:strCache>
                <c:ptCount val="1"/>
                <c:pt idx="0">
                  <c:v>Broad emissions</c:v>
                </c:pt>
              </c:strCache>
            </c:strRef>
          </c:tx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graph'!$G$30:$G$37</c:f>
              <c:numCache>
                <c:formatCode>General</c:formatCode>
                <c:ptCount val="8"/>
                <c:pt idx="0">
                  <c:v>405.14185488546792</c:v>
                </c:pt>
                <c:pt idx="1">
                  <c:v>402.04491757722496</c:v>
                </c:pt>
                <c:pt idx="2">
                  <c:v>398.01232499999998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'MRR data with caps for graph'!$H$29</c:f>
              <c:strCache>
                <c:ptCount val="1"/>
                <c:pt idx="0">
                  <c:v>Narrow cap</c:v>
                </c:pt>
              </c:strCache>
            </c:strRef>
          </c:tx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graph'!$H$30:$H$37</c:f>
              <c:numCache>
                <c:formatCode>General</c:formatCode>
                <c:ptCount val="8"/>
                <c:pt idx="0">
                  <c:v>184.37200000000001</c:v>
                </c:pt>
                <c:pt idx="1">
                  <c:v>181.30299999999997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'MRR data with caps for graph'!$I$29</c:f>
              <c:strCache>
                <c:ptCount val="1"/>
                <c:pt idx="0">
                  <c:v>Narrow emissions</c:v>
                </c:pt>
              </c:strCache>
            </c:strRef>
          </c:tx>
          <c:cat>
            <c:numRef>
              <c:f>'MRR data with caps for graph'!$A$30:$A$37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graph'!$I$30:$I$37</c:f>
              <c:numCache>
                <c:formatCode>General</c:formatCode>
                <c:ptCount val="8"/>
                <c:pt idx="0">
                  <c:v>164.31762752952255</c:v>
                </c:pt>
                <c:pt idx="1">
                  <c:v>163.97106275584656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00672"/>
        <c:axId val="195102208"/>
      </c:lineChart>
      <c:catAx>
        <c:axId val="1951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5102208"/>
        <c:crosses val="autoZero"/>
        <c:auto val="1"/>
        <c:lblAlgn val="ctr"/>
        <c:lblOffset val="100"/>
        <c:noMultiLvlLbl val="0"/>
      </c:catAx>
      <c:valAx>
        <c:axId val="195102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>
                    <a:latin typeface="Century Gothic" panose="020B0502020202020204" pitchFamily="34" charset="0"/>
                  </a:defRPr>
                </a:pPr>
                <a:r>
                  <a:rPr lang="en-US" sz="1600" b="1">
                    <a:latin typeface="Century Gothic" panose="020B0502020202020204" pitchFamily="34" charset="0"/>
                  </a:rPr>
                  <a:t>Million Metric Tons of Carbon Dioxide</a:t>
                </a:r>
              </a:p>
            </c:rich>
          </c:tx>
          <c:layout>
            <c:manualLayout>
              <c:xMode val="edge"/>
              <c:yMode val="edge"/>
              <c:x val="1.0022562808364445E-2"/>
              <c:y val="0.184363159150560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510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09592237275769"/>
          <c:y val="0.47442806012884753"/>
          <c:w val="0.24643765826920971"/>
          <c:h val="0.45858681301200988"/>
        </c:manualLayout>
      </c:layout>
      <c:overlay val="0"/>
      <c:txPr>
        <a:bodyPr/>
        <a:lstStyle/>
        <a:p>
          <a:pPr>
            <a:defRPr sz="12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Century Gothic" panose="020B0502020202020204" pitchFamily="34" charset="0"/>
              </a:defRPr>
            </a:pPr>
            <a:r>
              <a:rPr lang="en-US" sz="1800">
                <a:latin typeface="Century Gothic" panose="020B0502020202020204" pitchFamily="34" charset="0"/>
              </a:rPr>
              <a:t>HISTORICAL EMISSIONS DATA - HIGH AND LOW DEMAND SCENARIOS</a:t>
            </a:r>
          </a:p>
        </c:rich>
      </c:tx>
      <c:layout>
        <c:manualLayout>
          <c:xMode val="edge"/>
          <c:yMode val="edge"/>
          <c:x val="0.14051338455832874"/>
          <c:y val="1.61414448118282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7842527707359"/>
          <c:y val="0.12284719834721773"/>
          <c:w val="0.65175127781531572"/>
          <c:h val="0.78716170486702686"/>
        </c:manualLayout>
      </c:layout>
      <c:lineChart>
        <c:grouping val="standard"/>
        <c:varyColors val="0"/>
        <c:ser>
          <c:idx val="0"/>
          <c:order val="0"/>
          <c:tx>
            <c:strRef>
              <c:f>'MRR data with caps for graph'!$D$1</c:f>
              <c:strCache>
                <c:ptCount val="1"/>
                <c:pt idx="0">
                  <c:v>Flat emissions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'MRR data with caps for graph'!$A$2:$A$9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graph'!$D$2:$D$9</c:f>
              <c:numCache>
                <c:formatCode>General</c:formatCode>
                <c:ptCount val="8"/>
                <c:pt idx="3">
                  <c:v>398.01232499999998</c:v>
                </c:pt>
                <c:pt idx="4">
                  <c:v>398.01232499999998</c:v>
                </c:pt>
                <c:pt idx="5">
                  <c:v>398.01232499999998</c:v>
                </c:pt>
                <c:pt idx="6">
                  <c:v>398.01232499999998</c:v>
                </c:pt>
                <c:pt idx="7">
                  <c:v>398.01232499999998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'MRR data with caps for graph'!$G$1</c:f>
              <c:strCache>
                <c:ptCount val="1"/>
                <c:pt idx="0">
                  <c:v>2% annual decline</c:v>
                </c:pt>
              </c:strCache>
            </c:strRef>
          </c:tx>
          <c:spPr>
            <a:ln w="31750">
              <a:solidFill>
                <a:srgbClr val="92D050"/>
              </a:solidFill>
              <a:prstDash val="sysDash"/>
            </a:ln>
          </c:spPr>
          <c:marker>
            <c:symbol val="none"/>
          </c:marker>
          <c:cat>
            <c:numRef>
              <c:f>'MRR data with caps for graph'!$A$2:$A$9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graph'!$G$2:$G$9</c:f>
              <c:numCache>
                <c:formatCode>General</c:formatCode>
                <c:ptCount val="8"/>
                <c:pt idx="3">
                  <c:v>390.05207849999999</c:v>
                </c:pt>
                <c:pt idx="4">
                  <c:v>382.25103693</c:v>
                </c:pt>
                <c:pt idx="5">
                  <c:v>374.60601619139999</c:v>
                </c:pt>
                <c:pt idx="6">
                  <c:v>367.11389586757201</c:v>
                </c:pt>
                <c:pt idx="7">
                  <c:v>359.77161795022056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'MRR data with caps for graph'!$H$1</c:f>
              <c:strCache>
                <c:ptCount val="1"/>
                <c:pt idx="0">
                  <c:v>Broad emissions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cat>
            <c:numRef>
              <c:f>'MRR data with caps for graph'!$A$2:$A$9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'MRR data with caps for graph'!$H$2:$H$9</c:f>
              <c:numCache>
                <c:formatCode>General</c:formatCode>
                <c:ptCount val="8"/>
                <c:pt idx="0">
                  <c:v>405.14185488546792</c:v>
                </c:pt>
                <c:pt idx="1">
                  <c:v>402.04491757722496</c:v>
                </c:pt>
                <c:pt idx="2">
                  <c:v>398.01232499999998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93856"/>
        <c:axId val="195220608"/>
      </c:lineChart>
      <c:catAx>
        <c:axId val="1951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en-US"/>
          </a:p>
        </c:txPr>
        <c:crossAx val="195220608"/>
        <c:crosses val="autoZero"/>
        <c:auto val="1"/>
        <c:lblAlgn val="ctr"/>
        <c:lblOffset val="100"/>
        <c:noMultiLvlLbl val="0"/>
      </c:catAx>
      <c:valAx>
        <c:axId val="195220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1">
                    <a:latin typeface="Century Gothic" panose="020B0502020202020204" pitchFamily="34" charset="0"/>
                  </a:defRPr>
                </a:pPr>
                <a:r>
                  <a:rPr lang="en-US" sz="1600" b="1">
                    <a:latin typeface="Century Gothic" panose="020B0502020202020204" pitchFamily="34" charset="0"/>
                  </a:rPr>
                  <a:t>Million Metric Tons of Carbon Dioxide</a:t>
                </a:r>
              </a:p>
            </c:rich>
          </c:tx>
          <c:layout>
            <c:manualLayout>
              <c:xMode val="edge"/>
              <c:yMode val="edge"/>
              <c:x val="7.7322292360349704E-3"/>
              <c:y val="0.22417787926464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9519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32192719362967"/>
          <c:y val="0.5792281942729548"/>
          <c:w val="0.23857970811368587"/>
          <c:h val="0.16675971298731754"/>
        </c:manualLayout>
      </c:layout>
      <c:overlay val="0"/>
      <c:txPr>
        <a:bodyPr/>
        <a:lstStyle/>
        <a:p>
          <a:pPr>
            <a:defRPr sz="14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0370370370371"/>
          <c:y val="3.5487889273356402E-2"/>
          <c:w val="0.4989159212241327"/>
          <c:h val="0.8108246192409339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'bid to cover ratio'!$D$1</c:f>
              <c:strCache>
                <c:ptCount val="1"/>
                <c:pt idx="0">
                  <c:v>Current auction: volume sold</c:v>
                </c:pt>
              </c:strCache>
            </c:strRef>
          </c:tx>
          <c:invertIfNegative val="0"/>
          <c:cat>
            <c:strRef>
              <c:f>'bid to cover ratio'!$A$2:$A$11</c:f>
              <c:strCache>
                <c:ptCount val="10"/>
                <c:pt idx="0">
                  <c:v>2014 Q4</c:v>
                </c:pt>
                <c:pt idx="1">
                  <c:v>2015 Q1 </c:v>
                </c:pt>
                <c:pt idx="2">
                  <c:v>2015 Q2</c:v>
                </c:pt>
                <c:pt idx="3">
                  <c:v>2015 Q3</c:v>
                </c:pt>
                <c:pt idx="4">
                  <c:v>2015 Q4</c:v>
                </c:pt>
                <c:pt idx="5">
                  <c:v>2016 Q1 </c:v>
                </c:pt>
                <c:pt idx="6">
                  <c:v>2016 Q2</c:v>
                </c:pt>
                <c:pt idx="7">
                  <c:v>2016 Q3</c:v>
                </c:pt>
                <c:pt idx="8">
                  <c:v>2016 Q4</c:v>
                </c:pt>
                <c:pt idx="9">
                  <c:v>2017 Q1</c:v>
                </c:pt>
              </c:strCache>
            </c:strRef>
          </c:cat>
          <c:val>
            <c:numRef>
              <c:f>'bid to cover ratio'!$D$2:$D$11</c:f>
              <c:numCache>
                <c:formatCode>#,##0</c:formatCode>
                <c:ptCount val="10"/>
                <c:pt idx="0">
                  <c:v>23.070986999999999</c:v>
                </c:pt>
                <c:pt idx="1">
                  <c:v>73.610528000000002</c:v>
                </c:pt>
                <c:pt idx="2">
                  <c:v>76.931627000000006</c:v>
                </c:pt>
                <c:pt idx="3">
                  <c:v>73.429360000000003</c:v>
                </c:pt>
                <c:pt idx="4">
                  <c:v>75.113007999999994</c:v>
                </c:pt>
                <c:pt idx="5">
                  <c:v>68.025999999999996</c:v>
                </c:pt>
                <c:pt idx="6">
                  <c:v>7.26</c:v>
                </c:pt>
                <c:pt idx="7">
                  <c:v>30.021000000000001</c:v>
                </c:pt>
                <c:pt idx="8">
                  <c:v>76.959999999999994</c:v>
                </c:pt>
                <c:pt idx="9">
                  <c:v>11.673</c:v>
                </c:pt>
              </c:numCache>
            </c:numRef>
          </c:val>
        </c:ser>
        <c:ser>
          <c:idx val="3"/>
          <c:order val="3"/>
          <c:tx>
            <c:strRef>
              <c:f>'bid to cover ratio'!$E$1</c:f>
              <c:strCache>
                <c:ptCount val="1"/>
                <c:pt idx="0">
                  <c:v>Advance auction: volume sold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accent3">
                  <a:lumMod val="50000"/>
                </a:schemeClr>
              </a:bgClr>
            </a:pattFill>
          </c:spPr>
          <c:invertIfNegative val="0"/>
          <c:cat>
            <c:strRef>
              <c:f>'bid to cover ratio'!$A$2:$A$11</c:f>
              <c:strCache>
                <c:ptCount val="10"/>
                <c:pt idx="0">
                  <c:v>2014 Q4</c:v>
                </c:pt>
                <c:pt idx="1">
                  <c:v>2015 Q1 </c:v>
                </c:pt>
                <c:pt idx="2">
                  <c:v>2015 Q2</c:v>
                </c:pt>
                <c:pt idx="3">
                  <c:v>2015 Q3</c:v>
                </c:pt>
                <c:pt idx="4">
                  <c:v>2015 Q4</c:v>
                </c:pt>
                <c:pt idx="5">
                  <c:v>2016 Q1 </c:v>
                </c:pt>
                <c:pt idx="6">
                  <c:v>2016 Q2</c:v>
                </c:pt>
                <c:pt idx="7">
                  <c:v>2016 Q3</c:v>
                </c:pt>
                <c:pt idx="8">
                  <c:v>2016 Q4</c:v>
                </c:pt>
                <c:pt idx="9">
                  <c:v>2017 Q1</c:v>
                </c:pt>
              </c:strCache>
            </c:strRef>
          </c:cat>
          <c:val>
            <c:numRef>
              <c:f>'bid to cover ratio'!$E$2:$E$11</c:f>
              <c:numCache>
                <c:formatCode>#,##0.00</c:formatCode>
                <c:ptCount val="10"/>
                <c:pt idx="0">
                  <c:v>10.787000000000001</c:v>
                </c:pt>
                <c:pt idx="1">
                  <c:v>10.4315</c:v>
                </c:pt>
                <c:pt idx="2">
                  <c:v>9.8119999999999994</c:v>
                </c:pt>
                <c:pt idx="3">
                  <c:v>10.4315</c:v>
                </c:pt>
                <c:pt idx="4">
                  <c:v>10.4315</c:v>
                </c:pt>
                <c:pt idx="5">
                  <c:v>9.3610000000000007</c:v>
                </c:pt>
                <c:pt idx="6">
                  <c:v>0.91400000000000003</c:v>
                </c:pt>
                <c:pt idx="7">
                  <c:v>0.76900000000000002</c:v>
                </c:pt>
                <c:pt idx="8">
                  <c:v>1.02</c:v>
                </c:pt>
                <c:pt idx="9">
                  <c:v>0.70099999999999996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54688"/>
        <c:axId val="195552768"/>
      </c:barChart>
      <c:lineChart>
        <c:grouping val="standard"/>
        <c:varyColors val="0"/>
        <c:ser>
          <c:idx val="0"/>
          <c:order val="0"/>
          <c:tx>
            <c:strRef>
              <c:f>'bid to cover ratio'!$B$1</c:f>
              <c:strCache>
                <c:ptCount val="1"/>
                <c:pt idx="0">
                  <c:v>Current auction: bid ratio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'bid to cover ratio'!$A$2:$A$11</c:f>
              <c:strCache>
                <c:ptCount val="10"/>
                <c:pt idx="0">
                  <c:v>2014 Q4</c:v>
                </c:pt>
                <c:pt idx="1">
                  <c:v>2015 Q1 </c:v>
                </c:pt>
                <c:pt idx="2">
                  <c:v>2015 Q2</c:v>
                </c:pt>
                <c:pt idx="3">
                  <c:v>2015 Q3</c:v>
                </c:pt>
                <c:pt idx="4">
                  <c:v>2015 Q4</c:v>
                </c:pt>
                <c:pt idx="5">
                  <c:v>2016 Q1 </c:v>
                </c:pt>
                <c:pt idx="6">
                  <c:v>2016 Q2</c:v>
                </c:pt>
                <c:pt idx="7">
                  <c:v>2016 Q3</c:v>
                </c:pt>
                <c:pt idx="8">
                  <c:v>2016 Q4</c:v>
                </c:pt>
                <c:pt idx="9">
                  <c:v>2017 Q1</c:v>
                </c:pt>
              </c:strCache>
            </c:strRef>
          </c:cat>
          <c:val>
            <c:numRef>
              <c:f>'bid to cover ratio'!$B$2:$B$11</c:f>
              <c:numCache>
                <c:formatCode>General</c:formatCode>
                <c:ptCount val="10"/>
                <c:pt idx="0">
                  <c:v>1.73</c:v>
                </c:pt>
                <c:pt idx="1">
                  <c:v>1.1399999999999999</c:v>
                </c:pt>
                <c:pt idx="2">
                  <c:v>1.1599999999999999</c:v>
                </c:pt>
                <c:pt idx="3">
                  <c:v>1.28</c:v>
                </c:pt>
                <c:pt idx="4">
                  <c:v>1.1399999999999999</c:v>
                </c:pt>
                <c:pt idx="5">
                  <c:v>0.95099999999999996</c:v>
                </c:pt>
                <c:pt idx="6">
                  <c:v>0.11</c:v>
                </c:pt>
                <c:pt idx="7">
                  <c:v>0.35</c:v>
                </c:pt>
                <c:pt idx="8">
                  <c:v>0.88</c:v>
                </c:pt>
                <c:pt idx="9">
                  <c:v>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'bid to cover ratio'!$C$1</c:f>
              <c:strCache>
                <c:ptCount val="1"/>
                <c:pt idx="0">
                  <c:v>Advance auction: bid ratio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</c:marker>
          <c:cat>
            <c:strRef>
              <c:f>'bid to cover ratio'!$A$2:$A$11</c:f>
              <c:strCache>
                <c:ptCount val="10"/>
                <c:pt idx="0">
                  <c:v>2014 Q4</c:v>
                </c:pt>
                <c:pt idx="1">
                  <c:v>2015 Q1 </c:v>
                </c:pt>
                <c:pt idx="2">
                  <c:v>2015 Q2</c:v>
                </c:pt>
                <c:pt idx="3">
                  <c:v>2015 Q3</c:v>
                </c:pt>
                <c:pt idx="4">
                  <c:v>2015 Q4</c:v>
                </c:pt>
                <c:pt idx="5">
                  <c:v>2016 Q1 </c:v>
                </c:pt>
                <c:pt idx="6">
                  <c:v>2016 Q2</c:v>
                </c:pt>
                <c:pt idx="7">
                  <c:v>2016 Q3</c:v>
                </c:pt>
                <c:pt idx="8">
                  <c:v>2016 Q4</c:v>
                </c:pt>
                <c:pt idx="9">
                  <c:v>2017 Q1</c:v>
                </c:pt>
              </c:strCache>
            </c:strRef>
          </c:cat>
          <c:val>
            <c:numRef>
              <c:f>'bid to cover ratio'!$C$2:$C$11</c:f>
              <c:numCache>
                <c:formatCode>General</c:formatCode>
                <c:ptCount val="10"/>
                <c:pt idx="0">
                  <c:v>1.92</c:v>
                </c:pt>
                <c:pt idx="1">
                  <c:v>1.02</c:v>
                </c:pt>
                <c:pt idx="2">
                  <c:v>0.94</c:v>
                </c:pt>
                <c:pt idx="3">
                  <c:v>1.78</c:v>
                </c:pt>
                <c:pt idx="4">
                  <c:v>1.32</c:v>
                </c:pt>
                <c:pt idx="5">
                  <c:v>0.92900000000000005</c:v>
                </c:pt>
                <c:pt idx="6">
                  <c:v>0.09</c:v>
                </c:pt>
                <c:pt idx="7">
                  <c:v>0.08</c:v>
                </c:pt>
                <c:pt idx="8">
                  <c:v>0.1</c:v>
                </c:pt>
                <c:pt idx="9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40480"/>
        <c:axId val="195542400"/>
      </c:lineChart>
      <c:catAx>
        <c:axId val="195540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Century Gothic" panose="020B0502020202020204" pitchFamily="34" charset="0"/>
              </a:defRPr>
            </a:pPr>
            <a:endParaRPr lang="en-US"/>
          </a:p>
        </c:txPr>
        <c:crossAx val="195542400"/>
        <c:crosses val="autoZero"/>
        <c:auto val="1"/>
        <c:lblAlgn val="ctr"/>
        <c:lblOffset val="100"/>
        <c:noMultiLvlLbl val="0"/>
      </c:catAx>
      <c:valAx>
        <c:axId val="19554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Century Gothic" panose="020B0502020202020204" pitchFamily="34" charset="0"/>
                  </a:defRPr>
                </a:pPr>
                <a:r>
                  <a:rPr lang="en-US" sz="1600">
                    <a:latin typeface="Century Gothic" panose="020B0502020202020204" pitchFamily="34" charset="0"/>
                  </a:rPr>
                  <a:t>Bid-to-cover ratio</a:t>
                </a:r>
              </a:p>
            </c:rich>
          </c:tx>
          <c:layout>
            <c:manualLayout>
              <c:xMode val="edge"/>
              <c:yMode val="edge"/>
              <c:x val="1.3164068777117146E-2"/>
              <c:y val="0.245778928153012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Century Gothic" panose="020B0502020202020204" pitchFamily="34" charset="0"/>
              </a:defRPr>
            </a:pPr>
            <a:endParaRPr lang="en-US"/>
          </a:p>
        </c:txPr>
        <c:crossAx val="195540480"/>
        <c:crosses val="autoZero"/>
        <c:crossBetween val="between"/>
      </c:valAx>
      <c:valAx>
        <c:axId val="195552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>
                    <a:latin typeface="Century Gothic" panose="020B0502020202020204" pitchFamily="34" charset="0"/>
                  </a:rPr>
                  <a:t>Million allowances sold</a:t>
                </a:r>
              </a:p>
            </c:rich>
          </c:tx>
          <c:layout>
            <c:manualLayout>
              <c:xMode val="edge"/>
              <c:yMode val="edge"/>
              <c:x val="0.67574453193350836"/>
              <c:y val="0.21727379233305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95554688"/>
        <c:crosses val="max"/>
        <c:crossBetween val="between"/>
      </c:valAx>
      <c:catAx>
        <c:axId val="19555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5552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4054428910671877"/>
          <c:y val="0.23723202810625146"/>
          <c:w val="0.24749163497419963"/>
          <c:h val="0.3862158406669754"/>
        </c:manualLayout>
      </c:layout>
      <c:overlay val="0"/>
      <c:txPr>
        <a:bodyPr/>
        <a:lstStyle/>
        <a:p>
          <a:pPr>
            <a:defRPr sz="110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cap="all" baseline="0">
                <a:latin typeface="Century Gothic" panose="020B0502020202020204" pitchFamily="34" charset="0"/>
              </a:rPr>
              <a:t>California allowance distribution over time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887168547417342E-2"/>
          <c:y val="0.11859055673009161"/>
          <c:w val="0.59407145720244847"/>
          <c:h val="0.81126644581689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[1]Sheet2!$A$3</c:f>
              <c:strCache>
                <c:ptCount val="1"/>
                <c:pt idx="0">
                  <c:v>Current auction</c:v>
                </c:pt>
              </c:strCache>
            </c:strRef>
          </c:tx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[1]Sheet2!$B$3:$I$3</c:f>
              <c:numCache>
                <c:formatCode>General</c:formatCode>
                <c:ptCount val="8"/>
                <c:pt idx="0">
                  <c:v>10.619317000000017</c:v>
                </c:pt>
                <c:pt idx="1">
                  <c:v>8.8249700000000004</c:v>
                </c:pt>
                <c:pt idx="2">
                  <c:v>136.95523300000008</c:v>
                </c:pt>
                <c:pt idx="3">
                  <c:v>136.10882299999997</c:v>
                </c:pt>
                <c:pt idx="4">
                  <c:v>128.84131400000001</c:v>
                </c:pt>
                <c:pt idx="5">
                  <c:v>119.39036599999997</c:v>
                </c:pt>
                <c:pt idx="6">
                  <c:v>112.34341100000003</c:v>
                </c:pt>
                <c:pt idx="7">
                  <c:v>105.24499199999991</c:v>
                </c:pt>
              </c:numCache>
            </c:numRef>
          </c:val>
        </c:ser>
        <c:ser>
          <c:idx val="1"/>
          <c:order val="1"/>
          <c:tx>
            <c:strRef>
              <c:f>[1]Sheet2!$A$4</c:f>
              <c:strCache>
                <c:ptCount val="1"/>
                <c:pt idx="0">
                  <c:v>Advance auction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[1]Sheet2!$B$4:$I$4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39.450000000000003</c:v>
                </c:pt>
                <c:pt idx="3">
                  <c:v>38.24</c:v>
                </c:pt>
                <c:pt idx="4">
                  <c:v>37.04</c:v>
                </c:pt>
                <c:pt idx="5">
                  <c:v>35.830000000000005</c:v>
                </c:pt>
                <c:pt idx="6">
                  <c:v>34.630000000000003</c:v>
                </c:pt>
                <c:pt idx="7">
                  <c:v>33.42</c:v>
                </c:pt>
              </c:numCache>
            </c:numRef>
          </c:val>
        </c:ser>
        <c:ser>
          <c:idx val="2"/>
          <c:order val="2"/>
          <c:tx>
            <c:strRef>
              <c:f>[1]Sheet2!$A$5</c:f>
              <c:strCache>
                <c:ptCount val="1"/>
                <c:pt idx="0">
                  <c:v>Consignment auction: POU electricity</c:v>
                </c:pt>
              </c:strCache>
            </c:strRef>
          </c:tx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[1]Sheet2!$B$5:$I$5</c:f>
              <c:numCache>
                <c:formatCode>General</c:formatCode>
                <c:ptCount val="8"/>
                <c:pt idx="0">
                  <c:v>30.433005000000001</c:v>
                </c:pt>
                <c:pt idx="1">
                  <c:v>30.205413</c:v>
                </c:pt>
                <c:pt idx="2">
                  <c:v>29.454802999999998</c:v>
                </c:pt>
                <c:pt idx="3">
                  <c:v>29.839054999999998</c:v>
                </c:pt>
                <c:pt idx="4">
                  <c:v>30.216631</c:v>
                </c:pt>
                <c:pt idx="5">
                  <c:v>30.271539000000001</c:v>
                </c:pt>
                <c:pt idx="6">
                  <c:v>29.62687</c:v>
                </c:pt>
                <c:pt idx="7">
                  <c:v>28.679976</c:v>
                </c:pt>
              </c:numCache>
            </c:numRef>
          </c:val>
        </c:ser>
        <c:ser>
          <c:idx val="3"/>
          <c:order val="3"/>
          <c:tx>
            <c:strRef>
              <c:f>[1]Sheet2!$A$6</c:f>
              <c:strCache>
                <c:ptCount val="1"/>
                <c:pt idx="0">
                  <c:v>Consignment auction: IOU electricity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[1]Sheet2!$B$6:$I$6</c:f>
              <c:numCache>
                <c:formatCode>General</c:formatCode>
                <c:ptCount val="8"/>
                <c:pt idx="0">
                  <c:v>65.410683000000006</c:v>
                </c:pt>
                <c:pt idx="1">
                  <c:v>63.879748999999997</c:v>
                </c:pt>
                <c:pt idx="2">
                  <c:v>62.774023</c:v>
                </c:pt>
                <c:pt idx="3">
                  <c:v>60.611283999999998</c:v>
                </c:pt>
                <c:pt idx="4">
                  <c:v>58.417112000000003</c:v>
                </c:pt>
                <c:pt idx="5">
                  <c:v>56.505763999999999</c:v>
                </c:pt>
                <c:pt idx="6">
                  <c:v>55.294165</c:v>
                </c:pt>
                <c:pt idx="7">
                  <c:v>54.482517000000001</c:v>
                </c:pt>
              </c:numCache>
            </c:numRef>
          </c:val>
        </c:ser>
        <c:ser>
          <c:idx val="4"/>
          <c:order val="4"/>
          <c:tx>
            <c:strRef>
              <c:f>[1]Sheet2!$A$7</c:f>
              <c:strCache>
                <c:ptCount val="1"/>
                <c:pt idx="0">
                  <c:v>Free allocation to counter industrial leakage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[1]Sheet2!$B$7:$I$7</c:f>
              <c:numCache>
                <c:formatCode>General</c:formatCode>
                <c:ptCount val="8"/>
                <c:pt idx="0">
                  <c:v>53.894995000000002</c:v>
                </c:pt>
                <c:pt idx="1">
                  <c:v>54.394368</c:v>
                </c:pt>
                <c:pt idx="2">
                  <c:v>55.827437000000003</c:v>
                </c:pt>
                <c:pt idx="3">
                  <c:v>55</c:v>
                </c:pt>
                <c:pt idx="4">
                  <c:v>54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</c:numCache>
            </c:numRef>
          </c:val>
        </c:ser>
        <c:ser>
          <c:idx val="5"/>
          <c:order val="5"/>
          <c:tx>
            <c:strRef>
              <c:f>[1]Sheet2!$A$8</c:f>
              <c:strCache>
                <c:ptCount val="1"/>
                <c:pt idx="0">
                  <c:v>Free allocation: regulated natural gas deliverers</c:v>
                </c:pt>
              </c:strCache>
            </c:strRef>
          </c:tx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45.356999000000002</c:v>
                </c:pt>
                <c:pt idx="3">
                  <c:v>44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</c:numCache>
            </c:numRef>
          </c:val>
        </c:ser>
        <c:ser>
          <c:idx val="6"/>
          <c:order val="6"/>
          <c:tx>
            <c:strRef>
              <c:f>[1]Sheet2!$A$9</c:f>
              <c:strCache>
                <c:ptCount val="1"/>
                <c:pt idx="0">
                  <c:v>Free allocation: special cases</c:v>
                </c:pt>
              </c:strCache>
            </c:strRef>
          </c:tx>
          <c:invertIfNegative val="0"/>
          <c:cat>
            <c:numRef>
              <c:f>[1]Sheet2!$B$2:$I$2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[1]Sheet2!$B$9:$I$9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7.9152550000000002</c:v>
                </c:pt>
                <c:pt idx="3">
                  <c:v>2.3488379999999998</c:v>
                </c:pt>
                <c:pt idx="4">
                  <c:v>2.1429429999999998</c:v>
                </c:pt>
                <c:pt idx="5">
                  <c:v>1.3255810000000001</c:v>
                </c:pt>
                <c:pt idx="6">
                  <c:v>1.2988039999999998</c:v>
                </c:pt>
                <c:pt idx="7">
                  <c:v>1.1430150000000001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151168"/>
        <c:axId val="196152704"/>
      </c:barChart>
      <c:catAx>
        <c:axId val="1961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Century Gothic" panose="020B0502020202020204" pitchFamily="34" charset="0"/>
              </a:defRPr>
            </a:pPr>
            <a:endParaRPr lang="en-US"/>
          </a:p>
        </c:txPr>
        <c:crossAx val="196152704"/>
        <c:crosses val="autoZero"/>
        <c:auto val="1"/>
        <c:lblAlgn val="ctr"/>
        <c:lblOffset val="100"/>
        <c:noMultiLvlLbl val="0"/>
      </c:catAx>
      <c:valAx>
        <c:axId val="19615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Century Gothic" panose="020B0502020202020204" pitchFamily="34" charset="0"/>
                  </a:defRPr>
                </a:pPr>
                <a:r>
                  <a:rPr lang="en-US" sz="1100">
                    <a:latin typeface="Century Gothic" panose="020B0502020202020204" pitchFamily="34" charset="0"/>
                  </a:rPr>
                  <a:t>Million</a:t>
                </a:r>
                <a:r>
                  <a:rPr lang="en-US" sz="1100" baseline="0">
                    <a:latin typeface="Century Gothic" panose="020B0502020202020204" pitchFamily="34" charset="0"/>
                  </a:rPr>
                  <a:t> Metric Tons of Carbon DIoxide</a:t>
                </a:r>
                <a:endParaRPr lang="en-US" sz="1100">
                  <a:latin typeface="Century Gothic" panose="020B0502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9426806981310249E-3"/>
              <c:y val="0.229213208814014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Century Gothic" panose="020B0502020202020204" pitchFamily="34" charset="0"/>
              </a:defRPr>
            </a:pPr>
            <a:endParaRPr lang="en-US"/>
          </a:p>
        </c:txPr>
        <c:crossAx val="19615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58675344615573"/>
          <c:y val="0.24629721496229462"/>
          <c:w val="0.29105949331829639"/>
          <c:h val="0.65982276528330364"/>
        </c:manualLayout>
      </c:layout>
      <c:overlay val="0"/>
      <c:txPr>
        <a:bodyPr/>
        <a:lstStyle/>
        <a:p>
          <a:pPr>
            <a:defRPr sz="1050"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0.11686</cdr:x>
      <cdr:y>0.30126</cdr:y>
    </cdr:from>
    <cdr:to>
      <cdr:x>0.29553</cdr:x>
      <cdr:y>0.38001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2180" y="1895077"/>
          <a:ext cx="1547663" cy="4953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1% decline </a:t>
          </a:r>
        </a:p>
        <a:p xmlns:a="http://schemas.openxmlformats.org/drawingml/2006/main">
          <a:pPr algn="ctr"/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in 2014 vs. 2013</a:t>
          </a:r>
        </a:p>
      </cdr:txBody>
    </cdr:sp>
  </cdr:relSizeAnchor>
  <cdr:relSizeAnchor xmlns:cdr="http://schemas.openxmlformats.org/drawingml/2006/chartDrawing">
    <cdr:from>
      <cdr:x>0.29782</cdr:x>
      <cdr:y>0.30126</cdr:y>
    </cdr:from>
    <cdr:to>
      <cdr:x>0.46342</cdr:x>
      <cdr:y>0.38219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79687" y="1895079"/>
          <a:ext cx="1434390" cy="50909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0.8% decline </a:t>
          </a:r>
        </a:p>
        <a:p xmlns:a="http://schemas.openxmlformats.org/drawingml/2006/main">
          <a:pPr algn="ctr"/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in 2014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vs. 2015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0.19049</cdr:x>
      <cdr:y>0.2137</cdr:y>
    </cdr:from>
    <cdr:to>
      <cdr:x>0.20523</cdr:x>
      <cdr:y>0.31042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1649947" y="1344245"/>
          <a:ext cx="127675" cy="60841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0.26984</cdr:x>
      <cdr:y>0.21841</cdr:y>
    </cdr:from>
    <cdr:to>
      <cdr:x>0.3458</cdr:x>
      <cdr:y>0.30265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 flipV="1">
          <a:off x="2337062" y="1374743"/>
          <a:ext cx="657912" cy="53025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0.75945</cdr:x>
      <cdr:y>0.93351</cdr:y>
    </cdr:from>
    <cdr:to>
      <cdr:x>0.99771</cdr:x>
      <cdr:y>0.9935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78203" y="5872218"/>
          <a:ext cx="2063750" cy="37737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22</xdr:row>
      <xdr:rowOff>114299</xdr:rowOff>
    </xdr:from>
    <xdr:to>
      <xdr:col>18</xdr:col>
      <xdr:colOff>31750</xdr:colOff>
      <xdr:row>46</xdr:row>
      <xdr:rowOff>158749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50799</xdr:colOff>
      <xdr:row>41</xdr:row>
      <xdr:rowOff>174625</xdr:rowOff>
    </xdr:from>
    <xdr:to>
      <xdr:col>17</xdr:col>
      <xdr:colOff>288924</xdr:colOff>
      <xdr:row>44</xdr:row>
      <xdr:rowOff>31750</xdr:rowOff>
    </xdr:to>
    <xdr:sp macro="" textlink="">
      <xdr:nvSpPr>
        <xdr:cNvPr id="4" name="TextBox 3"/>
        <xdr:cNvSpPr txBox="1"/>
      </xdr:nvSpPr>
      <xdr:spPr>
        <a:xfrm>
          <a:off x="12541249" y="7724775"/>
          <a:ext cx="20669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Century Gothic" panose="020B0502020202020204" pitchFamily="34" charset="0"/>
            </a:rPr>
            <a:t>18%</a:t>
          </a:r>
          <a:r>
            <a:rPr lang="en-US" sz="1000" baseline="0">
              <a:latin typeface="Century Gothic" panose="020B0502020202020204" pitchFamily="34" charset="0"/>
            </a:rPr>
            <a:t> of current allowances purchased at 2017 Q1 auction</a:t>
          </a:r>
          <a:endParaRPr lang="en-US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727076</xdr:colOff>
      <xdr:row>23</xdr:row>
      <xdr:rowOff>44450</xdr:rowOff>
    </xdr:from>
    <xdr:to>
      <xdr:col>11</xdr:col>
      <xdr:colOff>66675</xdr:colOff>
      <xdr:row>25</xdr:row>
      <xdr:rowOff>120650</xdr:rowOff>
    </xdr:to>
    <xdr:sp macro="" textlink="">
      <xdr:nvSpPr>
        <xdr:cNvPr id="5" name="TextBox 4"/>
        <xdr:cNvSpPr txBox="1"/>
      </xdr:nvSpPr>
      <xdr:spPr>
        <a:xfrm>
          <a:off x="8061326" y="4279900"/>
          <a:ext cx="2666999" cy="444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Century Gothic" panose="020B0502020202020204" pitchFamily="34" charset="0"/>
            </a:rPr>
            <a:t>Bid-to-cover</a:t>
          </a:r>
          <a:r>
            <a:rPr lang="en-US" sz="1000" baseline="0">
              <a:latin typeface="Century Gothic" panose="020B0502020202020204" pitchFamily="34" charset="0"/>
            </a:rPr>
            <a:t> ratio over one means demand exceeded supply at price floor</a:t>
          </a:r>
          <a:endParaRPr lang="en-US" sz="10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0.59518</cdr:x>
      <cdr:y>0.79863</cdr:y>
    </cdr:from>
    <cdr:to>
      <cdr:x>0.70921</cdr:x>
      <cdr:y>0.85398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4166779" y="3663997"/>
          <a:ext cx="798310" cy="2539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0.13611</cdr:x>
      <cdr:y>0.12693</cdr:y>
    </cdr:from>
    <cdr:to>
      <cdr:x>0.13611</cdr:x>
      <cdr:y>0.20961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952878" y="582339"/>
          <a:ext cx="0" cy="3793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0.71701</cdr:x>
      <cdr:y>0.9155</cdr:y>
    </cdr:from>
    <cdr:to>
      <cdr:x>1</cdr:x>
      <cdr:y>0.99446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19675" y="4200196"/>
          <a:ext cx="1981200" cy="362277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</xdr:colOff>
      <xdr:row>9</xdr:row>
      <xdr:rowOff>174624</xdr:rowOff>
    </xdr:from>
    <xdr:to>
      <xdr:col>14</xdr:col>
      <xdr:colOff>88900</xdr:colOff>
      <xdr:row>33</xdr:row>
      <xdr:rowOff>107949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0.75677</cdr:x>
      <cdr:y>0.92319</cdr:y>
    </cdr:from>
    <cdr:to>
      <cdr:x>0.99741</cdr:x>
      <cdr:y>0.99507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569547" y="4159252"/>
          <a:ext cx="1771054" cy="3238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0.11054</cdr:x>
      <cdr:y>0.24559</cdr:y>
    </cdr:from>
    <cdr:to>
      <cdr:x>0.67296</cdr:x>
      <cdr:y>0.24559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958682" y="1545883"/>
          <a:ext cx="4877544" cy="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0.14977</cdr:x>
      <cdr:y>0.24899</cdr:y>
    </cdr:from>
    <cdr:to>
      <cdr:x>0.27258</cdr:x>
      <cdr:y>0.28751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298864" y="1567297"/>
          <a:ext cx="1065067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tIns="0" rtlCol="0"/>
        <a:lstStyle xmlns:a="http://schemas.openxmlformats.org/drawingml/2006/main"/>
        <a:p xmlns:a="http://schemas.openxmlformats.org/drawingml/2006/main">
          <a:r>
            <a:rPr lang="en-US" sz="1400">
              <a:latin typeface="Century Gothic" panose="020B0502020202020204" pitchFamily="34" charset="0"/>
              <a:cs typeface="Arial" panose="020B0604020202020204" pitchFamily="34" charset="0"/>
            </a:rPr>
            <a:t>190</a:t>
          </a:r>
          <a:r>
            <a:rPr lang="en-US" sz="1400" baseline="0">
              <a:latin typeface="Century Gothic" panose="020B0502020202020204" pitchFamily="34" charset="0"/>
              <a:cs typeface="Arial" panose="020B0604020202020204" pitchFamily="34" charset="0"/>
            </a:rPr>
            <a:t> MMT</a:t>
          </a:r>
          <a:endParaRPr lang="en-US" sz="14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0.33548</cdr:x>
      <cdr:y>0.26009</cdr:y>
    </cdr:from>
    <cdr:to>
      <cdr:x>0.44432</cdr:x>
      <cdr:y>0.31776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909455" y="1637146"/>
          <a:ext cx="943841" cy="3630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aseline="0">
              <a:latin typeface="Century Gothic" panose="020B0502020202020204" pitchFamily="34" charset="0"/>
              <a:cs typeface="Arial" panose="020B0604020202020204" pitchFamily="34" charset="0"/>
            </a:rPr>
            <a:t>300 MMT</a:t>
          </a:r>
          <a:endParaRPr lang="en-US" sz="14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0.44114</cdr:x>
      <cdr:y>0.24437</cdr:y>
    </cdr:from>
    <cdr:to>
      <cdr:x>0.44114</cdr:x>
      <cdr:y>0.32328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3825788" y="1538197"/>
          <a:ext cx="0" cy="496689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0.26073</cdr:x>
      <cdr:y>0.24419</cdr:y>
    </cdr:from>
    <cdr:to>
      <cdr:x>0.26073</cdr:x>
      <cdr:y>0.29439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2257723" y="1535100"/>
          <a:ext cx="0" cy="315583"/>
        </a:xfrm>
        <a:prstGeom xmlns:a="http://schemas.openxmlformats.org/drawingml/2006/main" prst="straightConnector1">
          <a:avLst/>
        </a:prstGeom>
        <a:ln xmlns:a="http://schemas.openxmlformats.org/drawingml/2006/main" w="19050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0.70803</cdr:x>
      <cdr:y>0.92169</cdr:y>
    </cdr:from>
    <cdr:to>
      <cdr:x>0.997</cdr:x>
      <cdr:y>0.9945</cdr:y>
    </cdr:to>
    <cdr:pic>
      <cdr:nvPicPr>
        <cdr:cNvPr id="12" name="Picture 1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40307" y="5801592"/>
          <a:ext cx="2506129" cy="45826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0.23233</cdr:x>
      <cdr:y>0.22699</cdr:y>
    </cdr:from>
    <cdr:to>
      <cdr:x>0.30106</cdr:x>
      <cdr:y>0.61287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012155" y="1428750"/>
          <a:ext cx="595313" cy="24288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0.26987</cdr:x>
      <cdr:y>0.46403</cdr:y>
    </cdr:from>
    <cdr:to>
      <cdr:x>0.54579</cdr:x>
      <cdr:y>0.58307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339149" y="2922630"/>
          <a:ext cx="2391602" cy="7497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Program coverage jumps with expansion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from narrow to broad scope in 2015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0.71682</cdr:x>
      <cdr:y>0.29418</cdr:y>
    </cdr:from>
    <cdr:to>
      <cdr:x>0.74172</cdr:x>
      <cdr:y>0.35519</cdr:y>
    </cdr:to>
    <cdr:sp macro="" textlink="">
      <cdr:nvSpPr>
        <cdr:cNvPr id="6" name="Right Brace 5"/>
        <cdr:cNvSpPr/>
      </cdr:nvSpPr>
      <cdr:spPr>
        <a:xfrm xmlns:a="http://schemas.openxmlformats.org/drawingml/2006/main">
          <a:off x="6213242" y="1852869"/>
          <a:ext cx="215827" cy="384266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0.74859</cdr:x>
      <cdr:y>0.31589</cdr:y>
    </cdr:from>
    <cdr:to>
      <cdr:x>0.78846</cdr:x>
      <cdr:y>0.32346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488617" y="1989603"/>
          <a:ext cx="345583" cy="476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0.7851</cdr:x>
      <cdr:y>0.25705</cdr:y>
    </cdr:from>
    <cdr:to>
      <cdr:x>0.98901</cdr:x>
      <cdr:y>0.36631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805083" y="1619016"/>
          <a:ext cx="1767417" cy="68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Range of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emission forecasts developed for this analysis 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0.7851</cdr:x>
      <cdr:y>0.94379</cdr:y>
    </cdr:from>
    <cdr:to>
      <cdr:x>0.99512</cdr:x>
      <cdr:y>0.99664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805083" y="5944378"/>
          <a:ext cx="1820333" cy="33286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0.31522</cdr:x>
      <cdr:y>0.29967</cdr:y>
    </cdr:from>
    <cdr:to>
      <cdr:x>0.3413</cdr:x>
      <cdr:y>0.44638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2729845" y="1885360"/>
          <a:ext cx="225851" cy="92304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0.43016</cdr:x>
      <cdr:y>0.46632</cdr:y>
    </cdr:from>
    <cdr:to>
      <cdr:x>0.63197</cdr:x>
      <cdr:y>0.58199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27174" y="2931123"/>
          <a:ext cx="1748551" cy="72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0.23866</cdr:x>
      <cdr:y>0.66521</cdr:y>
    </cdr:from>
    <cdr:to>
      <cdr:x>0.28574</cdr:x>
      <cdr:y>0.70547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2066870" y="4185197"/>
          <a:ext cx="407666" cy="25325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0.15131</cdr:x>
      <cdr:y>0.66374</cdr:y>
    </cdr:from>
    <cdr:to>
      <cdr:x>0.17008</cdr:x>
      <cdr:y>0.75073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 flipV="1">
          <a:off x="1310373" y="4175949"/>
          <a:ext cx="162565" cy="547273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0.11889</cdr:x>
      <cdr:y>0.74605</cdr:y>
    </cdr:from>
    <cdr:to>
      <cdr:x>0.31862</cdr:x>
      <cdr:y>0.82252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029640" y="4693764"/>
          <a:ext cx="1729664" cy="4811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Emissions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20 MMT below cap in 2013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0.27869</cdr:x>
      <cdr:y>0.67389</cdr:y>
    </cdr:from>
    <cdr:to>
      <cdr:x>0.50437</cdr:x>
      <cdr:y>0.75002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413539" y="4239762"/>
          <a:ext cx="1954441" cy="4789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Emissions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17 MMT below cap in 2014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0.2427</cdr:x>
      <cdr:y>0.44482</cdr:y>
    </cdr:from>
    <cdr:to>
      <cdr:x>0.46839</cdr:x>
      <cdr:y>0.51656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101856" y="2798582"/>
          <a:ext cx="1954528" cy="4513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Century Gothic" panose="020B0502020202020204" pitchFamily="34" charset="0"/>
              <a:cs typeface="Arial" panose="020B0604020202020204" pitchFamily="34" charset="0"/>
            </a:rPr>
            <a:t>Emissions</a:t>
          </a:r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 46 MMT below cap in 2015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0.39424</cdr:x>
      <cdr:y>0.36493</cdr:y>
    </cdr:from>
    <cdr:to>
      <cdr:x>0.71179</cdr:x>
      <cdr:y>0.44107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3414827" y="2295587"/>
          <a:ext cx="2750553" cy="4789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Century Gothic" panose="020B0502020202020204" pitchFamily="34" charset="0"/>
              <a:cs typeface="Arial" panose="020B0604020202020204" pitchFamily="34" charset="0"/>
            </a:rPr>
            <a:t>Cap coverage expands from narrow to broad in 2015</a:t>
          </a:r>
          <a:endParaRPr lang="en-US" sz="1200">
            <a:latin typeface="Century Gothic" panose="020B0502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0.31631</cdr:x>
      <cdr:y>0.22468</cdr:y>
    </cdr:from>
    <cdr:to>
      <cdr:x>0.41268</cdr:x>
      <cdr:y>0.36827</cdr:y>
    </cdr:to>
    <cdr:cxnSp macro="">
      <cdr:nvCxnSpPr>
        <cdr:cNvPr id="21" name="Straight Arrow Connector 20"/>
        <cdr:cNvCxnSpPr/>
      </cdr:nvCxnSpPr>
      <cdr:spPr>
        <a:xfrm xmlns:a="http://schemas.openxmlformats.org/drawingml/2006/main" flipH="1" flipV="1">
          <a:off x="2739796" y="1413348"/>
          <a:ext cx="834737" cy="90324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0.77463</cdr:x>
      <cdr:y>0.94006</cdr:y>
    </cdr:from>
    <cdr:to>
      <cdr:x>0.99632</cdr:x>
      <cdr:y>0.99588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709670" y="5913439"/>
          <a:ext cx="1920240" cy="35112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0.77995</cdr:x>
      <cdr:y>0.93835</cdr:y>
    </cdr:from>
    <cdr:to>
      <cdr:x>0.99755</cdr:x>
      <cdr:y>0.99314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752167" y="5898908"/>
          <a:ext cx="1883833" cy="344473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lie%20Kennan/AppData/Local/Microsoft/Windows/INetCache/Content.Outlook/1I8IRNFE/auction%20vs%20free%20allocation%20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"/>
      <sheetName val="Sheet1"/>
      <sheetName val="Sheet2"/>
    </sheetNames>
    <sheetDataSet>
      <sheetData sheetId="0"/>
      <sheetData sheetId="1">
        <row r="22">
          <cell r="A22" t="str">
            <v>Current auction</v>
          </cell>
          <cell r="B22">
            <v>10.619317000000017</v>
          </cell>
          <cell r="C22">
            <v>8.8249700000000004</v>
          </cell>
          <cell r="D22">
            <v>136.95523300000008</v>
          </cell>
          <cell r="E22">
            <v>136.10882299999997</v>
          </cell>
          <cell r="F22">
            <v>128.84131400000001</v>
          </cell>
          <cell r="G22">
            <v>119.39036599999997</v>
          </cell>
          <cell r="H22">
            <v>112.34341100000003</v>
          </cell>
          <cell r="I22">
            <v>105.24499199999991</v>
          </cell>
        </row>
        <row r="23">
          <cell r="A23" t="str">
            <v xml:space="preserve">Advance auction </v>
          </cell>
          <cell r="B23">
            <v>0</v>
          </cell>
          <cell r="C23">
            <v>0</v>
          </cell>
          <cell r="D23">
            <v>39.450000000000003</v>
          </cell>
          <cell r="E23">
            <v>38.24</v>
          </cell>
          <cell r="F23">
            <v>37.04</v>
          </cell>
          <cell r="G23">
            <v>35.830000000000005</v>
          </cell>
          <cell r="H23">
            <v>34.630000000000003</v>
          </cell>
          <cell r="I23">
            <v>33.42</v>
          </cell>
        </row>
        <row r="24">
          <cell r="A24" t="str">
            <v>Consignment auction: POU electricity</v>
          </cell>
          <cell r="B24">
            <v>30.433005000000001</v>
          </cell>
          <cell r="C24">
            <v>30.205413</v>
          </cell>
          <cell r="D24">
            <v>29.454802999999998</v>
          </cell>
          <cell r="E24">
            <v>29.839054999999998</v>
          </cell>
          <cell r="F24">
            <v>30.216631</v>
          </cell>
          <cell r="G24">
            <v>30.271539000000001</v>
          </cell>
          <cell r="H24">
            <v>29.62687</v>
          </cell>
          <cell r="I24">
            <v>28.679976</v>
          </cell>
        </row>
        <row r="25">
          <cell r="A25" t="str">
            <v>Consignment auction: IOU electricity</v>
          </cell>
          <cell r="B25">
            <v>65.410683000000006</v>
          </cell>
          <cell r="C25">
            <v>63.879748999999997</v>
          </cell>
          <cell r="D25">
            <v>62.774023</v>
          </cell>
          <cell r="E25">
            <v>60.611283999999998</v>
          </cell>
          <cell r="F25">
            <v>58.417112000000003</v>
          </cell>
          <cell r="G25">
            <v>56.505763999999999</v>
          </cell>
          <cell r="H25">
            <v>55.294165</v>
          </cell>
          <cell r="I25">
            <v>54.482517000000001</v>
          </cell>
        </row>
        <row r="26">
          <cell r="A26" t="str">
            <v>Free allocation to counter industrial leakage</v>
          </cell>
          <cell r="B26">
            <v>53.894995000000002</v>
          </cell>
          <cell r="C26">
            <v>54.394368</v>
          </cell>
          <cell r="D26">
            <v>55.827437000000003</v>
          </cell>
          <cell r="E26">
            <v>55</v>
          </cell>
          <cell r="F26">
            <v>54</v>
          </cell>
          <cell r="G26">
            <v>46</v>
          </cell>
          <cell r="H26">
            <v>46</v>
          </cell>
          <cell r="I26">
            <v>46</v>
          </cell>
        </row>
        <row r="27">
          <cell r="A27" t="str">
            <v>Free allocation: regulated natural gas deliverers</v>
          </cell>
          <cell r="B27">
            <v>0</v>
          </cell>
          <cell r="C27">
            <v>0</v>
          </cell>
          <cell r="D27">
            <v>45.356999000000002</v>
          </cell>
          <cell r="E27">
            <v>44</v>
          </cell>
          <cell r="F27">
            <v>44</v>
          </cell>
          <cell r="G27">
            <v>43</v>
          </cell>
          <cell r="H27">
            <v>42</v>
          </cell>
          <cell r="I27">
            <v>41</v>
          </cell>
        </row>
        <row r="28">
          <cell r="A28" t="str">
            <v>Free allocation: special cases</v>
          </cell>
          <cell r="B28">
            <v>0</v>
          </cell>
          <cell r="C28">
            <v>0</v>
          </cell>
          <cell r="D28">
            <v>7.9152550000000002</v>
          </cell>
          <cell r="E28">
            <v>2.3488379999999998</v>
          </cell>
          <cell r="F28">
            <v>2.1429429999999998</v>
          </cell>
          <cell r="G28">
            <v>1.3255810000000001</v>
          </cell>
          <cell r="H28">
            <v>1.2988039999999998</v>
          </cell>
          <cell r="I28">
            <v>1.1430150000000001</v>
          </cell>
        </row>
      </sheetData>
      <sheetData sheetId="2">
        <row r="2">
          <cell r="B2">
            <v>2013</v>
          </cell>
          <cell r="C2">
            <v>2014</v>
          </cell>
          <cell r="D2">
            <v>2015</v>
          </cell>
          <cell r="E2">
            <v>2016</v>
          </cell>
          <cell r="F2">
            <v>2017</v>
          </cell>
          <cell r="G2">
            <v>2018</v>
          </cell>
          <cell r="H2">
            <v>2019</v>
          </cell>
          <cell r="I2">
            <v>2020</v>
          </cell>
        </row>
        <row r="3">
          <cell r="A3" t="str">
            <v>Current auction</v>
          </cell>
          <cell r="B3">
            <v>10.619317000000017</v>
          </cell>
          <cell r="C3">
            <v>8.8249700000000004</v>
          </cell>
          <cell r="D3">
            <v>136.95523300000008</v>
          </cell>
          <cell r="E3">
            <v>136.10882299999997</v>
          </cell>
          <cell r="F3">
            <v>128.84131400000001</v>
          </cell>
          <cell r="G3">
            <v>119.39036599999997</v>
          </cell>
          <cell r="H3">
            <v>112.34341100000003</v>
          </cell>
          <cell r="I3">
            <v>105.24499199999991</v>
          </cell>
        </row>
        <row r="4">
          <cell r="A4" t="str">
            <v xml:space="preserve">Advance auction </v>
          </cell>
          <cell r="B4">
            <v>0</v>
          </cell>
          <cell r="C4">
            <v>0</v>
          </cell>
          <cell r="D4">
            <v>39.450000000000003</v>
          </cell>
          <cell r="E4">
            <v>38.24</v>
          </cell>
          <cell r="F4">
            <v>37.04</v>
          </cell>
          <cell r="G4">
            <v>35.830000000000005</v>
          </cell>
          <cell r="H4">
            <v>34.630000000000003</v>
          </cell>
          <cell r="I4">
            <v>33.42</v>
          </cell>
        </row>
        <row r="5">
          <cell r="A5" t="str">
            <v>Consignment auction: POU electricity</v>
          </cell>
          <cell r="B5">
            <v>30.433005000000001</v>
          </cell>
          <cell r="C5">
            <v>30.205413</v>
          </cell>
          <cell r="D5">
            <v>29.454802999999998</v>
          </cell>
          <cell r="E5">
            <v>29.839054999999998</v>
          </cell>
          <cell r="F5">
            <v>30.216631</v>
          </cell>
          <cell r="G5">
            <v>30.271539000000001</v>
          </cell>
          <cell r="H5">
            <v>29.62687</v>
          </cell>
          <cell r="I5">
            <v>28.679976</v>
          </cell>
        </row>
        <row r="6">
          <cell r="A6" t="str">
            <v>Consignment auction: IOU electricity</v>
          </cell>
          <cell r="B6">
            <v>65.410683000000006</v>
          </cell>
          <cell r="C6">
            <v>63.879748999999997</v>
          </cell>
          <cell r="D6">
            <v>62.774023</v>
          </cell>
          <cell r="E6">
            <v>60.611283999999998</v>
          </cell>
          <cell r="F6">
            <v>58.417112000000003</v>
          </cell>
          <cell r="G6">
            <v>56.505763999999999</v>
          </cell>
          <cell r="H6">
            <v>55.294165</v>
          </cell>
          <cell r="I6">
            <v>54.482517000000001</v>
          </cell>
        </row>
        <row r="7">
          <cell r="A7" t="str">
            <v>Free allocation to counter industrial leakage</v>
          </cell>
          <cell r="B7">
            <v>53.894995000000002</v>
          </cell>
          <cell r="C7">
            <v>54.394368</v>
          </cell>
          <cell r="D7">
            <v>55.827437000000003</v>
          </cell>
          <cell r="E7">
            <v>55</v>
          </cell>
          <cell r="F7">
            <v>54</v>
          </cell>
          <cell r="G7">
            <v>46</v>
          </cell>
          <cell r="H7">
            <v>46</v>
          </cell>
          <cell r="I7">
            <v>46</v>
          </cell>
        </row>
        <row r="8">
          <cell r="A8" t="str">
            <v>Free allocation: regulated natural gas deliverers</v>
          </cell>
          <cell r="B8">
            <v>0</v>
          </cell>
          <cell r="C8">
            <v>0</v>
          </cell>
          <cell r="D8">
            <v>45.356999000000002</v>
          </cell>
          <cell r="E8">
            <v>44</v>
          </cell>
          <cell r="F8">
            <v>44</v>
          </cell>
          <cell r="G8">
            <v>43</v>
          </cell>
          <cell r="H8">
            <v>42</v>
          </cell>
          <cell r="I8">
            <v>41</v>
          </cell>
        </row>
        <row r="9">
          <cell r="A9" t="str">
            <v>Free allocation: special cases</v>
          </cell>
          <cell r="B9">
            <v>0</v>
          </cell>
          <cell r="C9">
            <v>0</v>
          </cell>
          <cell r="D9">
            <v>7.9152550000000002</v>
          </cell>
          <cell r="E9">
            <v>2.3488379999999998</v>
          </cell>
          <cell r="F9">
            <v>2.1429429999999998</v>
          </cell>
          <cell r="G9">
            <v>1.3255810000000001</v>
          </cell>
          <cell r="H9">
            <v>1.2988039999999998</v>
          </cell>
          <cell r="I9">
            <v>1.1430150000000001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topLeftCell="A3" workbookViewId="0">
      <selection activeCell="D25" sqref="D25"/>
    </sheetView>
  </sheetViews>
  <sheetFormatPr defaultRowHeight="15" x14ac:dyDescent="0.25"/>
  <sheetData>
    <row r="3" spans="2:5" ht="15.75" x14ac:dyDescent="0.25">
      <c r="B3" s="70" t="s">
        <v>222</v>
      </c>
    </row>
    <row r="4" spans="2:5" ht="15.6" x14ac:dyDescent="0.35">
      <c r="B4" s="70"/>
    </row>
    <row r="5" spans="2:5" ht="15.6" x14ac:dyDescent="0.35">
      <c r="B5" s="70" t="s">
        <v>221</v>
      </c>
    </row>
    <row r="6" spans="2:5" ht="15.6" x14ac:dyDescent="0.35">
      <c r="B6" s="70"/>
      <c r="C6" s="70"/>
      <c r="D6" s="70"/>
      <c r="E6" s="70"/>
    </row>
    <row r="7" spans="2:5" ht="15.6" x14ac:dyDescent="0.35">
      <c r="B7" s="70" t="s">
        <v>226</v>
      </c>
      <c r="C7" s="70"/>
      <c r="D7" s="70"/>
      <c r="E7" s="70"/>
    </row>
    <row r="8" spans="2:5" ht="15.6" x14ac:dyDescent="0.35">
      <c r="B8" s="70"/>
      <c r="C8" s="70"/>
      <c r="D8" s="70"/>
      <c r="E8" s="70"/>
    </row>
    <row r="9" spans="2:5" ht="15.6" x14ac:dyDescent="0.35">
      <c r="B9" s="70" t="s">
        <v>223</v>
      </c>
      <c r="C9" s="70"/>
      <c r="D9" s="70"/>
      <c r="E9" s="70"/>
    </row>
    <row r="10" spans="2:5" ht="15.6" x14ac:dyDescent="0.35">
      <c r="B10" s="70"/>
      <c r="C10" s="70"/>
      <c r="D10" s="70"/>
      <c r="E10" s="70"/>
    </row>
    <row r="11" spans="2:5" ht="15.6" x14ac:dyDescent="0.35">
      <c r="B11" s="70" t="s">
        <v>224</v>
      </c>
      <c r="C11" s="70"/>
      <c r="D11" s="70"/>
      <c r="E11" s="70"/>
    </row>
    <row r="12" spans="2:5" ht="15.6" x14ac:dyDescent="0.35">
      <c r="C12" s="70"/>
      <c r="D12" s="70"/>
      <c r="E12" s="70"/>
    </row>
    <row r="13" spans="2:5" ht="15.6" x14ac:dyDescent="0.35">
      <c r="B13" s="70" t="s">
        <v>225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1" workbookViewId="0">
      <selection activeCell="C14" sqref="C14"/>
    </sheetView>
  </sheetViews>
  <sheetFormatPr defaultRowHeight="15" x14ac:dyDescent="0.25"/>
  <cols>
    <col min="1" max="1" width="48.42578125" bestFit="1" customWidth="1"/>
    <col min="2" max="2" width="13.5703125" bestFit="1" customWidth="1"/>
    <col min="3" max="3" width="24.85546875" bestFit="1" customWidth="1"/>
    <col min="9" max="9" width="12" bestFit="1" customWidth="1"/>
  </cols>
  <sheetData>
    <row r="1" spans="1:10" ht="14.45" x14ac:dyDescent="0.35">
      <c r="B1" t="str">
        <f>'demand scenarios'!B1</f>
        <v>Flat emissions</v>
      </c>
      <c r="C1" t="str">
        <f>'demand scenarios'!C1</f>
        <v>Emissions fall at 2% annually</v>
      </c>
    </row>
    <row r="2" spans="1:10" ht="14.45" x14ac:dyDescent="0.35">
      <c r="A2">
        <f>'demand scenarios'!A2</f>
        <v>2015</v>
      </c>
      <c r="B2">
        <f>'demand scenarios'!B2</f>
        <v>398012325</v>
      </c>
      <c r="C2" s="8">
        <f>'demand scenarios'!C2</f>
        <v>398012325</v>
      </c>
    </row>
    <row r="3" spans="1:10" ht="14.45" x14ac:dyDescent="0.35">
      <c r="A3">
        <f>'demand scenarios'!A3</f>
        <v>2016</v>
      </c>
      <c r="B3">
        <f>'demand scenarios'!B3</f>
        <v>398012325</v>
      </c>
      <c r="C3">
        <f>'demand scenarios'!C3</f>
        <v>390052078.5</v>
      </c>
    </row>
    <row r="4" spans="1:10" ht="14.45" x14ac:dyDescent="0.35">
      <c r="A4">
        <f>'demand scenarios'!A4</f>
        <v>2017</v>
      </c>
      <c r="B4">
        <f>'demand scenarios'!B4</f>
        <v>398012325</v>
      </c>
      <c r="C4">
        <f>'demand scenarios'!C4</f>
        <v>382251036.93000001</v>
      </c>
    </row>
    <row r="5" spans="1:10" ht="14.45" x14ac:dyDescent="0.35">
      <c r="A5">
        <f>'demand scenarios'!A5</f>
        <v>2018</v>
      </c>
      <c r="B5">
        <f>'demand scenarios'!B5</f>
        <v>398012325</v>
      </c>
      <c r="C5">
        <f>'demand scenarios'!C5</f>
        <v>374606016.19139999</v>
      </c>
      <c r="E5" t="s">
        <v>82</v>
      </c>
    </row>
    <row r="6" spans="1:10" ht="14.45" x14ac:dyDescent="0.35">
      <c r="A6">
        <f>'demand scenarios'!A6</f>
        <v>2019</v>
      </c>
      <c r="B6">
        <f>'demand scenarios'!B6</f>
        <v>398012325</v>
      </c>
      <c r="C6">
        <f>'demand scenarios'!C6</f>
        <v>367113895.86757201</v>
      </c>
      <c r="E6" t="s">
        <v>83</v>
      </c>
    </row>
    <row r="7" spans="1:10" ht="14.45" x14ac:dyDescent="0.35">
      <c r="A7">
        <f>'demand scenarios'!A7</f>
        <v>2020</v>
      </c>
      <c r="B7">
        <f>'demand scenarios'!B7</f>
        <v>398012325</v>
      </c>
      <c r="C7">
        <f>'demand scenarios'!C7</f>
        <v>359771617.95022058</v>
      </c>
    </row>
    <row r="8" spans="1:10" ht="14.45" x14ac:dyDescent="0.35">
      <c r="I8">
        <v>116266979.56080723</v>
      </c>
      <c r="J8" t="s">
        <v>80</v>
      </c>
    </row>
    <row r="9" spans="1:10" ht="14.45" x14ac:dyDescent="0.35">
      <c r="A9" t="s">
        <v>20</v>
      </c>
      <c r="B9" s="1">
        <f>SUM(B2:B7)</f>
        <v>2388073950</v>
      </c>
      <c r="C9" s="1">
        <f>SUM(C2:C7)</f>
        <v>2271806970.4391928</v>
      </c>
      <c r="E9" s="9" t="s">
        <v>28</v>
      </c>
      <c r="F9" s="9"/>
      <c r="G9" s="9"/>
      <c r="H9" s="9"/>
      <c r="I9" s="2">
        <f>B9-C9</f>
        <v>116266979.56080723</v>
      </c>
    </row>
    <row r="11" spans="1:10" ht="14.45" x14ac:dyDescent="0.35">
      <c r="A11" s="21" t="s">
        <v>81</v>
      </c>
      <c r="B11" s="1">
        <v>0</v>
      </c>
      <c r="C11" s="1">
        <f>0.08*C9</f>
        <v>181744557.63513541</v>
      </c>
    </row>
    <row r="12" spans="1:10" ht="14.45" x14ac:dyDescent="0.35">
      <c r="B12" s="21" t="s">
        <v>85</v>
      </c>
      <c r="C12" s="21" t="s">
        <v>86</v>
      </c>
    </row>
    <row r="13" spans="1:10" ht="14.45" x14ac:dyDescent="0.35">
      <c r="A13" t="s">
        <v>84</v>
      </c>
      <c r="B13" s="2">
        <f>B9-B11</f>
        <v>2388073950</v>
      </c>
      <c r="C13" s="2">
        <f>C9-C11</f>
        <v>2090062412.8040574</v>
      </c>
      <c r="E13" t="s">
        <v>21</v>
      </c>
    </row>
    <row r="15" spans="1:10" ht="14.45" x14ac:dyDescent="0.35">
      <c r="A15" t="s">
        <v>22</v>
      </c>
      <c r="B15">
        <f>'current allowance holdings'!$D$13</f>
        <v>909465493</v>
      </c>
      <c r="C15">
        <f>'current allowance holdings'!$D$13</f>
        <v>909465493</v>
      </c>
    </row>
    <row r="17" spans="1:6" ht="14.45" x14ac:dyDescent="0.35">
      <c r="A17" t="s">
        <v>24</v>
      </c>
      <c r="B17">
        <f>B13-B15</f>
        <v>1478608457</v>
      </c>
      <c r="C17">
        <f>C13-C15</f>
        <v>1180596919.8040574</v>
      </c>
    </row>
    <row r="19" spans="1:6" ht="14.45" x14ac:dyDescent="0.35">
      <c r="A19" t="s">
        <v>51</v>
      </c>
      <c r="B19" s="2">
        <f>'retired available for CP2 &amp; 3'!$B$16</f>
        <v>128820072</v>
      </c>
      <c r="C19">
        <f>'retired available for CP2 &amp; 3'!$B$16</f>
        <v>128820072</v>
      </c>
    </row>
    <row r="21" spans="1:6" ht="14.45" x14ac:dyDescent="0.35">
      <c r="A21" t="s">
        <v>52</v>
      </c>
      <c r="B21" s="2">
        <f>B17-B19</f>
        <v>1349788385</v>
      </c>
      <c r="C21" s="1">
        <f>C17-C19</f>
        <v>1051776847.8040574</v>
      </c>
    </row>
    <row r="23" spans="1:6" ht="14.45" x14ac:dyDescent="0.35">
      <c r="A23" t="s">
        <v>25</v>
      </c>
      <c r="B23">
        <f>'future supply'!$B$12</f>
        <v>1449919150</v>
      </c>
      <c r="C23">
        <f>'future supply'!$B$12</f>
        <v>1449919150</v>
      </c>
    </row>
    <row r="25" spans="1:6" ht="14.45" x14ac:dyDescent="0.35">
      <c r="A25" t="s">
        <v>26</v>
      </c>
      <c r="B25" s="8">
        <f>B21/B23</f>
        <v>0.93094044933470943</v>
      </c>
      <c r="C25" s="8">
        <f>C21/C23</f>
        <v>0.72540379082796258</v>
      </c>
      <c r="E25" t="s">
        <v>32</v>
      </c>
      <c r="F25">
        <f>(B25+C25)/2</f>
        <v>0.82817212008133601</v>
      </c>
    </row>
    <row r="27" spans="1:6" ht="14.45" x14ac:dyDescent="0.35">
      <c r="A27" t="s">
        <v>27</v>
      </c>
      <c r="B27" s="1">
        <f>B23-B21</f>
        <v>100130765</v>
      </c>
      <c r="C27" s="1">
        <f>C23-C21</f>
        <v>398142302.19594264</v>
      </c>
    </row>
    <row r="29" spans="1:6" ht="14.45" x14ac:dyDescent="0.35">
      <c r="A29" t="s">
        <v>45</v>
      </c>
    </row>
    <row r="31" spans="1:6" ht="14.45" x14ac:dyDescent="0.35">
      <c r="A31" t="s">
        <v>37</v>
      </c>
    </row>
    <row r="32" spans="1:6" ht="14.45" x14ac:dyDescent="0.35">
      <c r="A32">
        <v>0.27</v>
      </c>
    </row>
    <row r="33" spans="1:7" ht="14.45" x14ac:dyDescent="0.35">
      <c r="A33" t="s">
        <v>46</v>
      </c>
    </row>
    <row r="34" spans="1:7" ht="14.45" x14ac:dyDescent="0.35">
      <c r="A34">
        <f>A32*B23</f>
        <v>391478170.5</v>
      </c>
    </row>
    <row r="35" spans="1:7" ht="14.45" x14ac:dyDescent="0.35">
      <c r="A35" t="s">
        <v>47</v>
      </c>
    </row>
    <row r="36" spans="1:7" ht="14.45" x14ac:dyDescent="0.35">
      <c r="A36">
        <f>B23-A34</f>
        <v>1058440979.5</v>
      </c>
    </row>
    <row r="38" spans="1:7" ht="14.45" x14ac:dyDescent="0.35">
      <c r="A38" t="s">
        <v>48</v>
      </c>
      <c r="B38" s="2">
        <f>B21-A34</f>
        <v>958310214.5</v>
      </c>
      <c r="C38" s="2">
        <f>C21-A34</f>
        <v>660298677.30405736</v>
      </c>
    </row>
    <row r="40" spans="1:7" x14ac:dyDescent="0.25">
      <c r="A40" t="s">
        <v>49</v>
      </c>
      <c r="B40">
        <f>B38/A36</f>
        <v>0.90539787580097186</v>
      </c>
      <c r="C40">
        <f>C38/A36</f>
        <v>0.62384080935337349</v>
      </c>
      <c r="E40" t="s">
        <v>53</v>
      </c>
      <c r="G40">
        <f>(B40+C40)/2</f>
        <v>0.76461934257717268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20" sqref="G20"/>
    </sheetView>
  </sheetViews>
  <sheetFormatPr defaultRowHeight="15" x14ac:dyDescent="0.25"/>
  <cols>
    <col min="5" max="5" width="26.42578125" bestFit="1" customWidth="1"/>
    <col min="6" max="6" width="14.28515625" bestFit="1" customWidth="1"/>
    <col min="7" max="7" width="24.85546875" bestFit="1" customWidth="1"/>
    <col min="8" max="8" width="27.5703125" bestFit="1" customWidth="1"/>
  </cols>
  <sheetData>
    <row r="1" spans="1:8" x14ac:dyDescent="0.35">
      <c r="A1">
        <f>'demand scenarios'!A1</f>
        <v>0</v>
      </c>
      <c r="B1" t="str">
        <f>'demand scenarios'!B1</f>
        <v>Flat emissions</v>
      </c>
      <c r="C1" t="str">
        <f>'demand scenarios'!C1</f>
        <v>Emissions fall at 2% annually</v>
      </c>
      <c r="D1" t="str">
        <f>'demand scenarios'!D1</f>
        <v>emissions continued 1% decline</v>
      </c>
      <c r="E1" t="str">
        <f>'demand scenarios'!E1</f>
        <v>cap level</v>
      </c>
      <c r="F1" t="str">
        <f>'demand scenarios'!F1</f>
        <v>flat emissions</v>
      </c>
      <c r="G1" t="str">
        <f>'demand scenarios'!G1</f>
        <v>emissions fall at 2% annually</v>
      </c>
      <c r="H1" t="str">
        <f>'demand scenarios'!H1</f>
        <v>emissions continued 1% decline</v>
      </c>
    </row>
    <row r="2" spans="1:8" x14ac:dyDescent="0.35">
      <c r="A2">
        <f>'demand scenarios'!A2</f>
        <v>2015</v>
      </c>
      <c r="B2">
        <f>'demand scenarios'!B2</f>
        <v>398012325</v>
      </c>
      <c r="C2">
        <f>'demand scenarios'!C2</f>
        <v>398012325</v>
      </c>
      <c r="D2">
        <f>'demand scenarios'!D2</f>
        <v>398012325</v>
      </c>
      <c r="E2">
        <f>'demand scenarios'!E2</f>
        <v>444020000.00000006</v>
      </c>
      <c r="F2" s="1">
        <f>'demand scenarios'!F2</f>
        <v>-46007675.00000006</v>
      </c>
      <c r="G2" s="1">
        <f>'demand scenarios'!G2</f>
        <v>-46007675.00000006</v>
      </c>
      <c r="H2" s="1">
        <f>'demand scenarios'!H2</f>
        <v>-46007675.00000006</v>
      </c>
    </row>
    <row r="3" spans="1:8" x14ac:dyDescent="0.35">
      <c r="A3">
        <f>'demand scenarios'!A3</f>
        <v>2016</v>
      </c>
      <c r="B3">
        <f>'demand scenarios'!B3</f>
        <v>398012325</v>
      </c>
      <c r="C3">
        <f>'demand scenarios'!C3</f>
        <v>390052078.5</v>
      </c>
      <c r="D3">
        <f>'demand scenarios'!D3</f>
        <v>394032201.75</v>
      </c>
      <c r="E3">
        <f>'demand scenarios'!E3</f>
        <v>430294000</v>
      </c>
      <c r="F3" s="1">
        <f>'demand scenarios'!F3</f>
        <v>-32281675</v>
      </c>
      <c r="G3" s="1">
        <f>'demand scenarios'!G3</f>
        <v>-40241921.5</v>
      </c>
      <c r="H3" s="1">
        <f>'demand scenarios'!H3</f>
        <v>-36261798.25</v>
      </c>
    </row>
    <row r="4" spans="1:8" x14ac:dyDescent="0.35">
      <c r="A4">
        <f>'demand scenarios'!A4</f>
        <v>2017</v>
      </c>
      <c r="B4">
        <f>'demand scenarios'!B4</f>
        <v>398012325</v>
      </c>
      <c r="C4">
        <f>'demand scenarios'!C4</f>
        <v>382251036.93000001</v>
      </c>
      <c r="D4">
        <f>'demand scenarios'!D4</f>
        <v>390091879.73250002</v>
      </c>
      <c r="E4">
        <f>'demand scenarios'!E4</f>
        <v>416664000</v>
      </c>
      <c r="F4" s="1">
        <f>'demand scenarios'!F4</f>
        <v>-18651675</v>
      </c>
      <c r="G4" s="1">
        <f>'demand scenarios'!G4</f>
        <v>-34412963.069999993</v>
      </c>
      <c r="H4" s="1">
        <f>'demand scenarios'!H4</f>
        <v>-26572120.267499983</v>
      </c>
    </row>
    <row r="5" spans="1:8" x14ac:dyDescent="0.35">
      <c r="A5">
        <f>'demand scenarios'!A5</f>
        <v>2018</v>
      </c>
      <c r="B5">
        <f>'demand scenarios'!B5</f>
        <v>398012325</v>
      </c>
      <c r="C5">
        <f>'demand scenarios'!C5</f>
        <v>374606016.19139999</v>
      </c>
      <c r="D5">
        <f>'demand scenarios'!D5</f>
        <v>386190960.935175</v>
      </c>
      <c r="E5">
        <f>'demand scenarios'!E5</f>
        <v>392179000</v>
      </c>
      <c r="F5" s="1">
        <f>'demand scenarios'!F5</f>
        <v>5833325</v>
      </c>
      <c r="G5" s="1">
        <f>'demand scenarios'!G5</f>
        <v>-17572983.808600008</v>
      </c>
      <c r="H5" s="1">
        <f>'demand scenarios'!H5</f>
        <v>-5988039.0648249984</v>
      </c>
    </row>
    <row r="6" spans="1:8" x14ac:dyDescent="0.35">
      <c r="A6">
        <f>'demand scenarios'!A6</f>
        <v>2019</v>
      </c>
      <c r="B6">
        <f>'demand scenarios'!B6</f>
        <v>398012325</v>
      </c>
      <c r="C6">
        <f>'demand scenarios'!C6</f>
        <v>367113895.86757201</v>
      </c>
      <c r="D6">
        <f>'demand scenarios'!D6</f>
        <v>382329051.32582325</v>
      </c>
      <c r="E6">
        <f>'demand scenarios'!E6</f>
        <v>378909000.00000006</v>
      </c>
      <c r="F6" s="1">
        <f>'demand scenarios'!F6</f>
        <v>19103324.99999994</v>
      </c>
      <c r="G6" s="1">
        <f>'demand scenarios'!G6</f>
        <v>-11795104.13242805</v>
      </c>
      <c r="H6" s="1">
        <f>'demand scenarios'!H6</f>
        <v>3420051.3258231878</v>
      </c>
    </row>
    <row r="7" spans="1:8" x14ac:dyDescent="0.35">
      <c r="A7">
        <f>'demand scenarios'!A7</f>
        <v>2020</v>
      </c>
      <c r="B7">
        <f>'demand scenarios'!B7</f>
        <v>398012325</v>
      </c>
      <c r="C7">
        <f>'demand scenarios'!C7</f>
        <v>359771617.95022058</v>
      </c>
      <c r="D7">
        <f>'demand scenarios'!D7</f>
        <v>378505760.81256503</v>
      </c>
      <c r="E7">
        <f>'demand scenarios'!E7</f>
        <v>365546000</v>
      </c>
      <c r="F7" s="1">
        <f>'demand scenarios'!F7</f>
        <v>32466325</v>
      </c>
      <c r="G7" s="1">
        <f>'demand scenarios'!G7</f>
        <v>-5774382.0497794151</v>
      </c>
      <c r="H7" s="1">
        <f>'demand scenarios'!H7</f>
        <v>12959760.812565029</v>
      </c>
    </row>
    <row r="9" spans="1:8" x14ac:dyDescent="0.35">
      <c r="F9" t="str">
        <f>F1</f>
        <v>flat emissions</v>
      </c>
      <c r="G9" t="str">
        <f>G1</f>
        <v>emissions fall at 2% annually</v>
      </c>
      <c r="H9" t="str">
        <f>H1</f>
        <v>emissions continued 1% decline</v>
      </c>
    </row>
    <row r="10" spans="1:8" x14ac:dyDescent="0.35">
      <c r="E10" t="s">
        <v>43</v>
      </c>
      <c r="F10">
        <v>2018</v>
      </c>
      <c r="G10">
        <v>2021</v>
      </c>
      <c r="H10">
        <v>2019</v>
      </c>
    </row>
    <row r="11" spans="1:8" x14ac:dyDescent="0.35">
      <c r="E11" t="s">
        <v>44</v>
      </c>
      <c r="F11" s="1">
        <f>F7</f>
        <v>32466325</v>
      </c>
      <c r="G11" s="1">
        <f>G7</f>
        <v>-5774382.0497794151</v>
      </c>
      <c r="H11" s="1">
        <f>H7</f>
        <v>12959760.812565029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E43" sqref="E43"/>
    </sheetView>
  </sheetViews>
  <sheetFormatPr defaultRowHeight="15" x14ac:dyDescent="0.25"/>
  <cols>
    <col min="1" max="1" width="9.140625" customWidth="1"/>
    <col min="2" max="2" width="17.42578125" bestFit="1" customWidth="1"/>
    <col min="3" max="3" width="27.5703125" bestFit="1" customWidth="1"/>
    <col min="4" max="4" width="27.42578125" bestFit="1" customWidth="1"/>
    <col min="5" max="5" width="14.5703125" bestFit="1" customWidth="1"/>
    <col min="6" max="6" width="12" bestFit="1" customWidth="1"/>
    <col min="7" max="7" width="24.85546875" bestFit="1" customWidth="1"/>
    <col min="8" max="8" width="27.42578125" bestFit="1" customWidth="1"/>
  </cols>
  <sheetData>
    <row r="1" spans="1:8" ht="14.45" x14ac:dyDescent="0.35">
      <c r="B1" t="s">
        <v>56</v>
      </c>
      <c r="C1" t="s">
        <v>143</v>
      </c>
      <c r="D1" t="s">
        <v>39</v>
      </c>
      <c r="E1" t="s">
        <v>42</v>
      </c>
      <c r="F1" t="s">
        <v>18</v>
      </c>
      <c r="G1" t="s">
        <v>40</v>
      </c>
      <c r="H1" t="s">
        <v>39</v>
      </c>
    </row>
    <row r="2" spans="1:8" ht="14.45" x14ac:dyDescent="0.35">
      <c r="A2">
        <v>2015</v>
      </c>
      <c r="B2" s="11">
        <f>'MRR data across the two'!$K$2</f>
        <v>398012325</v>
      </c>
      <c r="C2" s="11">
        <f>'MRR data across the two'!$K$2</f>
        <v>398012325</v>
      </c>
      <c r="D2" s="11">
        <f>'MRR data across the two'!$K$2</f>
        <v>398012325</v>
      </c>
      <c r="E2" s="3">
        <f>'MRR data with caps for graph'!J4*1000000</f>
        <v>444020000.00000006</v>
      </c>
      <c r="F2" s="2">
        <f t="shared" ref="F2:F7" si="0">B2-$E2</f>
        <v>-46007675.00000006</v>
      </c>
      <c r="G2" s="2">
        <f t="shared" ref="G2:H7" si="1">C2-$E2</f>
        <v>-46007675.00000006</v>
      </c>
      <c r="H2" s="2">
        <f t="shared" si="1"/>
        <v>-46007675.00000006</v>
      </c>
    </row>
    <row r="3" spans="1:8" ht="14.45" x14ac:dyDescent="0.35">
      <c r="A3">
        <v>2016</v>
      </c>
      <c r="B3" s="11">
        <f>'MRR data across the two'!$K$2</f>
        <v>398012325</v>
      </c>
      <c r="C3" s="11">
        <f>C2-0.02*C2</f>
        <v>390052078.5</v>
      </c>
      <c r="D3" s="8">
        <f>D2-D2*0.01</f>
        <v>394032201.75</v>
      </c>
      <c r="E3" s="3">
        <f>'MRR data with caps for graph'!J5*1000000</f>
        <v>430294000</v>
      </c>
      <c r="F3" s="2">
        <f t="shared" si="0"/>
        <v>-32281675</v>
      </c>
      <c r="G3" s="2">
        <f t="shared" si="1"/>
        <v>-40241921.5</v>
      </c>
      <c r="H3" s="2">
        <f t="shared" si="1"/>
        <v>-36261798.25</v>
      </c>
    </row>
    <row r="4" spans="1:8" ht="14.45" x14ac:dyDescent="0.35">
      <c r="A4">
        <v>2017</v>
      </c>
      <c r="B4" s="11">
        <f>'MRR data across the two'!$K$2</f>
        <v>398012325</v>
      </c>
      <c r="C4" s="11">
        <f>C3-0.02*C3</f>
        <v>382251036.93000001</v>
      </c>
      <c r="D4" s="8">
        <f>D3-D3*0.01</f>
        <v>390091879.73250002</v>
      </c>
      <c r="E4" s="3">
        <f>'MRR data with caps for graph'!J6*1000000</f>
        <v>416664000</v>
      </c>
      <c r="F4" s="2">
        <f t="shared" si="0"/>
        <v>-18651675</v>
      </c>
      <c r="G4" s="2">
        <f t="shared" si="1"/>
        <v>-34412963.069999993</v>
      </c>
      <c r="H4" s="2">
        <f t="shared" si="1"/>
        <v>-26572120.267499983</v>
      </c>
    </row>
    <row r="5" spans="1:8" ht="14.45" x14ac:dyDescent="0.35">
      <c r="A5">
        <v>2018</v>
      </c>
      <c r="B5" s="11">
        <f>'MRR data across the two'!$K$2</f>
        <v>398012325</v>
      </c>
      <c r="C5" s="11">
        <f>C4-0.02*C4</f>
        <v>374606016.19139999</v>
      </c>
      <c r="D5" s="8">
        <f>D4-D4*0.01</f>
        <v>386190960.935175</v>
      </c>
      <c r="E5" s="3">
        <f>'MRR data with caps for graph'!J7*1000000</f>
        <v>392179000</v>
      </c>
      <c r="F5" s="2">
        <f t="shared" si="0"/>
        <v>5833325</v>
      </c>
      <c r="G5" s="2">
        <f t="shared" si="1"/>
        <v>-17572983.808600008</v>
      </c>
      <c r="H5" s="2">
        <f t="shared" si="1"/>
        <v>-5988039.0648249984</v>
      </c>
    </row>
    <row r="6" spans="1:8" ht="14.45" x14ac:dyDescent="0.35">
      <c r="A6">
        <v>2019</v>
      </c>
      <c r="B6" s="11">
        <f>'MRR data across the two'!$K$2</f>
        <v>398012325</v>
      </c>
      <c r="C6" s="11">
        <f>C5-0.02*C5</f>
        <v>367113895.86757201</v>
      </c>
      <c r="D6" s="8">
        <f>D5-D5*0.01</f>
        <v>382329051.32582325</v>
      </c>
      <c r="E6" s="3">
        <f>'MRR data with caps for graph'!J8*1000000</f>
        <v>378909000.00000006</v>
      </c>
      <c r="F6" s="2">
        <f t="shared" si="0"/>
        <v>19103324.99999994</v>
      </c>
      <c r="G6" s="2">
        <f t="shared" si="1"/>
        <v>-11795104.13242805</v>
      </c>
      <c r="H6" s="2">
        <f t="shared" si="1"/>
        <v>3420051.3258231878</v>
      </c>
    </row>
    <row r="7" spans="1:8" ht="14.45" x14ac:dyDescent="0.35">
      <c r="A7">
        <v>2020</v>
      </c>
      <c r="B7" s="11">
        <f>'MRR data across the two'!$K$2</f>
        <v>398012325</v>
      </c>
      <c r="C7" s="11">
        <f>C6-0.02*C6</f>
        <v>359771617.95022058</v>
      </c>
      <c r="D7" s="8">
        <f>D6-D6*0.01</f>
        <v>378505760.81256503</v>
      </c>
      <c r="E7" s="3">
        <f>'MRR data with caps for graph'!J9*1000000</f>
        <v>365546000</v>
      </c>
      <c r="F7" s="2">
        <f t="shared" si="0"/>
        <v>32466325</v>
      </c>
      <c r="G7" s="2">
        <f t="shared" si="1"/>
        <v>-5774382.0497794151</v>
      </c>
      <c r="H7" s="2">
        <f t="shared" si="1"/>
        <v>12959760.812565029</v>
      </c>
    </row>
    <row r="9" spans="1:8" ht="72.599999999999994" x14ac:dyDescent="0.35">
      <c r="A9" s="13" t="s">
        <v>41</v>
      </c>
      <c r="B9">
        <v>2018</v>
      </c>
      <c r="C9">
        <v>2020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6" sqref="B16"/>
    </sheetView>
  </sheetViews>
  <sheetFormatPr defaultRowHeight="15" x14ac:dyDescent="0.25"/>
  <cols>
    <col min="1" max="1" width="59.5703125" bestFit="1" customWidth="1"/>
    <col min="2" max="2" width="14.5703125" bestFit="1" customWidth="1"/>
    <col min="4" max="4" width="19.85546875" bestFit="1" customWidth="1"/>
    <col min="7" max="7" width="14" bestFit="1" customWidth="1"/>
  </cols>
  <sheetData>
    <row r="1" spans="1:7" ht="15.6" x14ac:dyDescent="0.35">
      <c r="D1" t="s">
        <v>7</v>
      </c>
      <c r="G1" s="6" t="s">
        <v>15</v>
      </c>
    </row>
    <row r="2" spans="1:7" ht="15.6" x14ac:dyDescent="0.35">
      <c r="A2" t="s">
        <v>19</v>
      </c>
      <c r="B2" s="1">
        <v>278408105</v>
      </c>
      <c r="D2">
        <v>178220226</v>
      </c>
      <c r="G2" s="4">
        <v>178220226</v>
      </c>
    </row>
    <row r="3" spans="1:7" ht="15.6" x14ac:dyDescent="0.35">
      <c r="D3">
        <v>152877240</v>
      </c>
      <c r="G3" s="4">
        <v>152877240</v>
      </c>
    </row>
    <row r="4" spans="1:7" ht="15.6" x14ac:dyDescent="0.35">
      <c r="D4">
        <v>73964756</v>
      </c>
      <c r="G4" s="4">
        <v>73964756</v>
      </c>
    </row>
    <row r="5" spans="1:7" ht="15.6" x14ac:dyDescent="0.35">
      <c r="D5">
        <v>2044254</v>
      </c>
      <c r="G5" s="4">
        <v>2044254</v>
      </c>
    </row>
    <row r="6" spans="1:7" ht="15.6" x14ac:dyDescent="0.35">
      <c r="D6">
        <v>121701</v>
      </c>
      <c r="G6" s="4">
        <v>121701</v>
      </c>
    </row>
    <row r="7" spans="1:7" ht="15.6" x14ac:dyDescent="0.35">
      <c r="D7">
        <v>0</v>
      </c>
      <c r="G7" s="4">
        <v>0</v>
      </c>
    </row>
    <row r="8" spans="1:7" ht="15.6" x14ac:dyDescent="0.35">
      <c r="D8">
        <v>0</v>
      </c>
      <c r="G8" s="4">
        <v>0</v>
      </c>
    </row>
    <row r="9" spans="1:7" ht="15.6" x14ac:dyDescent="0.35">
      <c r="D9">
        <v>0</v>
      </c>
      <c r="G9" s="4">
        <v>0</v>
      </c>
    </row>
    <row r="10" spans="1:7" ht="14.45" x14ac:dyDescent="0.35">
      <c r="C10" t="s">
        <v>8</v>
      </c>
      <c r="D10">
        <f>SUM(D2:D9)</f>
        <v>407228177</v>
      </c>
    </row>
    <row r="16" spans="1:7" ht="14.45" x14ac:dyDescent="0.35">
      <c r="A16" t="s">
        <v>16</v>
      </c>
      <c r="B16" s="2">
        <f>D10-B2</f>
        <v>128820072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2" sqref="B12"/>
    </sheetView>
  </sheetViews>
  <sheetFormatPr defaultRowHeight="15" x14ac:dyDescent="0.25"/>
  <cols>
    <col min="1" max="1" width="24.85546875" bestFit="1" customWidth="1"/>
    <col min="2" max="2" width="26.85546875" bestFit="1" customWidth="1"/>
    <col min="5" max="5" width="12.85546875" bestFit="1" customWidth="1"/>
  </cols>
  <sheetData>
    <row r="1" spans="1:5" ht="46.5" x14ac:dyDescent="0.35">
      <c r="B1" t="s">
        <v>9</v>
      </c>
      <c r="E1" s="7" t="s">
        <v>9</v>
      </c>
    </row>
    <row r="2" spans="1:5" ht="15.6" x14ac:dyDescent="0.35">
      <c r="B2">
        <v>820</v>
      </c>
      <c r="E2" s="4">
        <v>820</v>
      </c>
    </row>
    <row r="3" spans="1:5" ht="15.6" x14ac:dyDescent="0.35">
      <c r="B3">
        <v>85371</v>
      </c>
      <c r="E3" s="4">
        <v>85371</v>
      </c>
    </row>
    <row r="4" spans="1:5" ht="15.6" x14ac:dyDescent="0.35">
      <c r="B4">
        <v>114055</v>
      </c>
      <c r="E4" s="4">
        <v>114055</v>
      </c>
    </row>
    <row r="5" spans="1:5" ht="15.6" x14ac:dyDescent="0.35">
      <c r="B5">
        <v>105324487</v>
      </c>
      <c r="E5" s="4">
        <v>105324487</v>
      </c>
    </row>
    <row r="6" spans="1:5" ht="15.6" x14ac:dyDescent="0.35">
      <c r="B6">
        <v>215645519</v>
      </c>
      <c r="E6" s="4">
        <v>215645519</v>
      </c>
    </row>
    <row r="7" spans="1:5" ht="15.6" x14ac:dyDescent="0.35">
      <c r="B7">
        <v>346049550</v>
      </c>
      <c r="E7" s="4">
        <v>346049550</v>
      </c>
    </row>
    <row r="8" spans="1:5" ht="15.6" x14ac:dyDescent="0.35">
      <c r="B8">
        <v>361999750</v>
      </c>
      <c r="E8" s="4">
        <v>361999750</v>
      </c>
    </row>
    <row r="9" spans="1:5" ht="15.6" x14ac:dyDescent="0.35">
      <c r="B9">
        <v>360878700</v>
      </c>
      <c r="E9" s="4">
        <v>360878700</v>
      </c>
    </row>
    <row r="10" spans="1:5" ht="15.6" x14ac:dyDescent="0.35">
      <c r="A10" s="5" t="s">
        <v>11</v>
      </c>
      <c r="B10" s="4">
        <v>59820898</v>
      </c>
    </row>
    <row r="12" spans="1:5" ht="14.45" x14ac:dyDescent="0.35">
      <c r="A12" t="s">
        <v>10</v>
      </c>
      <c r="B12" s="1">
        <f>SUM(B2:B10)</f>
        <v>1449919150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13" sqref="D13"/>
    </sheetView>
  </sheetViews>
  <sheetFormatPr defaultRowHeight="15" x14ac:dyDescent="0.25"/>
  <cols>
    <col min="4" max="4" width="14.5703125" bestFit="1" customWidth="1"/>
  </cols>
  <sheetData>
    <row r="2" spans="1:4" x14ac:dyDescent="0.35">
      <c r="A2" t="s">
        <v>12</v>
      </c>
      <c r="B2" t="s">
        <v>13</v>
      </c>
      <c r="C2" t="s">
        <v>14</v>
      </c>
    </row>
    <row r="3" spans="1:4" x14ac:dyDescent="0.35">
      <c r="A3">
        <v>2013</v>
      </c>
      <c r="B3">
        <v>4142276</v>
      </c>
      <c r="C3">
        <v>1351548</v>
      </c>
    </row>
    <row r="4" spans="1:4" x14ac:dyDescent="0.35">
      <c r="A4">
        <v>2014</v>
      </c>
      <c r="B4">
        <v>20547846</v>
      </c>
      <c r="C4">
        <v>6762043</v>
      </c>
    </row>
    <row r="5" spans="1:4" x14ac:dyDescent="0.35">
      <c r="A5">
        <v>2015</v>
      </c>
      <c r="B5">
        <v>127639626</v>
      </c>
      <c r="C5">
        <v>238703313</v>
      </c>
    </row>
    <row r="6" spans="1:4" x14ac:dyDescent="0.35">
      <c r="A6">
        <v>2016</v>
      </c>
      <c r="B6">
        <v>144811465</v>
      </c>
      <c r="C6">
        <v>174630194</v>
      </c>
    </row>
    <row r="7" spans="1:4" x14ac:dyDescent="0.35">
      <c r="A7">
        <v>2017</v>
      </c>
      <c r="B7">
        <v>61081204</v>
      </c>
      <c r="C7">
        <v>76625478</v>
      </c>
    </row>
    <row r="8" spans="1:4" x14ac:dyDescent="0.35">
      <c r="A8">
        <v>2018</v>
      </c>
      <c r="B8">
        <v>41106500</v>
      </c>
      <c r="C8">
        <v>0</v>
      </c>
    </row>
    <row r="9" spans="1:4" x14ac:dyDescent="0.35">
      <c r="A9">
        <v>2019</v>
      </c>
      <c r="B9">
        <v>12064000</v>
      </c>
      <c r="C9">
        <v>0</v>
      </c>
    </row>
    <row r="10" spans="1:4" x14ac:dyDescent="0.35">
      <c r="A10">
        <v>2020</v>
      </c>
      <c r="B10">
        <v>0</v>
      </c>
      <c r="C10">
        <v>0</v>
      </c>
    </row>
    <row r="11" spans="1:4" x14ac:dyDescent="0.35">
      <c r="B11">
        <f>SUM(B3:B10)</f>
        <v>411392917</v>
      </c>
    </row>
    <row r="12" spans="1:4" x14ac:dyDescent="0.35">
      <c r="C12">
        <f>SUM(C3:C10)</f>
        <v>498072576</v>
      </c>
    </row>
    <row r="13" spans="1:4" x14ac:dyDescent="0.35">
      <c r="A13" t="s">
        <v>17</v>
      </c>
      <c r="D13" s="1">
        <f>B11+C12</f>
        <v>909465493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13" sqref="C13"/>
    </sheetView>
  </sheetViews>
  <sheetFormatPr defaultRowHeight="15" x14ac:dyDescent="0.25"/>
  <cols>
    <col min="2" max="2" width="39.7109375" customWidth="1"/>
    <col min="3" max="3" width="17.42578125" bestFit="1" customWidth="1"/>
    <col min="4" max="4" width="35.85546875" bestFit="1" customWidth="1"/>
    <col min="6" max="6" width="23.5703125" bestFit="1" customWidth="1"/>
    <col min="7" max="7" width="27.42578125" bestFit="1" customWidth="1"/>
    <col min="8" max="9" width="28.7109375" bestFit="1" customWidth="1"/>
    <col min="10" max="10" width="28.7109375" customWidth="1"/>
    <col min="11" max="11" width="13.85546875" bestFit="1" customWidth="1"/>
    <col min="12" max="12" width="20" bestFit="1" customWidth="1"/>
    <col min="13" max="13" width="17.140625" bestFit="1" customWidth="1"/>
    <col min="14" max="14" width="28.7109375" bestFit="1" customWidth="1"/>
    <col min="15" max="15" width="27.7109375" bestFit="1" customWidth="1"/>
  </cols>
  <sheetData>
    <row r="1" spans="1:15" ht="14.45" x14ac:dyDescent="0.35">
      <c r="B1" t="s">
        <v>88</v>
      </c>
      <c r="C1" t="s">
        <v>181</v>
      </c>
      <c r="D1" t="s">
        <v>90</v>
      </c>
      <c r="E1" t="s">
        <v>87</v>
      </c>
      <c r="F1" t="s">
        <v>100</v>
      </c>
      <c r="G1" t="s">
        <v>92</v>
      </c>
      <c r="H1" t="s">
        <v>99</v>
      </c>
      <c r="I1" t="s">
        <v>202</v>
      </c>
      <c r="J1" t="s">
        <v>201</v>
      </c>
      <c r="K1" s="21" t="s">
        <v>95</v>
      </c>
      <c r="L1" s="37" t="s">
        <v>92</v>
      </c>
      <c r="M1" s="37" t="s">
        <v>99</v>
      </c>
      <c r="N1" s="37" t="s">
        <v>202</v>
      </c>
      <c r="O1" s="37" t="s">
        <v>201</v>
      </c>
    </row>
    <row r="2" spans="1:15" ht="14.45" x14ac:dyDescent="0.35">
      <c r="A2">
        <v>2017</v>
      </c>
      <c r="B2">
        <f>'MRR data with caps for graph'!D34</f>
        <v>416.66399999999999</v>
      </c>
      <c r="C2" s="8">
        <f>'demand scenarios'!D4</f>
        <v>390091879.73250002</v>
      </c>
      <c r="D2">
        <f>C2/$C$6</f>
        <v>0.25378140640072233</v>
      </c>
      <c r="E2" s="23">
        <v>13.54</v>
      </c>
      <c r="F2" s="23">
        <v>13.54</v>
      </c>
      <c r="G2" s="24">
        <f>D2*$C$13*E2</f>
        <v>4240070019.0298815</v>
      </c>
      <c r="H2" s="24">
        <f>D2*$C$13*E2*0.85</f>
        <v>3604059516.1753993</v>
      </c>
      <c r="I2" s="24">
        <f>D2*$C$13*E2*0.72</f>
        <v>3052850413.7015147</v>
      </c>
      <c r="J2" s="24">
        <f>D2*$C$13*E2*0.46</f>
        <v>1950432208.7537456</v>
      </c>
      <c r="L2" s="24">
        <f t="shared" ref="L2:L6" si="0">D2*$C$13*F2</f>
        <v>4240070019.0298815</v>
      </c>
      <c r="M2" s="24">
        <f t="shared" ref="M2:M6" si="1">D2*$C$13*F2*0.85</f>
        <v>3604059516.1753993</v>
      </c>
      <c r="N2" s="24">
        <f>D2*$C$13*F2*0.72</f>
        <v>3052850413.7015147</v>
      </c>
      <c r="O2" s="24">
        <f>D2*$C$13*F2*0.46</f>
        <v>1950432208.7537456</v>
      </c>
    </row>
    <row r="3" spans="1:15" ht="14.45" x14ac:dyDescent="0.35">
      <c r="A3">
        <v>2018</v>
      </c>
      <c r="B3">
        <f>'MRR data with caps for graph'!D35</f>
        <v>392.17899999999997</v>
      </c>
      <c r="C3" s="8">
        <f>'demand scenarios'!D5</f>
        <v>386190960.935175</v>
      </c>
      <c r="D3">
        <f>C3/$C$6</f>
        <v>0.25124359233671512</v>
      </c>
      <c r="E3" s="23">
        <f>E2+E2*0.065</f>
        <v>14.4201</v>
      </c>
      <c r="F3" s="23">
        <f>F2+3</f>
        <v>16.54</v>
      </c>
      <c r="G3" s="24">
        <f>D3*$C$13*E3</f>
        <v>4470517824.5641565</v>
      </c>
      <c r="H3" s="24">
        <f>D3*$C$13*E3*0.85</f>
        <v>3799940150.8795328</v>
      </c>
      <c r="I3" s="24">
        <f>D3*$C$13*E3*0.72</f>
        <v>3218772833.6861925</v>
      </c>
      <c r="J3" s="24">
        <f>D3*$C$13*E3*0.46</f>
        <v>2056438199.2995121</v>
      </c>
      <c r="L3" s="24">
        <f t="shared" si="0"/>
        <v>5127728990.6651936</v>
      </c>
      <c r="M3" s="24">
        <f t="shared" si="1"/>
        <v>4358569642.0654144</v>
      </c>
      <c r="N3" s="24">
        <f>D3*$C$13*F3*0.72</f>
        <v>3691964873.2789392</v>
      </c>
      <c r="O3" s="24">
        <f>D3*$C$13*F3*0.46</f>
        <v>2358755335.7059894</v>
      </c>
    </row>
    <row r="4" spans="1:15" ht="14.45" x14ac:dyDescent="0.35">
      <c r="A4">
        <v>2019</v>
      </c>
      <c r="B4">
        <f>'MRR data with caps for graph'!D36</f>
        <v>378.90900000000005</v>
      </c>
      <c r="C4" s="8">
        <f>'demand scenarios'!D6</f>
        <v>382329051.32582325</v>
      </c>
      <c r="D4">
        <f>C4/$C$6</f>
        <v>0.24873115641334798</v>
      </c>
      <c r="E4" s="23">
        <f>E3+E3*0.065</f>
        <v>15.3574065</v>
      </c>
      <c r="F4" s="23">
        <f>F3+3</f>
        <v>19.54</v>
      </c>
      <c r="G4" s="24">
        <f>D4*$C$13*E4</f>
        <v>4713490468.3292189</v>
      </c>
      <c r="H4" s="24">
        <f>D4*$C$13*E4*0.85</f>
        <v>4006466898.0798359</v>
      </c>
      <c r="I4" s="24">
        <f>D4*$C$13*E4*0.72</f>
        <v>3393713137.1970372</v>
      </c>
      <c r="J4" s="24">
        <f>D4*$C$13*E4*0.46</f>
        <v>2168205615.4314408</v>
      </c>
      <c r="L4" s="24">
        <f t="shared" si="0"/>
        <v>5997210775.8658943</v>
      </c>
      <c r="M4" s="24">
        <f t="shared" si="1"/>
        <v>5097629159.4860096</v>
      </c>
      <c r="N4" s="24">
        <f>D4*$C$13*F4*0.72</f>
        <v>4317991758.6234436</v>
      </c>
      <c r="O4" s="24">
        <f>D4*$C$13*F4*0.46</f>
        <v>2758716956.8983116</v>
      </c>
    </row>
    <row r="5" spans="1:15" ht="14.45" x14ac:dyDescent="0.35">
      <c r="A5">
        <v>2020</v>
      </c>
      <c r="B5">
        <f>'MRR data with caps for graph'!D37</f>
        <v>365.54599999999999</v>
      </c>
      <c r="C5" s="8">
        <f>'demand scenarios'!D7</f>
        <v>378505760.81256503</v>
      </c>
      <c r="D5">
        <f>C5/$C$6</f>
        <v>0.24624384484921449</v>
      </c>
      <c r="E5" s="23">
        <f>E4+E4*0.065</f>
        <v>16.355637922500001</v>
      </c>
      <c r="F5" s="23">
        <f>F4+3</f>
        <v>22.54</v>
      </c>
      <c r="G5" s="24">
        <f>D5*$C$13*E5</f>
        <v>4969668675.2829123</v>
      </c>
      <c r="H5" s="24">
        <f>D5*$C$13*E5*0.85</f>
        <v>4224218373.9904752</v>
      </c>
      <c r="I5" s="24">
        <f>D5*$C$13*E5*0.72</f>
        <v>3578161446.2036967</v>
      </c>
      <c r="J5" s="24">
        <f>D5*$C$13*E5*0.46</f>
        <v>2286047590.6301398</v>
      </c>
      <c r="L5" s="24">
        <f t="shared" si="0"/>
        <v>6848790152.4635153</v>
      </c>
      <c r="M5" s="24">
        <f t="shared" si="1"/>
        <v>5821471629.5939875</v>
      </c>
      <c r="N5" s="24">
        <f>D5*$C$13*F5*0.72</f>
        <v>4931128909.7737312</v>
      </c>
      <c r="O5" s="24">
        <f>D5*$C$13*F5*0.46</f>
        <v>3150443470.1332173</v>
      </c>
    </row>
    <row r="6" spans="1:15" ht="14.45" x14ac:dyDescent="0.35">
      <c r="A6" t="s">
        <v>89</v>
      </c>
      <c r="B6">
        <f>SUM(B2:B5)</f>
        <v>1553.298</v>
      </c>
      <c r="C6" s="10">
        <f>SUM(C2:C5)</f>
        <v>1537117652.8060634</v>
      </c>
      <c r="G6" s="24">
        <f>D6*$C$13*E6</f>
        <v>0</v>
      </c>
      <c r="H6" s="24">
        <f>D6*$C$13*E6*0.85</f>
        <v>0</v>
      </c>
      <c r="I6" s="24">
        <f>D6*$C$13*E6*0.73</f>
        <v>0</v>
      </c>
      <c r="J6" s="24">
        <f>D6*$C$13*E6*0.46</f>
        <v>0</v>
      </c>
      <c r="L6" s="24">
        <f t="shared" si="0"/>
        <v>0</v>
      </c>
      <c r="M6" s="24">
        <f t="shared" si="1"/>
        <v>0</v>
      </c>
      <c r="N6" s="24">
        <f>D6*$C$11*F6*0.72</f>
        <v>0</v>
      </c>
      <c r="O6" s="24">
        <f>D6*$C$11*F6*0.46</f>
        <v>0</v>
      </c>
    </row>
    <row r="7" spans="1:15" ht="14.45" x14ac:dyDescent="0.35">
      <c r="B7" s="13" t="s">
        <v>180</v>
      </c>
      <c r="C7" s="10"/>
      <c r="G7" s="24">
        <f>SUM(G2:G5)</f>
        <v>18393746987.206169</v>
      </c>
      <c r="H7" s="24">
        <f>SUM(H2:H5)</f>
        <v>15634684939.125242</v>
      </c>
      <c r="I7" s="24">
        <f>SUM(I2:I5)</f>
        <v>13243497830.788441</v>
      </c>
      <c r="J7" s="24">
        <f>SUM(J2:J5)</f>
        <v>8461123614.1148396</v>
      </c>
      <c r="L7" s="1">
        <f>SUM(L2:L5)</f>
        <v>22213799938.024487</v>
      </c>
      <c r="M7" s="1">
        <f>SUM(M2:M5)</f>
        <v>18881729947.320812</v>
      </c>
      <c r="N7" s="1">
        <f>SUM(N2:N5)</f>
        <v>15993935955.377628</v>
      </c>
      <c r="O7" s="1">
        <f>SUM(O2:O5)</f>
        <v>10218347971.491264</v>
      </c>
    </row>
    <row r="8" spans="1:15" ht="14.45" x14ac:dyDescent="0.35">
      <c r="B8" s="1">
        <f>'future supply'!$B$12/1000000</f>
        <v>1449.9191499999999</v>
      </c>
      <c r="C8" s="2" t="s">
        <v>178</v>
      </c>
      <c r="G8" s="25"/>
      <c r="H8" s="25"/>
      <c r="I8" s="25"/>
      <c r="J8" s="25"/>
    </row>
    <row r="9" spans="1:15" ht="14.45" x14ac:dyDescent="0.35">
      <c r="G9" s="25"/>
      <c r="H9" s="25"/>
      <c r="I9" s="25"/>
      <c r="J9" s="25"/>
      <c r="L9" s="14"/>
      <c r="M9" s="14"/>
      <c r="N9" s="14"/>
    </row>
    <row r="10" spans="1:15" ht="57.95" x14ac:dyDescent="0.35">
      <c r="B10" s="13" t="s">
        <v>93</v>
      </c>
      <c r="C10" s="21">
        <f>C6/B6</f>
        <v>989583.23052373948</v>
      </c>
      <c r="D10" s="13" t="s">
        <v>91</v>
      </c>
    </row>
    <row r="11" spans="1:15" ht="29.1" x14ac:dyDescent="0.35">
      <c r="B11" s="13" t="s">
        <v>94</v>
      </c>
      <c r="C11" s="8">
        <f>C10*B8</f>
        <v>1434815676.4552343</v>
      </c>
    </row>
    <row r="12" spans="1:15" ht="14.45" x14ac:dyDescent="0.35">
      <c r="G12" t="s">
        <v>31</v>
      </c>
    </row>
    <row r="13" spans="1:15" ht="29.1" x14ac:dyDescent="0.35">
      <c r="B13" s="13" t="s">
        <v>179</v>
      </c>
      <c r="C13" s="8">
        <f>0.86*C11</f>
        <v>1233941481.7515016</v>
      </c>
    </row>
    <row r="15" spans="1:15" ht="14.45" x14ac:dyDescent="0.35">
      <c r="D15" s="2"/>
    </row>
    <row r="17" spans="2:4" x14ac:dyDescent="0.25">
      <c r="B17" t="s">
        <v>205</v>
      </c>
      <c r="D17" s="2"/>
    </row>
    <row r="18" spans="2:4" x14ac:dyDescent="0.25">
      <c r="B18">
        <v>0.86</v>
      </c>
      <c r="C18" t="s">
        <v>207</v>
      </c>
    </row>
    <row r="19" spans="2:4" x14ac:dyDescent="0.25">
      <c r="B19">
        <v>0.78</v>
      </c>
      <c r="C19" t="s">
        <v>206</v>
      </c>
      <c r="D19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3" sqref="C13"/>
    </sheetView>
  </sheetViews>
  <sheetFormatPr defaultRowHeight="15" x14ac:dyDescent="0.25"/>
  <cols>
    <col min="1" max="1" width="26.85546875" bestFit="1" customWidth="1"/>
    <col min="2" max="2" width="20" bestFit="1" customWidth="1"/>
    <col min="3" max="4" width="21.42578125" bestFit="1" customWidth="1"/>
    <col min="5" max="5" width="17.140625" bestFit="1" customWidth="1"/>
  </cols>
  <sheetData>
    <row r="1" spans="1:5" s="37" customFormat="1" ht="14.45" x14ac:dyDescent="0.35">
      <c r="A1" s="21" t="s">
        <v>208</v>
      </c>
    </row>
    <row r="2" spans="1:5" ht="14.45" x14ac:dyDescent="0.35">
      <c r="B2" s="26" t="s">
        <v>96</v>
      </c>
      <c r="C2" s="26" t="s">
        <v>101</v>
      </c>
      <c r="D2" s="26" t="s">
        <v>203</v>
      </c>
      <c r="E2" s="26" t="s">
        <v>204</v>
      </c>
    </row>
    <row r="3" spans="1:5" ht="43.5" x14ac:dyDescent="0.35">
      <c r="A3" s="18" t="s">
        <v>98</v>
      </c>
      <c r="B3" s="24">
        <f>'California revenue estimation'!G7</f>
        <v>18393746987.206169</v>
      </c>
      <c r="C3" s="24">
        <f>'California revenue estimation'!H7</f>
        <v>15634684939.125242</v>
      </c>
      <c r="D3" s="24">
        <f>'California revenue estimation'!I7</f>
        <v>13243497830.788441</v>
      </c>
      <c r="E3" s="24">
        <f>'California revenue estimation'!J7</f>
        <v>8461123614.1148396</v>
      </c>
    </row>
    <row r="4" spans="1:5" ht="29.1" x14ac:dyDescent="0.35">
      <c r="A4" s="18" t="s">
        <v>97</v>
      </c>
      <c r="B4" s="63">
        <f>'California revenue estimation'!L7</f>
        <v>22213799938.024487</v>
      </c>
      <c r="C4" s="63">
        <f>'California revenue estimation'!M7</f>
        <v>18881729947.320812</v>
      </c>
      <c r="D4" s="63">
        <f>'California revenue estimation'!N7</f>
        <v>15993935955.377628</v>
      </c>
      <c r="E4" s="1">
        <f>'California revenue estimation'!O7</f>
        <v>10218347971.491264</v>
      </c>
    </row>
    <row r="6" spans="1:5" ht="14.45" x14ac:dyDescent="0.35">
      <c r="A6" t="s">
        <v>209</v>
      </c>
      <c r="B6" s="26" t="s">
        <v>96</v>
      </c>
      <c r="C6" s="26" t="s">
        <v>101</v>
      </c>
      <c r="D6" s="26" t="s">
        <v>203</v>
      </c>
      <c r="E6" s="26" t="s">
        <v>204</v>
      </c>
    </row>
    <row r="7" spans="1:5" ht="14.45" x14ac:dyDescent="0.35">
      <c r="B7" s="1">
        <v>18393746987.206169</v>
      </c>
      <c r="C7" s="1">
        <v>15634684939.125242</v>
      </c>
      <c r="D7" s="1">
        <v>13243497830.788441</v>
      </c>
      <c r="E7" s="1">
        <v>8461123614.1148396</v>
      </c>
    </row>
    <row r="8" spans="1:5" ht="14.45" x14ac:dyDescent="0.35">
      <c r="B8" s="3">
        <v>22213799938.024487</v>
      </c>
      <c r="C8" s="3">
        <v>18881729947.320812</v>
      </c>
      <c r="D8" s="3">
        <v>15993935955.377628</v>
      </c>
      <c r="E8" s="3">
        <v>10218347971.491264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K8" sqref="K8"/>
    </sheetView>
  </sheetViews>
  <sheetFormatPr defaultRowHeight="15" x14ac:dyDescent="0.25"/>
  <cols>
    <col min="12" max="12" width="10.42578125" bestFit="1" customWidth="1"/>
  </cols>
  <sheetData>
    <row r="1" spans="1:13" thickBot="1" x14ac:dyDescent="0.4">
      <c r="A1" s="71" t="s">
        <v>182</v>
      </c>
      <c r="B1" s="72"/>
      <c r="C1" s="72"/>
      <c r="D1" s="72"/>
      <c r="E1" s="73"/>
    </row>
    <row r="2" spans="1:13" ht="26.45" thickBot="1" x14ac:dyDescent="0.4">
      <c r="A2" s="43" t="s">
        <v>183</v>
      </c>
      <c r="B2" s="44">
        <v>2017</v>
      </c>
      <c r="C2" s="44">
        <v>2018</v>
      </c>
      <c r="D2" s="44">
        <v>2019</v>
      </c>
      <c r="E2" s="45">
        <v>2020</v>
      </c>
    </row>
    <row r="3" spans="1:13" ht="26.1" x14ac:dyDescent="0.35">
      <c r="A3" s="41" t="s">
        <v>184</v>
      </c>
      <c r="B3" s="39">
        <v>37.04</v>
      </c>
      <c r="C3" s="39">
        <v>35.830000000000005</v>
      </c>
      <c r="D3" s="39">
        <v>34.630000000000003</v>
      </c>
      <c r="E3" s="42">
        <v>33.42</v>
      </c>
      <c r="L3" t="s">
        <v>198</v>
      </c>
      <c r="M3" t="s">
        <v>199</v>
      </c>
    </row>
    <row r="4" spans="1:13" ht="117" x14ac:dyDescent="0.35">
      <c r="A4" s="41" t="s">
        <v>185</v>
      </c>
      <c r="B4" s="39">
        <v>30.216631</v>
      </c>
      <c r="C4" s="39">
        <v>30.271539000000001</v>
      </c>
      <c r="D4" s="39">
        <v>29.62687</v>
      </c>
      <c r="E4" s="42">
        <v>28.679976</v>
      </c>
      <c r="G4" t="s">
        <v>195</v>
      </c>
      <c r="H4" s="14">
        <f>B4+B5</f>
        <v>88.63374300000001</v>
      </c>
      <c r="I4" s="14">
        <f>C4+C5</f>
        <v>86.777303000000003</v>
      </c>
      <c r="J4" s="14">
        <f>D4+D5</f>
        <v>84.921035000000003</v>
      </c>
      <c r="K4" s="14">
        <f>E4+E5</f>
        <v>83.162492999999998</v>
      </c>
      <c r="L4" s="14">
        <f>SUM(H4:K4)</f>
        <v>343.494574</v>
      </c>
      <c r="M4" s="62">
        <f>L4/$L$8</f>
        <v>0.26058936915134528</v>
      </c>
    </row>
    <row r="5" spans="1:13" ht="90.95" x14ac:dyDescent="0.35">
      <c r="A5" s="54" t="s">
        <v>186</v>
      </c>
      <c r="B5" s="39">
        <v>58.417112000000003</v>
      </c>
      <c r="C5" s="39">
        <v>56.505763999999999</v>
      </c>
      <c r="D5" s="39">
        <v>55.294165</v>
      </c>
      <c r="E5" s="42">
        <v>54.482517000000001</v>
      </c>
      <c r="G5" t="s">
        <v>196</v>
      </c>
      <c r="H5" s="48">
        <v>44</v>
      </c>
      <c r="I5" s="48">
        <v>43</v>
      </c>
      <c r="J5" s="48">
        <v>42</v>
      </c>
      <c r="K5" s="49">
        <v>41</v>
      </c>
      <c r="L5" s="14">
        <f>SUM(H5:K5)</f>
        <v>170</v>
      </c>
      <c r="M5" s="62">
        <f>L5/$L$8</f>
        <v>0.12896911948230277</v>
      </c>
    </row>
    <row r="6" spans="1:13" ht="78" x14ac:dyDescent="0.35">
      <c r="A6" s="54" t="s">
        <v>187</v>
      </c>
      <c r="B6" s="38">
        <v>5.7180000000000002E-2</v>
      </c>
      <c r="C6" s="38">
        <v>4.2323E-2</v>
      </c>
      <c r="D6" s="38">
        <v>4.1501999999999997E-2</v>
      </c>
      <c r="E6" s="40">
        <v>4.0723000000000002E-2</v>
      </c>
      <c r="G6" t="s">
        <v>197</v>
      </c>
      <c r="H6" s="52">
        <v>54</v>
      </c>
      <c r="I6" s="52">
        <v>46</v>
      </c>
      <c r="J6" s="52">
        <v>46</v>
      </c>
      <c r="K6" s="53">
        <v>46</v>
      </c>
      <c r="L6" s="14">
        <f>SUM(H6:K6)</f>
        <v>192</v>
      </c>
      <c r="M6" s="62">
        <f>L6/$L$8</f>
        <v>0.14565924082707138</v>
      </c>
    </row>
    <row r="7" spans="1:13" ht="51" x14ac:dyDescent="0.25">
      <c r="A7" s="54" t="s">
        <v>188</v>
      </c>
      <c r="B7" s="52">
        <v>54</v>
      </c>
      <c r="C7" s="52">
        <v>46</v>
      </c>
      <c r="D7" s="52">
        <v>46</v>
      </c>
      <c r="E7" s="53">
        <v>46</v>
      </c>
      <c r="G7" t="s">
        <v>200</v>
      </c>
      <c r="L7" s="61">
        <f>L8-L6-L5-L4</f>
        <v>612.65042599999992</v>
      </c>
      <c r="M7" s="62">
        <f>L7/$L$8</f>
        <v>0.46478227053928051</v>
      </c>
    </row>
    <row r="8" spans="1:13" ht="114.75" x14ac:dyDescent="0.25">
      <c r="A8" s="54" t="s">
        <v>189</v>
      </c>
      <c r="B8" s="46">
        <v>0.23799699999999999</v>
      </c>
      <c r="C8" s="46">
        <v>0.23799699999999999</v>
      </c>
      <c r="D8" s="46">
        <v>0.23799699999999999</v>
      </c>
      <c r="E8" s="47">
        <v>0.23799699999999999</v>
      </c>
      <c r="H8" s="14">
        <f>B16</f>
        <v>354.65800000000002</v>
      </c>
      <c r="I8" s="14">
        <f>C16</f>
        <v>332.32324999999997</v>
      </c>
      <c r="J8" s="14">
        <f>D16</f>
        <v>321.19325000000003</v>
      </c>
      <c r="K8" s="14">
        <f>E16</f>
        <v>309.9704999999999</v>
      </c>
      <c r="L8" s="14">
        <f>SUM(H8:K8)</f>
        <v>1318.145</v>
      </c>
    </row>
    <row r="9" spans="1:13" ht="89.25" x14ac:dyDescent="0.25">
      <c r="A9" s="54" t="s">
        <v>190</v>
      </c>
      <c r="B9" s="50">
        <v>0.85721899999999995</v>
      </c>
      <c r="C9" s="50">
        <v>0.83926100000000003</v>
      </c>
      <c r="D9" s="50">
        <v>0.82130499999999995</v>
      </c>
      <c r="E9" s="51">
        <v>0.80429499999999998</v>
      </c>
    </row>
    <row r="10" spans="1:13" ht="63.75" x14ac:dyDescent="0.25">
      <c r="A10" s="54" t="s">
        <v>191</v>
      </c>
      <c r="B10" s="50">
        <v>0.71499999999999997</v>
      </c>
      <c r="C10" s="50">
        <v>0.20599999999999999</v>
      </c>
      <c r="D10" s="50">
        <v>0.19800000000000001</v>
      </c>
      <c r="E10" s="51">
        <v>0.06</v>
      </c>
    </row>
    <row r="11" spans="1:13" ht="76.5" x14ac:dyDescent="0.25">
      <c r="A11" s="54" t="s">
        <v>192</v>
      </c>
      <c r="B11" s="48">
        <v>44</v>
      </c>
      <c r="C11" s="48">
        <v>43</v>
      </c>
      <c r="D11" s="48">
        <v>42</v>
      </c>
      <c r="E11" s="49">
        <v>41</v>
      </c>
    </row>
    <row r="12" spans="1:13" ht="63.75" x14ac:dyDescent="0.25">
      <c r="A12" s="57" t="s">
        <v>193</v>
      </c>
      <c r="B12" s="58">
        <v>0.27554699999999999</v>
      </c>
      <c r="C12" s="58">
        <v>0</v>
      </c>
      <c r="D12" s="58">
        <v>0</v>
      </c>
      <c r="E12" s="59">
        <v>0</v>
      </c>
    </row>
    <row r="13" spans="1:13" ht="117.75" thickBot="1" x14ac:dyDescent="0.3">
      <c r="A13" s="55" t="s">
        <v>194</v>
      </c>
      <c r="B13" s="56">
        <v>128.84131400000001</v>
      </c>
      <c r="C13" s="56">
        <v>119.39036599999997</v>
      </c>
      <c r="D13" s="56">
        <v>112.34341100000003</v>
      </c>
      <c r="E13" s="60">
        <v>105.24499199999991</v>
      </c>
    </row>
    <row r="14" spans="1:13" ht="15.75" thickBot="1" x14ac:dyDescent="0.3">
      <c r="A14" s="74"/>
      <c r="B14" s="75"/>
      <c r="C14" s="75"/>
      <c r="D14" s="75"/>
      <c r="E14" s="76"/>
    </row>
    <row r="16" spans="1:13" x14ac:dyDescent="0.25">
      <c r="B16" s="14">
        <f>SUM(B3:B13)</f>
        <v>354.65800000000002</v>
      </c>
      <c r="C16" s="14">
        <f>SUM(C3:C13)</f>
        <v>332.32324999999997</v>
      </c>
      <c r="D16" s="14">
        <f>SUM(D3:D13)</f>
        <v>321.19325000000003</v>
      </c>
      <c r="E16" s="14">
        <f>SUM(E3:E13)</f>
        <v>309.9704999999999</v>
      </c>
    </row>
  </sheetData>
  <mergeCells count="2">
    <mergeCell ref="A1:E1"/>
    <mergeCell ref="A14:E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6" workbookViewId="0">
      <selection activeCell="E52" sqref="E52"/>
    </sheetView>
  </sheetViews>
  <sheetFormatPr defaultRowHeight="15" x14ac:dyDescent="0.25"/>
  <cols>
    <col min="1" max="1" width="45.140625" bestFit="1" customWidth="1"/>
    <col min="2" max="2" width="15" bestFit="1" customWidth="1"/>
    <col min="3" max="3" width="25.140625" bestFit="1" customWidth="1"/>
    <col min="4" max="4" width="16.140625" bestFit="1" customWidth="1"/>
    <col min="5" max="5" width="46.140625" bestFit="1" customWidth="1"/>
  </cols>
  <sheetData>
    <row r="1" spans="1:5" ht="14.45" x14ac:dyDescent="0.35">
      <c r="B1" t="s">
        <v>102</v>
      </c>
      <c r="C1" t="s">
        <v>103</v>
      </c>
      <c r="D1" t="s">
        <v>104</v>
      </c>
      <c r="E1" t="s">
        <v>105</v>
      </c>
    </row>
    <row r="2" spans="1:5" ht="14.45" x14ac:dyDescent="0.35">
      <c r="A2" s="27" t="s">
        <v>106</v>
      </c>
      <c r="B2" s="12"/>
      <c r="C2" s="12"/>
      <c r="D2" s="12"/>
    </row>
    <row r="3" spans="1:5" ht="14.45" x14ac:dyDescent="0.35">
      <c r="A3" t="s">
        <v>107</v>
      </c>
      <c r="B3" s="12">
        <v>27762907</v>
      </c>
      <c r="C3">
        <v>0</v>
      </c>
      <c r="D3">
        <v>0</v>
      </c>
      <c r="E3" s="12">
        <v>32659548</v>
      </c>
    </row>
    <row r="4" spans="1:5" ht="14.45" x14ac:dyDescent="0.35">
      <c r="A4" t="s">
        <v>108</v>
      </c>
      <c r="B4" s="12">
        <v>40254802</v>
      </c>
      <c r="C4" s="12">
        <v>26500756</v>
      </c>
      <c r="D4" s="12">
        <v>6174695</v>
      </c>
      <c r="E4" s="12">
        <v>24216734</v>
      </c>
    </row>
    <row r="5" spans="1:5" ht="14.45" x14ac:dyDescent="0.35">
      <c r="B5" s="12">
        <f>SUM(B3:B4)</f>
        <v>68017709</v>
      </c>
      <c r="C5" s="12">
        <f>SUM(C3:C4)</f>
        <v>26500756</v>
      </c>
      <c r="D5" s="12">
        <f>SUM(D3:D4)</f>
        <v>6174695</v>
      </c>
      <c r="E5" s="12">
        <f>SUM(E3:E4)</f>
        <v>56876282</v>
      </c>
    </row>
    <row r="7" spans="1:5" ht="14.45" x14ac:dyDescent="0.35">
      <c r="A7" s="27" t="s">
        <v>109</v>
      </c>
    </row>
    <row r="8" spans="1:5" ht="14.45" x14ac:dyDescent="0.35">
      <c r="A8" t="s">
        <v>107</v>
      </c>
      <c r="B8" s="1">
        <v>876165</v>
      </c>
      <c r="C8" s="1">
        <v>660056</v>
      </c>
      <c r="D8" s="1">
        <v>785113</v>
      </c>
      <c r="E8" s="1">
        <v>8040963</v>
      </c>
    </row>
    <row r="9" spans="1:5" ht="14.45" x14ac:dyDescent="0.35">
      <c r="A9" t="s">
        <v>108</v>
      </c>
    </row>
    <row r="11" spans="1:5" ht="14.45" x14ac:dyDescent="0.35">
      <c r="A11" t="s">
        <v>125</v>
      </c>
      <c r="B11" s="12">
        <f>B5+C5+D5+E5</f>
        <v>157569442</v>
      </c>
      <c r="D11" s="3">
        <f>B11*12.73</f>
        <v>2005858996.6600001</v>
      </c>
    </row>
    <row r="12" spans="1:5" ht="14.45" x14ac:dyDescent="0.35">
      <c r="A12" t="s">
        <v>126</v>
      </c>
      <c r="B12" s="2">
        <f>B8+C8+D8+E8</f>
        <v>10362297</v>
      </c>
      <c r="D12" s="8">
        <f>B12*12.73</f>
        <v>131912040.81</v>
      </c>
    </row>
    <row r="14" spans="1:5" ht="14.45" x14ac:dyDescent="0.35">
      <c r="A14" t="s">
        <v>110</v>
      </c>
      <c r="B14" s="2">
        <f>B3+E3+B12</f>
        <v>70784752</v>
      </c>
      <c r="D14" s="8">
        <f>B14*12.73</f>
        <v>901089892.96000004</v>
      </c>
    </row>
    <row r="15" spans="1:5" s="31" customFormat="1" ht="14.45" x14ac:dyDescent="0.35"/>
    <row r="16" spans="1:5" ht="14.45" x14ac:dyDescent="0.35">
      <c r="C16" t="s">
        <v>115</v>
      </c>
    </row>
    <row r="17" spans="1:6" ht="14.45" x14ac:dyDescent="0.35">
      <c r="A17" t="str">
        <f>A11</f>
        <v>Current allowances sales</v>
      </c>
      <c r="B17" s="12">
        <f>B11</f>
        <v>157569442</v>
      </c>
      <c r="C17" s="3">
        <f>D11</f>
        <v>2005858996.6600001</v>
      </c>
    </row>
    <row r="18" spans="1:6" ht="14.45" x14ac:dyDescent="0.35">
      <c r="A18" t="str">
        <f>A12</f>
        <v>2016 advance saales</v>
      </c>
      <c r="B18" s="2">
        <f>B12</f>
        <v>10362297</v>
      </c>
      <c r="C18" s="8">
        <f>D12</f>
        <v>131912040.81</v>
      </c>
    </row>
    <row r="19" spans="1:6" ht="14.45" x14ac:dyDescent="0.35">
      <c r="A19" t="str">
        <f>A14</f>
        <v>ARB component</v>
      </c>
      <c r="B19" s="2">
        <f>B14</f>
        <v>70784752</v>
      </c>
      <c r="C19" s="8">
        <f>D14</f>
        <v>901089892.96000004</v>
      </c>
    </row>
    <row r="21" spans="1:6" ht="14.45" x14ac:dyDescent="0.35">
      <c r="A21" t="s">
        <v>121</v>
      </c>
      <c r="E21" s="1">
        <v>340323495</v>
      </c>
      <c r="F21" t="s">
        <v>169</v>
      </c>
    </row>
    <row r="23" spans="1:6" ht="14.45" x14ac:dyDescent="0.35">
      <c r="A23" t="s">
        <v>117</v>
      </c>
      <c r="C23" s="10">
        <v>367.10399999999998</v>
      </c>
      <c r="E23" s="3">
        <f>(E21-E21*0.01)/1000000</f>
        <v>336.92026005000002</v>
      </c>
      <c r="F23" t="s">
        <v>170</v>
      </c>
    </row>
    <row r="24" spans="1:6" ht="14.45" x14ac:dyDescent="0.35">
      <c r="E24" s="8"/>
    </row>
    <row r="25" spans="1:6" ht="14.45" x14ac:dyDescent="0.35">
      <c r="A25" t="s">
        <v>119</v>
      </c>
      <c r="C25" s="3">
        <f>$E$23</f>
        <v>336.92026005000002</v>
      </c>
      <c r="F25" t="s">
        <v>171</v>
      </c>
    </row>
    <row r="26" spans="1:6" ht="14.45" x14ac:dyDescent="0.35">
      <c r="B26" t="s">
        <v>115</v>
      </c>
      <c r="C26" s="29">
        <f>C25*12.73/1000</f>
        <v>4.2889949104365002</v>
      </c>
    </row>
    <row r="27" spans="1:6" ht="14.45" x14ac:dyDescent="0.35">
      <c r="B27" t="s">
        <v>116</v>
      </c>
      <c r="C27" s="29">
        <f>C25*20/1000</f>
        <v>6.7384052010000008</v>
      </c>
    </row>
    <row r="29" spans="1:6" ht="14.45" x14ac:dyDescent="0.35">
      <c r="A29" t="s">
        <v>120</v>
      </c>
      <c r="C29" s="10">
        <f>0.85*C25</f>
        <v>286.38222104250002</v>
      </c>
    </row>
    <row r="30" spans="1:6" ht="14.45" x14ac:dyDescent="0.35">
      <c r="B30" t="s">
        <v>115</v>
      </c>
      <c r="C30" s="29">
        <f>C29*12.73/1000</f>
        <v>3.6456456738710252</v>
      </c>
    </row>
    <row r="31" spans="1:6" ht="14.45" x14ac:dyDescent="0.35">
      <c r="B31" t="s">
        <v>116</v>
      </c>
      <c r="C31" s="29">
        <f>C29*20/1000</f>
        <v>5.7276444208500008</v>
      </c>
    </row>
    <row r="33" spans="1:6" ht="14.45" x14ac:dyDescent="0.35">
      <c r="A33" t="s">
        <v>118</v>
      </c>
      <c r="C33" s="10">
        <f>0.73*C25</f>
        <v>245.95178983650001</v>
      </c>
    </row>
    <row r="34" spans="1:6" ht="14.45" x14ac:dyDescent="0.35">
      <c r="B34" t="s">
        <v>115</v>
      </c>
      <c r="C34" s="29">
        <f>C33*12.73/1000</f>
        <v>3.130966284618645</v>
      </c>
    </row>
    <row r="35" spans="1:6" x14ac:dyDescent="0.25">
      <c r="B35" t="s">
        <v>116</v>
      </c>
      <c r="C35" s="29">
        <f>C33*20/1000</f>
        <v>4.9190357967300002</v>
      </c>
    </row>
    <row r="37" spans="1:6" x14ac:dyDescent="0.25">
      <c r="A37" t="s">
        <v>123</v>
      </c>
    </row>
    <row r="39" spans="1:6" x14ac:dyDescent="0.25">
      <c r="A39" t="s">
        <v>122</v>
      </c>
      <c r="E39" s="30">
        <f>(C42-C44)/C42</f>
        <v>7.2584173193074428E-4</v>
      </c>
    </row>
    <row r="40" spans="1:6" x14ac:dyDescent="0.25">
      <c r="E40" t="s">
        <v>124</v>
      </c>
    </row>
    <row r="42" spans="1:6" x14ac:dyDescent="0.25">
      <c r="A42" t="s">
        <v>111</v>
      </c>
      <c r="B42" s="2">
        <f>B3+B8</f>
        <v>28639072</v>
      </c>
      <c r="C42" s="8">
        <f>B42*12.73</f>
        <v>364575386.56</v>
      </c>
    </row>
    <row r="43" spans="1:6" x14ac:dyDescent="0.25">
      <c r="C43" s="21" t="s">
        <v>112</v>
      </c>
      <c r="D43" s="21"/>
      <c r="E43" s="21" t="s">
        <v>113</v>
      </c>
      <c r="F43" s="21"/>
    </row>
    <row r="44" spans="1:6" x14ac:dyDescent="0.25">
      <c r="A44" t="s">
        <v>114</v>
      </c>
      <c r="B44" s="28">
        <v>364310762.52999997</v>
      </c>
      <c r="C44" s="28">
        <v>364310762.52999997</v>
      </c>
    </row>
    <row r="48" spans="1:6" x14ac:dyDescent="0.25">
      <c r="A48" s="32"/>
      <c r="B48" s="35" t="s">
        <v>127</v>
      </c>
      <c r="C48" s="35" t="s">
        <v>128</v>
      </c>
      <c r="D48" s="35" t="s">
        <v>129</v>
      </c>
      <c r="E48" s="69">
        <v>0.46</v>
      </c>
    </row>
    <row r="49" spans="1:5" x14ac:dyDescent="0.25">
      <c r="A49" s="32" t="s">
        <v>154</v>
      </c>
      <c r="B49" s="36">
        <v>367.10399999999998</v>
      </c>
      <c r="C49" s="36">
        <v>312.03839999999997</v>
      </c>
      <c r="D49" s="36">
        <v>267.98591999999996</v>
      </c>
      <c r="E49">
        <f>0.46*B49</f>
        <v>168.86784</v>
      </c>
    </row>
    <row r="50" spans="1:5" x14ac:dyDescent="0.25">
      <c r="A50" s="32" t="s">
        <v>115</v>
      </c>
      <c r="B50" s="35" t="s">
        <v>130</v>
      </c>
      <c r="C50" s="35" t="s">
        <v>131</v>
      </c>
      <c r="D50" s="35" t="s">
        <v>132</v>
      </c>
      <c r="E50">
        <f>12.73*E49</f>
        <v>2149.6876032</v>
      </c>
    </row>
    <row r="51" spans="1:5" x14ac:dyDescent="0.25">
      <c r="A51" s="32" t="s">
        <v>116</v>
      </c>
      <c r="B51" s="35" t="s">
        <v>133</v>
      </c>
      <c r="C51" s="35" t="s">
        <v>134</v>
      </c>
      <c r="D51" s="35" t="s">
        <v>135</v>
      </c>
      <c r="E51">
        <f>20*E49</f>
        <v>3377.3568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B6" sqref="B6"/>
    </sheetView>
  </sheetViews>
  <sheetFormatPr defaultRowHeight="15" x14ac:dyDescent="0.25"/>
  <cols>
    <col min="1" max="1" width="47.5703125" bestFit="1" customWidth="1"/>
    <col min="2" max="2" width="12.140625" bestFit="1" customWidth="1"/>
    <col min="3" max="3" width="24.85546875" bestFit="1" customWidth="1"/>
    <col min="4" max="4" width="38.5703125" bestFit="1" customWidth="1"/>
    <col min="5" max="5" width="18.42578125" bestFit="1" customWidth="1"/>
    <col min="6" max="6" width="12.5703125" bestFit="1" customWidth="1"/>
  </cols>
  <sheetData>
    <row r="3" spans="1:6" ht="14.45" x14ac:dyDescent="0.35">
      <c r="B3" t="str">
        <f>TABLE!F19</f>
        <v>High demand scenario</v>
      </c>
      <c r="C3" t="s">
        <v>57</v>
      </c>
      <c r="D3" t="s">
        <v>145</v>
      </c>
    </row>
    <row r="4" spans="1:6" ht="14.1" customHeight="1" x14ac:dyDescent="0.35">
      <c r="A4" t="s">
        <v>141</v>
      </c>
      <c r="B4">
        <f>TABLE!F20</f>
        <v>95.522958000000003</v>
      </c>
      <c r="C4">
        <f>TABLE!G20</f>
        <v>90.872278817567704</v>
      </c>
    </row>
    <row r="5" spans="1:6" ht="14.45" x14ac:dyDescent="0.35">
      <c r="A5" t="str">
        <f>TABLE!E24</f>
        <v>Allowances retired for use in second compliance period</v>
      </c>
      <c r="B5">
        <f>TABLE!F24</f>
        <v>128.82007200000001</v>
      </c>
      <c r="C5">
        <f>TABLE!G24</f>
        <v>128.82007200000001</v>
      </c>
    </row>
    <row r="6" spans="1:6" ht="14.45" x14ac:dyDescent="0.35">
      <c r="A6" t="str">
        <f>TABLE!E22</f>
        <v>Current allowance holdings</v>
      </c>
      <c r="B6" s="8">
        <f>TABLE!F22+F6</f>
        <v>922.34696982639446</v>
      </c>
      <c r="C6" s="8">
        <f>TABLE!G22+F6</f>
        <v>922.34696982639446</v>
      </c>
      <c r="E6" t="s">
        <v>138</v>
      </c>
      <c r="F6" s="3">
        <f>82000000/12.73/1000000</f>
        <v>6.4414768263943438</v>
      </c>
    </row>
    <row r="7" spans="1:6" ht="14.45" x14ac:dyDescent="0.35">
      <c r="A7" t="s">
        <v>140</v>
      </c>
      <c r="B7">
        <f>TABLE!B14/1000000</f>
        <v>1254.265427</v>
      </c>
      <c r="C7">
        <f>TABLE!C14/1000000</f>
        <v>1142.6491266216249</v>
      </c>
    </row>
    <row r="8" spans="1:6" ht="14.45" x14ac:dyDescent="0.35">
      <c r="A8" t="s">
        <v>142</v>
      </c>
      <c r="D8" s="8">
        <f>B4+B6+B5</f>
        <v>1146.6899998263946</v>
      </c>
    </row>
    <row r="9" spans="1:6" ht="14.45" x14ac:dyDescent="0.35">
      <c r="A9" t="s">
        <v>139</v>
      </c>
      <c r="D9" s="8">
        <f>'synthesize (b4 Q1 adjustment)'!$B$23/1000000-F6</f>
        <v>1443.4776731736056</v>
      </c>
      <c r="E9" t="s">
        <v>138</v>
      </c>
    </row>
    <row r="12" spans="1:6" ht="14.45" x14ac:dyDescent="0.35">
      <c r="A12" t="s">
        <v>144</v>
      </c>
      <c r="B12" s="8">
        <f>D9-B7</f>
        <v>189.21224617360554</v>
      </c>
      <c r="C12" s="8">
        <f>D9-C7</f>
        <v>300.82854655198071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5" sqref="D5"/>
    </sheetView>
  </sheetViews>
  <sheetFormatPr defaultRowHeight="15" x14ac:dyDescent="0.25"/>
  <cols>
    <col min="2" max="2" width="13.140625" bestFit="1" customWidth="1"/>
    <col min="4" max="4" width="9.7109375" bestFit="1" customWidth="1"/>
    <col min="5" max="5" width="26" bestFit="1" customWidth="1"/>
    <col min="6" max="6" width="18.85546875" bestFit="1" customWidth="1"/>
    <col min="7" max="7" width="19.7109375" bestFit="1" customWidth="1"/>
    <col min="8" max="8" width="21.42578125" bestFit="1" customWidth="1"/>
    <col min="9" max="9" width="22.28515625" bestFit="1" customWidth="1"/>
    <col min="11" max="11" width="9.42578125" bestFit="1" customWidth="1"/>
  </cols>
  <sheetData>
    <row r="1" spans="1:12" ht="14.45" x14ac:dyDescent="0.35">
      <c r="B1" t="s">
        <v>165</v>
      </c>
      <c r="C1" t="s">
        <v>166</v>
      </c>
      <c r="D1" t="s">
        <v>167</v>
      </c>
      <c r="E1" t="s">
        <v>168</v>
      </c>
      <c r="F1" t="s">
        <v>212</v>
      </c>
      <c r="G1" t="s">
        <v>213</v>
      </c>
      <c r="H1" t="s">
        <v>216</v>
      </c>
      <c r="I1" s="37" t="s">
        <v>217</v>
      </c>
    </row>
    <row r="2" spans="1:12" ht="14.45" x14ac:dyDescent="0.35">
      <c r="A2" t="s">
        <v>161</v>
      </c>
      <c r="B2">
        <v>1.73</v>
      </c>
      <c r="C2">
        <v>1.92</v>
      </c>
      <c r="D2" s="12">
        <v>23.070986999999999</v>
      </c>
      <c r="E2" s="64">
        <v>10.787000000000001</v>
      </c>
      <c r="F2" s="65">
        <v>0.97599999999999998</v>
      </c>
      <c r="G2" s="65">
        <v>0.85199999999999998</v>
      </c>
      <c r="H2">
        <f>F2*D2</f>
        <v>22.517283312</v>
      </c>
      <c r="I2">
        <f>G2*E2</f>
        <v>9.1905239999999999</v>
      </c>
    </row>
    <row r="3" spans="1:12" ht="14.45" x14ac:dyDescent="0.35">
      <c r="A3" t="s">
        <v>160</v>
      </c>
      <c r="B3">
        <v>1.1399999999999999</v>
      </c>
      <c r="C3">
        <v>1.02</v>
      </c>
      <c r="D3" s="12">
        <v>73.610528000000002</v>
      </c>
      <c r="E3" s="64">
        <v>10.4315</v>
      </c>
      <c r="F3" s="66">
        <v>0.93500000000000005</v>
      </c>
      <c r="G3" s="66">
        <v>0.95099999999999996</v>
      </c>
      <c r="H3" s="37">
        <f t="shared" ref="H3:H11" si="0">F3*D3</f>
        <v>68.825843680000006</v>
      </c>
      <c r="I3" s="37">
        <f t="shared" ref="I3:I11" si="1">G3*E3</f>
        <v>9.9203564999999987</v>
      </c>
    </row>
    <row r="4" spans="1:12" ht="14.45" x14ac:dyDescent="0.35">
      <c r="A4" t="s">
        <v>158</v>
      </c>
      <c r="B4">
        <v>1.1599999999999999</v>
      </c>
      <c r="C4">
        <v>0.94</v>
      </c>
      <c r="D4" s="12">
        <v>76.931627000000006</v>
      </c>
      <c r="E4" s="64">
        <v>9.8119999999999994</v>
      </c>
      <c r="F4" s="65">
        <v>0.93600000000000005</v>
      </c>
      <c r="G4" s="65">
        <v>0.91600000000000004</v>
      </c>
      <c r="H4" s="37">
        <f t="shared" si="0"/>
        <v>72.008002872000006</v>
      </c>
      <c r="I4" s="37">
        <f t="shared" si="1"/>
        <v>8.9877920000000007</v>
      </c>
    </row>
    <row r="5" spans="1:12" ht="14.45" x14ac:dyDescent="0.35">
      <c r="A5" t="s">
        <v>157</v>
      </c>
      <c r="B5">
        <v>1.28</v>
      </c>
      <c r="C5">
        <v>1.78</v>
      </c>
      <c r="D5" s="12">
        <v>73.429360000000003</v>
      </c>
      <c r="E5" s="64">
        <v>10.4315</v>
      </c>
      <c r="F5" s="65">
        <v>0.95199999999999996</v>
      </c>
      <c r="G5" s="65">
        <v>0.93600000000000005</v>
      </c>
      <c r="H5" s="37">
        <f t="shared" si="0"/>
        <v>69.904750719999996</v>
      </c>
      <c r="I5" s="37">
        <f t="shared" si="1"/>
        <v>9.7638840000000009</v>
      </c>
    </row>
    <row r="6" spans="1:12" ht="14.45" x14ac:dyDescent="0.35">
      <c r="A6" t="s">
        <v>159</v>
      </c>
      <c r="B6">
        <v>1.1399999999999999</v>
      </c>
      <c r="C6">
        <v>1.32</v>
      </c>
      <c r="D6" s="12">
        <v>75.113007999999994</v>
      </c>
      <c r="E6" s="64">
        <v>10.4315</v>
      </c>
      <c r="F6" s="65">
        <v>0.89300000000000002</v>
      </c>
      <c r="G6" s="65">
        <v>0.94</v>
      </c>
      <c r="H6" s="37">
        <f t="shared" si="0"/>
        <v>67.07591614399999</v>
      </c>
      <c r="I6" s="37">
        <f t="shared" si="1"/>
        <v>9.8056099999999997</v>
      </c>
    </row>
    <row r="7" spans="1:12" ht="14.45" x14ac:dyDescent="0.35">
      <c r="A7" t="s">
        <v>163</v>
      </c>
      <c r="B7">
        <v>0.95099999999999996</v>
      </c>
      <c r="C7">
        <v>0.92900000000000005</v>
      </c>
      <c r="D7" s="12">
        <v>68.025999999999996</v>
      </c>
      <c r="E7" s="64">
        <v>9.3610000000000007</v>
      </c>
      <c r="F7" s="65">
        <v>0.97499999999999998</v>
      </c>
      <c r="G7" s="65">
        <v>0.99970000000000003</v>
      </c>
      <c r="H7" s="37">
        <f t="shared" si="0"/>
        <v>66.32535</v>
      </c>
      <c r="I7" s="37">
        <f t="shared" si="1"/>
        <v>9.3581917000000008</v>
      </c>
    </row>
    <row r="8" spans="1:12" ht="14.45" x14ac:dyDescent="0.35">
      <c r="A8" t="s">
        <v>155</v>
      </c>
      <c r="B8">
        <v>0.11</v>
      </c>
      <c r="C8">
        <v>0.09</v>
      </c>
      <c r="D8" s="12">
        <v>7.26</v>
      </c>
      <c r="E8" s="64">
        <v>0.91400000000000003</v>
      </c>
      <c r="F8" s="65">
        <v>0.998</v>
      </c>
      <c r="G8" s="65">
        <v>1</v>
      </c>
      <c r="H8" s="37">
        <f t="shared" si="0"/>
        <v>7.2454799999999997</v>
      </c>
      <c r="I8" s="37">
        <f t="shared" si="1"/>
        <v>0.91400000000000003</v>
      </c>
    </row>
    <row r="9" spans="1:12" ht="14.45" x14ac:dyDescent="0.35">
      <c r="A9" t="s">
        <v>156</v>
      </c>
      <c r="B9">
        <v>0.35</v>
      </c>
      <c r="C9">
        <v>0.08</v>
      </c>
      <c r="D9" s="12">
        <v>30.021000000000001</v>
      </c>
      <c r="E9" s="64">
        <v>0.76900000000000002</v>
      </c>
      <c r="F9" s="65">
        <v>0.91500000000000004</v>
      </c>
      <c r="G9" s="65">
        <v>1</v>
      </c>
      <c r="H9" s="37">
        <f t="shared" si="0"/>
        <v>27.469215000000002</v>
      </c>
      <c r="I9" s="37">
        <f t="shared" si="1"/>
        <v>0.76900000000000002</v>
      </c>
    </row>
    <row r="10" spans="1:12" ht="14.45" x14ac:dyDescent="0.35">
      <c r="A10" t="s">
        <v>162</v>
      </c>
      <c r="B10">
        <v>0.88</v>
      </c>
      <c r="C10">
        <v>0.1</v>
      </c>
      <c r="D10" s="12">
        <v>76.959999999999994</v>
      </c>
      <c r="E10" s="64">
        <v>1.02</v>
      </c>
      <c r="F10" s="65">
        <v>0.89900000000000002</v>
      </c>
      <c r="G10" s="65">
        <v>0.60799999999999998</v>
      </c>
      <c r="H10" s="37">
        <f t="shared" si="0"/>
        <v>69.187039999999996</v>
      </c>
      <c r="I10" s="37">
        <f t="shared" si="1"/>
        <v>0.62016000000000004</v>
      </c>
    </row>
    <row r="11" spans="1:12" ht="14.45" x14ac:dyDescent="0.35">
      <c r="A11" t="s">
        <v>164</v>
      </c>
      <c r="B11">
        <v>0.18</v>
      </c>
      <c r="C11">
        <v>7.0000000000000007E-2</v>
      </c>
      <c r="D11" s="12">
        <v>11.673</v>
      </c>
      <c r="E11" s="64">
        <v>0.70099999999999996</v>
      </c>
      <c r="F11" s="65">
        <v>0.98499999999999999</v>
      </c>
      <c r="G11" s="65">
        <v>0.92900000000000005</v>
      </c>
      <c r="H11" s="37">
        <f t="shared" si="0"/>
        <v>11.497904999999999</v>
      </c>
      <c r="I11" s="37">
        <f t="shared" si="1"/>
        <v>0.65122899999999995</v>
      </c>
    </row>
    <row r="12" spans="1:12" s="37" customFormat="1" ht="14.45" x14ac:dyDescent="0.35">
      <c r="D12" s="12"/>
      <c r="E12" s="64"/>
      <c r="F12" s="65"/>
      <c r="G12" s="65"/>
    </row>
    <row r="13" spans="1:12" ht="14.45" x14ac:dyDescent="0.35">
      <c r="D13" s="12">
        <f>SUM(D2:D11)</f>
        <v>516.09550999999999</v>
      </c>
      <c r="E13" s="64">
        <f>SUM(E2:E11)</f>
        <v>64.658499999999989</v>
      </c>
      <c r="H13">
        <f>SUM(H2:H11)</f>
        <v>482.05678672799996</v>
      </c>
      <c r="I13">
        <f>SUM(I2:I11)</f>
        <v>59.980747199999996</v>
      </c>
      <c r="K13">
        <f>H13+I13</f>
        <v>542.0375339279999</v>
      </c>
      <c r="L13" t="s">
        <v>214</v>
      </c>
    </row>
    <row r="14" spans="1:12" ht="14.45" x14ac:dyDescent="0.35">
      <c r="K14" s="67">
        <f>D13+E13</f>
        <v>580.75400999999999</v>
      </c>
      <c r="L14" t="s">
        <v>8</v>
      </c>
    </row>
    <row r="15" spans="1:12" ht="14.45" x14ac:dyDescent="0.35">
      <c r="K15">
        <f>K13/K14</f>
        <v>0.93333412183929632</v>
      </c>
      <c r="L15" t="s">
        <v>215</v>
      </c>
    </row>
    <row r="16" spans="1:12" ht="14.45" x14ac:dyDescent="0.35">
      <c r="K16">
        <f>1-K15</f>
        <v>6.6665878160703684E-2</v>
      </c>
      <c r="L16" t="s">
        <v>218</v>
      </c>
    </row>
    <row r="19" spans="1:4" ht="14.45" x14ac:dyDescent="0.35">
      <c r="A19" s="12">
        <f>23070987/1000000</f>
        <v>23.070986999999999</v>
      </c>
      <c r="B19" s="12">
        <v>10787000</v>
      </c>
      <c r="C19" s="12">
        <f>23070987/1000000</f>
        <v>23.070986999999999</v>
      </c>
      <c r="D19">
        <f>B19/1000000</f>
        <v>10.787000000000001</v>
      </c>
    </row>
    <row r="20" spans="1:4" x14ac:dyDescent="0.25">
      <c r="A20" s="12">
        <f>73610528/1000000</f>
        <v>73.610528000000002</v>
      </c>
      <c r="B20" s="12">
        <v>10431500</v>
      </c>
      <c r="C20" s="12">
        <f>73610528/1000000</f>
        <v>73.610528000000002</v>
      </c>
      <c r="D20">
        <f t="shared" ref="D20:D28" si="2">B20/1000000</f>
        <v>10.4315</v>
      </c>
    </row>
    <row r="21" spans="1:4" x14ac:dyDescent="0.25">
      <c r="A21" s="12">
        <f>76931627/1000000</f>
        <v>76.931627000000006</v>
      </c>
      <c r="B21" s="12">
        <v>9812000</v>
      </c>
      <c r="C21" s="12">
        <f>76931627/1000000</f>
        <v>76.931627000000006</v>
      </c>
      <c r="D21">
        <f t="shared" si="2"/>
        <v>9.8119999999999994</v>
      </c>
    </row>
    <row r="22" spans="1:4" x14ac:dyDescent="0.25">
      <c r="A22" s="12">
        <v>73429360</v>
      </c>
      <c r="B22" s="12">
        <v>10431500</v>
      </c>
      <c r="C22">
        <f>A22/1000000</f>
        <v>73.429360000000003</v>
      </c>
      <c r="D22">
        <f t="shared" si="2"/>
        <v>10.4315</v>
      </c>
    </row>
    <row r="23" spans="1:4" x14ac:dyDescent="0.25">
      <c r="A23" s="12">
        <v>75113008</v>
      </c>
      <c r="B23" s="12">
        <v>10431500</v>
      </c>
      <c r="C23">
        <f t="shared" ref="C23:C28" si="3">A23/1000000</f>
        <v>75.113007999999994</v>
      </c>
      <c r="D23">
        <f t="shared" si="2"/>
        <v>10.4315</v>
      </c>
    </row>
    <row r="24" spans="1:4" x14ac:dyDescent="0.25">
      <c r="A24" s="12">
        <v>68026000</v>
      </c>
      <c r="B24" s="12">
        <v>9361000</v>
      </c>
      <c r="C24">
        <f t="shared" si="3"/>
        <v>68.025999999999996</v>
      </c>
      <c r="D24">
        <f t="shared" si="2"/>
        <v>9.3610000000000007</v>
      </c>
    </row>
    <row r="25" spans="1:4" x14ac:dyDescent="0.25">
      <c r="A25" s="12">
        <v>7260000</v>
      </c>
      <c r="B25" s="12">
        <v>914000</v>
      </c>
      <c r="C25">
        <f t="shared" si="3"/>
        <v>7.26</v>
      </c>
      <c r="D25">
        <f t="shared" si="2"/>
        <v>0.91400000000000003</v>
      </c>
    </row>
    <row r="26" spans="1:4" x14ac:dyDescent="0.25">
      <c r="A26" s="12">
        <v>30021000</v>
      </c>
      <c r="B26" s="12">
        <v>769000</v>
      </c>
      <c r="C26">
        <f t="shared" si="3"/>
        <v>30.021000000000001</v>
      </c>
      <c r="D26">
        <f t="shared" si="2"/>
        <v>0.76900000000000002</v>
      </c>
    </row>
    <row r="27" spans="1:4" x14ac:dyDescent="0.25">
      <c r="A27" s="12">
        <v>76960000</v>
      </c>
      <c r="B27" s="12">
        <v>1020000</v>
      </c>
      <c r="C27">
        <f t="shared" si="3"/>
        <v>76.959999999999994</v>
      </c>
      <c r="D27">
        <f t="shared" si="2"/>
        <v>1.02</v>
      </c>
    </row>
    <row r="28" spans="1:4" x14ac:dyDescent="0.25">
      <c r="A28" s="12">
        <v>11673000</v>
      </c>
      <c r="B28" s="12">
        <v>701000</v>
      </c>
      <c r="C28">
        <f t="shared" si="3"/>
        <v>11.673</v>
      </c>
      <c r="D28">
        <f t="shared" si="2"/>
        <v>0.70099999999999996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10" workbookViewId="0">
      <selection activeCell="P23" sqref="P23"/>
    </sheetView>
  </sheetViews>
  <sheetFormatPr defaultRowHeight="15" x14ac:dyDescent="0.25"/>
  <cols>
    <col min="1" max="1" width="40.85546875" bestFit="1" customWidth="1"/>
  </cols>
  <sheetData>
    <row r="2" spans="1:9" ht="14.45" x14ac:dyDescent="0.35">
      <c r="B2">
        <v>2013</v>
      </c>
      <c r="C2">
        <f>B2+1</f>
        <v>2014</v>
      </c>
      <c r="D2">
        <f t="shared" ref="D2:I2" si="0">C2+1</f>
        <v>2015</v>
      </c>
      <c r="E2">
        <f t="shared" si="0"/>
        <v>2016</v>
      </c>
      <c r="F2">
        <f t="shared" si="0"/>
        <v>2017</v>
      </c>
      <c r="G2">
        <f t="shared" si="0"/>
        <v>2018</v>
      </c>
      <c r="H2">
        <f t="shared" si="0"/>
        <v>2019</v>
      </c>
      <c r="I2">
        <f t="shared" si="0"/>
        <v>2020</v>
      </c>
    </row>
    <row r="3" spans="1:9" ht="14.45" x14ac:dyDescent="0.35">
      <c r="A3" t="str">
        <f>[1]Sheet1!A22</f>
        <v>Current auction</v>
      </c>
      <c r="B3">
        <f>[1]Sheet1!B22</f>
        <v>10.619317000000017</v>
      </c>
      <c r="C3">
        <f>[1]Sheet1!C22</f>
        <v>8.8249700000000004</v>
      </c>
      <c r="D3">
        <f>[1]Sheet1!D22</f>
        <v>136.95523300000008</v>
      </c>
      <c r="E3">
        <f>[1]Sheet1!E22</f>
        <v>136.10882299999997</v>
      </c>
      <c r="F3">
        <f>[1]Sheet1!F22</f>
        <v>128.84131400000001</v>
      </c>
      <c r="G3">
        <f>[1]Sheet1!G22</f>
        <v>119.39036599999997</v>
      </c>
      <c r="H3">
        <f>[1]Sheet1!H22</f>
        <v>112.34341100000003</v>
      </c>
      <c r="I3">
        <f>[1]Sheet1!I22</f>
        <v>105.24499199999991</v>
      </c>
    </row>
    <row r="4" spans="1:9" ht="14.45" x14ac:dyDescent="0.35">
      <c r="A4" t="str">
        <f>[1]Sheet1!A23</f>
        <v xml:space="preserve">Advance auction </v>
      </c>
      <c r="B4">
        <f>[1]Sheet1!B23</f>
        <v>0</v>
      </c>
      <c r="C4">
        <f>[1]Sheet1!C23</f>
        <v>0</v>
      </c>
      <c r="D4">
        <f>[1]Sheet1!D23</f>
        <v>39.450000000000003</v>
      </c>
      <c r="E4">
        <f>[1]Sheet1!E23</f>
        <v>38.24</v>
      </c>
      <c r="F4">
        <f>[1]Sheet1!F23</f>
        <v>37.04</v>
      </c>
      <c r="G4">
        <f>[1]Sheet1!G23</f>
        <v>35.830000000000005</v>
      </c>
      <c r="H4">
        <f>[1]Sheet1!H23</f>
        <v>34.630000000000003</v>
      </c>
      <c r="I4">
        <f>[1]Sheet1!I23</f>
        <v>33.42</v>
      </c>
    </row>
    <row r="5" spans="1:9" ht="14.45" x14ac:dyDescent="0.35">
      <c r="A5" t="str">
        <f>[1]Sheet1!A24</f>
        <v>Consignment auction: POU electricity</v>
      </c>
      <c r="B5">
        <f>[1]Sheet1!B24</f>
        <v>30.433005000000001</v>
      </c>
      <c r="C5">
        <f>[1]Sheet1!C24</f>
        <v>30.205413</v>
      </c>
      <c r="D5">
        <f>[1]Sheet1!D24</f>
        <v>29.454802999999998</v>
      </c>
      <c r="E5">
        <f>[1]Sheet1!E24</f>
        <v>29.839054999999998</v>
      </c>
      <c r="F5">
        <f>[1]Sheet1!F24</f>
        <v>30.216631</v>
      </c>
      <c r="G5">
        <f>[1]Sheet1!G24</f>
        <v>30.271539000000001</v>
      </c>
      <c r="H5">
        <f>[1]Sheet1!H24</f>
        <v>29.62687</v>
      </c>
      <c r="I5">
        <f>[1]Sheet1!I24</f>
        <v>28.679976</v>
      </c>
    </row>
    <row r="6" spans="1:9" ht="14.45" x14ac:dyDescent="0.35">
      <c r="A6" t="str">
        <f>[1]Sheet1!A25</f>
        <v>Consignment auction: IOU electricity</v>
      </c>
      <c r="B6">
        <f>[1]Sheet1!B25</f>
        <v>65.410683000000006</v>
      </c>
      <c r="C6">
        <f>[1]Sheet1!C25</f>
        <v>63.879748999999997</v>
      </c>
      <c r="D6">
        <f>[1]Sheet1!D25</f>
        <v>62.774023</v>
      </c>
      <c r="E6">
        <f>[1]Sheet1!E25</f>
        <v>60.611283999999998</v>
      </c>
      <c r="F6">
        <f>[1]Sheet1!F25</f>
        <v>58.417112000000003</v>
      </c>
      <c r="G6">
        <f>[1]Sheet1!G25</f>
        <v>56.505763999999999</v>
      </c>
      <c r="H6">
        <f>[1]Sheet1!H25</f>
        <v>55.294165</v>
      </c>
      <c r="I6">
        <f>[1]Sheet1!I25</f>
        <v>54.482517000000001</v>
      </c>
    </row>
    <row r="7" spans="1:9" ht="14.45" x14ac:dyDescent="0.35">
      <c r="A7" t="str">
        <f>[1]Sheet1!A26</f>
        <v>Free allocation to counter industrial leakage</v>
      </c>
      <c r="B7">
        <f>[1]Sheet1!B26</f>
        <v>53.894995000000002</v>
      </c>
      <c r="C7">
        <f>[1]Sheet1!C26</f>
        <v>54.394368</v>
      </c>
      <c r="D7">
        <f>[1]Sheet1!D26</f>
        <v>55.827437000000003</v>
      </c>
      <c r="E7">
        <f>[1]Sheet1!E26</f>
        <v>55</v>
      </c>
      <c r="F7">
        <f>[1]Sheet1!F26</f>
        <v>54</v>
      </c>
      <c r="G7">
        <f>[1]Sheet1!G26</f>
        <v>46</v>
      </c>
      <c r="H7">
        <f>[1]Sheet1!H26</f>
        <v>46</v>
      </c>
      <c r="I7">
        <f>[1]Sheet1!I26</f>
        <v>46</v>
      </c>
    </row>
    <row r="8" spans="1:9" ht="14.45" x14ac:dyDescent="0.35">
      <c r="A8" t="str">
        <f>[1]Sheet1!A27</f>
        <v>Free allocation: regulated natural gas deliverers</v>
      </c>
      <c r="B8">
        <f>[1]Sheet1!B27</f>
        <v>0</v>
      </c>
      <c r="C8">
        <f>[1]Sheet1!C27</f>
        <v>0</v>
      </c>
      <c r="D8">
        <f>[1]Sheet1!D27</f>
        <v>45.356999000000002</v>
      </c>
      <c r="E8">
        <f>[1]Sheet1!E27</f>
        <v>44</v>
      </c>
      <c r="F8">
        <f>[1]Sheet1!F27</f>
        <v>44</v>
      </c>
      <c r="G8">
        <f>[1]Sheet1!G27</f>
        <v>43</v>
      </c>
      <c r="H8">
        <f>[1]Sheet1!H27</f>
        <v>42</v>
      </c>
      <c r="I8">
        <f>[1]Sheet1!I27</f>
        <v>41</v>
      </c>
    </row>
    <row r="9" spans="1:9" ht="14.45" x14ac:dyDescent="0.35">
      <c r="A9" t="str">
        <f>[1]Sheet1!A28</f>
        <v>Free allocation: special cases</v>
      </c>
      <c r="B9">
        <f>[1]Sheet1!B28</f>
        <v>0</v>
      </c>
      <c r="C9">
        <f>[1]Sheet1!C28</f>
        <v>0</v>
      </c>
      <c r="D9">
        <f>[1]Sheet1!D28</f>
        <v>7.9152550000000002</v>
      </c>
      <c r="E9">
        <f>[1]Sheet1!E28</f>
        <v>2.3488379999999998</v>
      </c>
      <c r="F9">
        <f>[1]Sheet1!F28</f>
        <v>2.1429429999999998</v>
      </c>
      <c r="G9">
        <f>[1]Sheet1!G28</f>
        <v>1.3255810000000001</v>
      </c>
      <c r="H9">
        <f>[1]Sheet1!H28</f>
        <v>1.2988039999999998</v>
      </c>
      <c r="I9">
        <f>[1]Sheet1!I28</f>
        <v>1.1430150000000001</v>
      </c>
    </row>
    <row r="37" spans="2:3" x14ac:dyDescent="0.25">
      <c r="B37" t="s">
        <v>174</v>
      </c>
    </row>
    <row r="39" spans="2:3" x14ac:dyDescent="0.25">
      <c r="B39">
        <f>SUM(D3:I3)</f>
        <v>738.884139</v>
      </c>
    </row>
    <row r="40" spans="2:3" x14ac:dyDescent="0.25">
      <c r="B40">
        <f>SUM(D4:I4)</f>
        <v>218.61</v>
      </c>
    </row>
    <row r="41" spans="2:3" x14ac:dyDescent="0.25">
      <c r="B41">
        <f>B39+B40</f>
        <v>957.49413900000002</v>
      </c>
      <c r="C41" t="s">
        <v>176</v>
      </c>
    </row>
    <row r="42" spans="2:3" x14ac:dyDescent="0.25">
      <c r="B42">
        <v>2062</v>
      </c>
      <c r="C42" t="s">
        <v>175</v>
      </c>
    </row>
    <row r="44" spans="2:3" x14ac:dyDescent="0.25">
      <c r="B44">
        <f>B41/B42</f>
        <v>0.46435215276430652</v>
      </c>
      <c r="C44" t="s">
        <v>177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7" sqref="E7"/>
    </sheetView>
  </sheetViews>
  <sheetFormatPr defaultRowHeight="15" x14ac:dyDescent="0.25"/>
  <cols>
    <col min="1" max="1" width="25.85546875" customWidth="1"/>
    <col min="2" max="2" width="16.140625" bestFit="1" customWidth="1"/>
    <col min="3" max="3" width="14.42578125" customWidth="1"/>
    <col min="4" max="4" width="6.5703125" customWidth="1"/>
    <col min="5" max="5" width="32.140625" bestFit="1" customWidth="1"/>
    <col min="6" max="7" width="14.5703125" bestFit="1" customWidth="1"/>
    <col min="9" max="9" width="15" customWidth="1"/>
  </cols>
  <sheetData>
    <row r="1" spans="1:9" ht="14.45" x14ac:dyDescent="0.35">
      <c r="B1" t="str">
        <f>'demand scenarios'!B1</f>
        <v>Flat emissions</v>
      </c>
      <c r="C1" t="str">
        <f>'demand scenarios'!C1</f>
        <v>Emissions fall at 2% annually</v>
      </c>
    </row>
    <row r="2" spans="1:9" ht="14.45" x14ac:dyDescent="0.35">
      <c r="A2" t="s">
        <v>136</v>
      </c>
      <c r="B2" s="1">
        <f>'synthesize (b4 Q1 adjustment)'!B9</f>
        <v>2388073950</v>
      </c>
      <c r="C2" s="1">
        <f>'synthesize (b4 Q1 adjustment)'!C9</f>
        <v>2271806970.4391928</v>
      </c>
      <c r="E2" t="str">
        <f>'synthesize (b4 Q1 adjustment)'!E9</f>
        <v>How broad is the spread in aggregate</v>
      </c>
      <c r="G2" s="3"/>
      <c r="I2" s="1">
        <f>'synthesize (b4 Q1 adjustment)'!I9</f>
        <v>116266979.56080723</v>
      </c>
    </row>
    <row r="4" spans="1:9" ht="14.45" x14ac:dyDescent="0.35">
      <c r="A4" t="s">
        <v>36</v>
      </c>
      <c r="B4" s="1">
        <f>0.04*B2</f>
        <v>95522958</v>
      </c>
      <c r="C4" s="1">
        <f>0.04*C2</f>
        <v>90872278.817567706</v>
      </c>
      <c r="E4" t="s">
        <v>173</v>
      </c>
      <c r="I4">
        <v>6.44</v>
      </c>
    </row>
    <row r="6" spans="1:9" ht="14.45" x14ac:dyDescent="0.35">
      <c r="A6" t="s">
        <v>23</v>
      </c>
      <c r="B6" s="2">
        <f>B2-B4</f>
        <v>2292550992</v>
      </c>
      <c r="C6" s="2">
        <f>C2-C4</f>
        <v>2180934691.6216249</v>
      </c>
    </row>
    <row r="8" spans="1:9" ht="14.45" x14ac:dyDescent="0.35">
      <c r="A8" t="s">
        <v>51</v>
      </c>
      <c r="B8" s="2">
        <f>'retired available for CP2 &amp; 3'!$B$16</f>
        <v>128820072</v>
      </c>
      <c r="C8">
        <f>'retired available for CP2 &amp; 3'!$B$16</f>
        <v>128820072</v>
      </c>
    </row>
    <row r="9" spans="1:9" ht="14.45" x14ac:dyDescent="0.35">
      <c r="B9" s="2"/>
    </row>
    <row r="10" spans="1:9" ht="14.45" x14ac:dyDescent="0.35">
      <c r="A10" t="s">
        <v>22</v>
      </c>
      <c r="B10" s="1">
        <f>'current allowance holdings'!$D$13</f>
        <v>909465493</v>
      </c>
      <c r="C10" s="1">
        <f>'current allowance holdings'!$D$13</f>
        <v>909465493</v>
      </c>
    </row>
    <row r="11" spans="1:9" ht="14.45" x14ac:dyDescent="0.35">
      <c r="B11" s="1"/>
      <c r="C11" s="1"/>
    </row>
    <row r="12" spans="1:9" ht="14.45" x14ac:dyDescent="0.35">
      <c r="A12" t="s">
        <v>24</v>
      </c>
      <c r="B12" s="1">
        <f>B6-B10</f>
        <v>1383085499</v>
      </c>
      <c r="C12" s="1">
        <f>C6-C10</f>
        <v>1271469198.6216249</v>
      </c>
    </row>
    <row r="14" spans="1:9" ht="14.45" x14ac:dyDescent="0.35">
      <c r="A14" t="s">
        <v>52</v>
      </c>
      <c r="B14" s="2">
        <f>B12-B8</f>
        <v>1254265427</v>
      </c>
      <c r="C14" s="1">
        <f>C12-C8</f>
        <v>1142649126.6216249</v>
      </c>
    </row>
    <row r="16" spans="1:9" ht="14.45" x14ac:dyDescent="0.35">
      <c r="A16" s="32" t="s">
        <v>137</v>
      </c>
    </row>
    <row r="17" spans="1:7" ht="29.1" x14ac:dyDescent="0.35">
      <c r="B17" s="13" t="s">
        <v>74</v>
      </c>
      <c r="C17" s="13" t="s">
        <v>76</v>
      </c>
    </row>
    <row r="18" spans="1:7" ht="14.45" x14ac:dyDescent="0.35">
      <c r="A18" t="str">
        <f>A2</f>
        <v>Total emissions 2015-2020</v>
      </c>
      <c r="B18" s="1">
        <f>B2/1000000</f>
        <v>2388.07395</v>
      </c>
      <c r="C18" s="1">
        <f>C2/1000000</f>
        <v>2271.8069704391928</v>
      </c>
    </row>
    <row r="19" spans="1:7" ht="30" customHeight="1" x14ac:dyDescent="0.35">
      <c r="B19" s="2"/>
      <c r="C19" s="2"/>
      <c r="F19" s="13" t="s">
        <v>74</v>
      </c>
      <c r="G19" s="13" t="s">
        <v>76</v>
      </c>
    </row>
    <row r="20" spans="1:7" ht="30" x14ac:dyDescent="0.25">
      <c r="A20" s="13" t="str">
        <f>A6</f>
        <v>Demand after figuring in 4% offsets</v>
      </c>
      <c r="B20" s="1">
        <f>B6/1000000</f>
        <v>2292.550992</v>
      </c>
      <c r="C20" s="1">
        <f>C6/1000000</f>
        <v>2180.934691621625</v>
      </c>
      <c r="E20" t="str">
        <f>A4</f>
        <v>offsets at 4% of emissions</v>
      </c>
      <c r="F20" s="1">
        <f>B4/1000000</f>
        <v>95.522958000000003</v>
      </c>
      <c r="G20" s="1">
        <f>C4/1000000</f>
        <v>90.872278817567704</v>
      </c>
    </row>
    <row r="21" spans="1:7" x14ac:dyDescent="0.25">
      <c r="A21" s="13"/>
      <c r="B21" s="1"/>
      <c r="C21" s="1"/>
      <c r="F21" s="1"/>
      <c r="G21" s="1"/>
    </row>
    <row r="22" spans="1:7" ht="45" x14ac:dyDescent="0.25">
      <c r="A22" s="13" t="str">
        <f>A12</f>
        <v>Demand after accounting for current allowance holdings</v>
      </c>
      <c r="B22" s="1">
        <f>B12/1000000-I4</f>
        <v>1376.645499</v>
      </c>
      <c r="C22" s="1">
        <f>C12/1000000-I4</f>
        <v>1265.0291986216248</v>
      </c>
      <c r="E22" t="str">
        <f>A10</f>
        <v>Current allowance holdings</v>
      </c>
      <c r="F22" s="1">
        <f>B10/1000000+I4</f>
        <v>915.90549300000009</v>
      </c>
      <c r="G22" s="1">
        <f>C10/1000000+I4</f>
        <v>915.90549300000009</v>
      </c>
    </row>
    <row r="23" spans="1:7" x14ac:dyDescent="0.25">
      <c r="A23" s="13"/>
      <c r="B23" s="1"/>
      <c r="C23" s="1"/>
      <c r="F23" s="1"/>
      <c r="G23" s="1"/>
    </row>
    <row r="24" spans="1:7" ht="45" x14ac:dyDescent="0.25">
      <c r="A24" s="13" t="s">
        <v>52</v>
      </c>
      <c r="B24" s="1">
        <f>1254265427/1000000</f>
        <v>1254.265427</v>
      </c>
      <c r="C24" s="1">
        <f>1142649126.62162/1000000</f>
        <v>1142.6491266216199</v>
      </c>
      <c r="E24" s="13" t="str">
        <f>A8</f>
        <v>Allowances retired for use in second compliance period</v>
      </c>
      <c r="F24" s="1">
        <f>B8/1000000</f>
        <v>128.82007200000001</v>
      </c>
      <c r="G24" s="1">
        <f>C8/1000000</f>
        <v>128.82007200000001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H31" sqref="H31"/>
    </sheetView>
  </sheetViews>
  <sheetFormatPr defaultRowHeight="15" x14ac:dyDescent="0.25"/>
  <cols>
    <col min="1" max="1" width="48.42578125" bestFit="1" customWidth="1"/>
    <col min="2" max="2" width="16.140625" bestFit="1" customWidth="1"/>
    <col min="3" max="3" width="27.42578125" bestFit="1" customWidth="1"/>
    <col min="8" max="8" width="13.5703125" bestFit="1" customWidth="1"/>
    <col min="9" max="9" width="12" bestFit="1" customWidth="1"/>
    <col min="13" max="14" width="12" bestFit="1" customWidth="1"/>
  </cols>
  <sheetData>
    <row r="1" spans="1:9" ht="14.45" x14ac:dyDescent="0.35">
      <c r="B1" t="str">
        <f>'demand scenarios'!B1</f>
        <v>Flat emissions</v>
      </c>
      <c r="C1" t="str">
        <f>'demand scenarios'!C1</f>
        <v>Emissions fall at 2% annually</v>
      </c>
    </row>
    <row r="2" spans="1:9" ht="14.45" x14ac:dyDescent="0.35">
      <c r="A2">
        <f>'demand scenarios'!A2</f>
        <v>2015</v>
      </c>
      <c r="B2">
        <f>'demand scenarios'!B2</f>
        <v>398012325</v>
      </c>
      <c r="C2" s="8">
        <f>'demand scenarios'!C2</f>
        <v>398012325</v>
      </c>
    </row>
    <row r="3" spans="1:9" ht="14.45" x14ac:dyDescent="0.35">
      <c r="A3">
        <f>'demand scenarios'!A3</f>
        <v>2016</v>
      </c>
      <c r="B3">
        <f>'demand scenarios'!B3</f>
        <v>398012325</v>
      </c>
      <c r="C3">
        <f>'demand scenarios'!C3</f>
        <v>390052078.5</v>
      </c>
    </row>
    <row r="4" spans="1:9" ht="14.45" x14ac:dyDescent="0.35">
      <c r="A4" s="33" t="s">
        <v>146</v>
      </c>
      <c r="B4">
        <f>'demand scenarios'!B4</f>
        <v>398012325</v>
      </c>
      <c r="C4">
        <f>'demand scenarios'!C4</f>
        <v>382251036.93000001</v>
      </c>
    </row>
    <row r="6" spans="1:9" ht="14.45" x14ac:dyDescent="0.35">
      <c r="A6">
        <f>'demand scenarios'!A6</f>
        <v>2019</v>
      </c>
    </row>
    <row r="7" spans="1:9" ht="14.45" x14ac:dyDescent="0.35">
      <c r="A7">
        <f>'demand scenarios'!A7</f>
        <v>2020</v>
      </c>
    </row>
    <row r="9" spans="1:9" ht="14.45" x14ac:dyDescent="0.35">
      <c r="A9" t="s">
        <v>147</v>
      </c>
      <c r="B9" s="1">
        <f>SUM(B2:B7)</f>
        <v>1194036975</v>
      </c>
      <c r="C9" s="1">
        <f>SUM(C2:C7)</f>
        <v>1170315440.4300001</v>
      </c>
      <c r="E9" s="9"/>
      <c r="F9" s="9"/>
      <c r="G9" s="9"/>
      <c r="H9" s="9"/>
      <c r="I9" s="2"/>
    </row>
    <row r="10" spans="1:9" ht="14.45" x14ac:dyDescent="0.35">
      <c r="B10" s="1"/>
      <c r="C10" s="1"/>
      <c r="E10" s="9"/>
      <c r="F10" s="9"/>
      <c r="G10" s="9"/>
      <c r="H10" s="9"/>
      <c r="I10" s="2"/>
    </row>
    <row r="11" spans="1:9" ht="14.45" x14ac:dyDescent="0.35">
      <c r="A11" t="s">
        <v>148</v>
      </c>
      <c r="B11" s="1">
        <f>B2+B3+0.25*B4</f>
        <v>895527731.25</v>
      </c>
      <c r="C11" s="1">
        <f>C2+C3+0.25*C4</f>
        <v>883627162.73249996</v>
      </c>
      <c r="E11" s="9"/>
      <c r="F11" s="9"/>
      <c r="G11" s="9"/>
      <c r="H11" s="9"/>
      <c r="I11" s="2"/>
    </row>
    <row r="13" spans="1:9" ht="14.45" x14ac:dyDescent="0.35">
      <c r="A13" t="s">
        <v>36</v>
      </c>
      <c r="B13" s="1">
        <f>0.04*B9</f>
        <v>47761479</v>
      </c>
      <c r="C13" s="1">
        <f>0.04*C9</f>
        <v>46812617.617200002</v>
      </c>
    </row>
    <row r="15" spans="1:9" ht="14.45" x14ac:dyDescent="0.35">
      <c r="A15" t="s">
        <v>23</v>
      </c>
      <c r="B15" s="2">
        <f>B9-B13</f>
        <v>1146275496</v>
      </c>
      <c r="C15" s="2">
        <f>C9-C13</f>
        <v>1123502822.8128002</v>
      </c>
      <c r="E15" t="s">
        <v>21</v>
      </c>
    </row>
    <row r="17" spans="1:8" ht="14.45" x14ac:dyDescent="0.35">
      <c r="A17" t="s">
        <v>51</v>
      </c>
      <c r="B17" s="2">
        <f>'retired available for CP2 &amp; 3'!$B$16</f>
        <v>128820072</v>
      </c>
      <c r="C17">
        <f>'retired available for CP2 &amp; 3'!$B$16</f>
        <v>128820072</v>
      </c>
    </row>
    <row r="19" spans="1:8" ht="14.45" x14ac:dyDescent="0.35">
      <c r="A19" t="s">
        <v>152</v>
      </c>
      <c r="B19" s="2">
        <f>B15-B17</f>
        <v>1017455424</v>
      </c>
      <c r="C19" s="2">
        <f>C15-C17</f>
        <v>994682750.81280017</v>
      </c>
    </row>
    <row r="21" spans="1:8" x14ac:dyDescent="0.25">
      <c r="A21" t="s">
        <v>22</v>
      </c>
      <c r="B21">
        <f>'current allowance holdings'!$D$13+G21</f>
        <v>915905493</v>
      </c>
      <c r="C21">
        <f>'current allowance holdings'!$D$13+G21</f>
        <v>915905493</v>
      </c>
      <c r="E21" t="str">
        <f>'synethsize (with Q1 adjustment)'!E16</f>
        <v xml:space="preserve">Q1 auction results </v>
      </c>
      <c r="G21">
        <f>'synethsize (with Q1 adjustment)'!G16</f>
        <v>6440000</v>
      </c>
    </row>
    <row r="22" spans="1:8" s="37" customFormat="1" x14ac:dyDescent="0.25"/>
    <row r="23" spans="1:8" x14ac:dyDescent="0.25">
      <c r="A23" s="21" t="s">
        <v>210</v>
      </c>
      <c r="B23">
        <f>$A$35</f>
        <v>53170500</v>
      </c>
      <c r="C23" s="37">
        <f>$A$35</f>
        <v>53170500</v>
      </c>
    </row>
    <row r="24" spans="1:8" s="37" customFormat="1" x14ac:dyDescent="0.25"/>
    <row r="25" spans="1:8" s="37" customFormat="1" x14ac:dyDescent="0.25">
      <c r="A25" s="37" t="s">
        <v>211</v>
      </c>
      <c r="B25" s="37">
        <f>B21-B23</f>
        <v>862734993</v>
      </c>
      <c r="C25" s="37">
        <f>C21-C23</f>
        <v>862734993</v>
      </c>
    </row>
    <row r="26" spans="1:8" s="37" customFormat="1" x14ac:dyDescent="0.25"/>
    <row r="27" spans="1:8" s="37" customFormat="1" x14ac:dyDescent="0.25">
      <c r="A27" s="37" t="s">
        <v>220</v>
      </c>
      <c r="B27" s="37">
        <f>B25-A38*B25</f>
        <v>805220007.07168651</v>
      </c>
      <c r="C27" s="37">
        <f>C25-C25*A38</f>
        <v>805220007.07168651</v>
      </c>
    </row>
    <row r="28" spans="1:8" s="37" customFormat="1" x14ac:dyDescent="0.25"/>
    <row r="29" spans="1:8" x14ac:dyDescent="0.25">
      <c r="A29" t="s">
        <v>153</v>
      </c>
      <c r="B29" s="2">
        <f>B19-B27</f>
        <v>212235416.92831349</v>
      </c>
      <c r="C29" s="2">
        <f>C19-C27</f>
        <v>189462743.74111366</v>
      </c>
      <c r="E29" t="s">
        <v>172</v>
      </c>
      <c r="H29" s="1">
        <f>(B29+C29)/2</f>
        <v>200849080.33471358</v>
      </c>
    </row>
    <row r="31" spans="1:8" x14ac:dyDescent="0.25">
      <c r="H31">
        <f>6*70</f>
        <v>420</v>
      </c>
    </row>
    <row r="32" spans="1:8" x14ac:dyDescent="0.25">
      <c r="A32" s="9" t="s">
        <v>219</v>
      </c>
    </row>
    <row r="33" spans="1:2" x14ac:dyDescent="0.25">
      <c r="A33" s="9">
        <v>41106500</v>
      </c>
    </row>
    <row r="34" spans="1:2" x14ac:dyDescent="0.25">
      <c r="A34" s="9">
        <v>12064000</v>
      </c>
    </row>
    <row r="35" spans="1:2" x14ac:dyDescent="0.25">
      <c r="A35" s="9">
        <f>SUM(A33:A34)</f>
        <v>53170500</v>
      </c>
      <c r="B35" t="s">
        <v>8</v>
      </c>
    </row>
    <row r="38" spans="1:2" x14ac:dyDescent="0.25">
      <c r="A38" s="68">
        <f>'bid to cover ratio'!$K$16</f>
        <v>6.6665878160703684E-2</v>
      </c>
      <c r="B38" s="37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3" sqref="D3"/>
    </sheetView>
  </sheetViews>
  <sheetFormatPr defaultRowHeight="15" x14ac:dyDescent="0.25"/>
  <cols>
    <col min="1" max="1" width="48.42578125" bestFit="1" customWidth="1"/>
    <col min="2" max="2" width="16.140625" bestFit="1" customWidth="1"/>
    <col min="3" max="3" width="27.42578125" bestFit="1" customWidth="1"/>
    <col min="4" max="4" width="9.85546875" bestFit="1" customWidth="1"/>
    <col min="7" max="7" width="12.5703125" bestFit="1" customWidth="1"/>
    <col min="9" max="9" width="14" customWidth="1"/>
    <col min="13" max="14" width="12" bestFit="1" customWidth="1"/>
  </cols>
  <sheetData>
    <row r="1" spans="1:9" ht="14.45" x14ac:dyDescent="0.35">
      <c r="B1" t="str">
        <f>'demand scenarios'!B1</f>
        <v>Flat emissions</v>
      </c>
      <c r="C1" t="str">
        <f>'demand scenarios'!C1</f>
        <v>Emissions fall at 2% annually</v>
      </c>
    </row>
    <row r="2" spans="1:9" ht="14.45" x14ac:dyDescent="0.35">
      <c r="A2">
        <f>'demand scenarios'!A2</f>
        <v>2015</v>
      </c>
      <c r="B2">
        <f>'demand scenarios'!B2</f>
        <v>398012325</v>
      </c>
      <c r="C2" s="8">
        <f>'demand scenarios'!C2</f>
        <v>398012325</v>
      </c>
    </row>
    <row r="3" spans="1:9" ht="14.45" x14ac:dyDescent="0.35">
      <c r="A3">
        <f>'demand scenarios'!A3</f>
        <v>2016</v>
      </c>
      <c r="B3">
        <f>'demand scenarios'!B3</f>
        <v>398012325</v>
      </c>
      <c r="C3">
        <f>'demand scenarios'!C3</f>
        <v>390052078.5</v>
      </c>
    </row>
    <row r="4" spans="1:9" ht="14.45" x14ac:dyDescent="0.35">
      <c r="A4">
        <f>'demand scenarios'!A4</f>
        <v>2017</v>
      </c>
      <c r="B4">
        <f>'demand scenarios'!B4</f>
        <v>398012325</v>
      </c>
      <c r="C4">
        <f>'demand scenarios'!C4</f>
        <v>382251036.93000001</v>
      </c>
    </row>
    <row r="5" spans="1:9" ht="14.45" x14ac:dyDescent="0.35">
      <c r="A5">
        <f>'demand scenarios'!A5</f>
        <v>2018</v>
      </c>
      <c r="B5">
        <f>'demand scenarios'!B5</f>
        <v>398012325</v>
      </c>
      <c r="C5">
        <f>'demand scenarios'!C5</f>
        <v>374606016.19139999</v>
      </c>
    </row>
    <row r="6" spans="1:9" ht="14.45" x14ac:dyDescent="0.35">
      <c r="A6">
        <f>'demand scenarios'!A6</f>
        <v>2019</v>
      </c>
      <c r="B6">
        <f>'demand scenarios'!B6</f>
        <v>398012325</v>
      </c>
      <c r="C6">
        <f>'demand scenarios'!C6</f>
        <v>367113895.86757201</v>
      </c>
    </row>
    <row r="7" spans="1:9" ht="14.45" x14ac:dyDescent="0.35">
      <c r="A7">
        <f>'demand scenarios'!A7</f>
        <v>2020</v>
      </c>
      <c r="B7">
        <f>'demand scenarios'!B7</f>
        <v>398012325</v>
      </c>
      <c r="C7">
        <f>'demand scenarios'!C7</f>
        <v>359771617.95022058</v>
      </c>
    </row>
    <row r="9" spans="1:9" ht="14.45" x14ac:dyDescent="0.35">
      <c r="A9" t="s">
        <v>20</v>
      </c>
      <c r="B9" s="1">
        <f>SUM(B2:B7)</f>
        <v>2388073950</v>
      </c>
      <c r="C9" s="1">
        <f>SUM(C2:C7)</f>
        <v>2271806970.4391928</v>
      </c>
      <c r="E9" s="9" t="s">
        <v>28</v>
      </c>
      <c r="F9" s="9"/>
      <c r="G9" s="9"/>
      <c r="H9" s="9"/>
      <c r="I9" s="2">
        <f>B9-C9</f>
        <v>116266979.56080723</v>
      </c>
    </row>
    <row r="11" spans="1:9" ht="14.45" x14ac:dyDescent="0.35">
      <c r="A11" t="s">
        <v>36</v>
      </c>
      <c r="B11" s="1">
        <f>0.04*B9</f>
        <v>95522958</v>
      </c>
      <c r="C11" s="1">
        <f>0.04*C9</f>
        <v>90872278.817567706</v>
      </c>
    </row>
    <row r="13" spans="1:9" ht="14.45" x14ac:dyDescent="0.35">
      <c r="A13" t="s">
        <v>23</v>
      </c>
      <c r="B13" s="2">
        <f>B9-B11</f>
        <v>2292550992</v>
      </c>
      <c r="C13" s="2">
        <f>C9-C11</f>
        <v>2180934691.6216249</v>
      </c>
      <c r="E13" t="s">
        <v>21</v>
      </c>
    </row>
    <row r="15" spans="1:9" ht="14.45" x14ac:dyDescent="0.35">
      <c r="A15" t="s">
        <v>149</v>
      </c>
      <c r="B15" s="2">
        <f>'current allowance holdings'!$D$13+G16</f>
        <v>915905493</v>
      </c>
      <c r="C15" s="2">
        <f>'current allowance holdings'!$D$13+G16</f>
        <v>915905493</v>
      </c>
    </row>
    <row r="16" spans="1:9" ht="14.45" x14ac:dyDescent="0.35">
      <c r="A16" s="21" t="s">
        <v>150</v>
      </c>
      <c r="E16" s="21" t="s">
        <v>151</v>
      </c>
      <c r="G16" s="1">
        <f>6.44*1000000</f>
        <v>6440000</v>
      </c>
    </row>
    <row r="17" spans="1:6" ht="14.45" x14ac:dyDescent="0.35">
      <c r="A17" t="s">
        <v>24</v>
      </c>
      <c r="B17">
        <f>B13-B15</f>
        <v>1376645499</v>
      </c>
      <c r="C17">
        <f>C13-C15</f>
        <v>1265029198.6216249</v>
      </c>
    </row>
    <row r="19" spans="1:6" ht="14.45" x14ac:dyDescent="0.35">
      <c r="A19" t="s">
        <v>51</v>
      </c>
      <c r="B19" s="2">
        <f>'retired available for CP2 &amp; 3'!$B$16</f>
        <v>128820072</v>
      </c>
      <c r="C19">
        <f>'retired available for CP2 &amp; 3'!$B$16</f>
        <v>128820072</v>
      </c>
    </row>
    <row r="21" spans="1:6" x14ac:dyDescent="0.25">
      <c r="A21" t="s">
        <v>52</v>
      </c>
      <c r="B21" s="2">
        <f>B17-B19</f>
        <v>1247825427</v>
      </c>
      <c r="C21" s="1">
        <f>C17-C19</f>
        <v>1136209126.6216249</v>
      </c>
    </row>
    <row r="23" spans="1:6" x14ac:dyDescent="0.25">
      <c r="A23" t="s">
        <v>25</v>
      </c>
      <c r="B23" s="2">
        <f>'future supply'!$B$12-G16</f>
        <v>1443479150</v>
      </c>
      <c r="C23">
        <f>'future supply'!$B$12-G17</f>
        <v>1449919150</v>
      </c>
    </row>
    <row r="25" spans="1:6" x14ac:dyDescent="0.25">
      <c r="A25" t="s">
        <v>26</v>
      </c>
      <c r="B25" s="34">
        <f>B21/B23</f>
        <v>0.86445684165233705</v>
      </c>
      <c r="C25" s="34">
        <f>C21/C23</f>
        <v>0.78363619559175068</v>
      </c>
      <c r="E25" t="s">
        <v>32</v>
      </c>
      <c r="F25">
        <f>(B25+C25)/2</f>
        <v>0.82404651862204381</v>
      </c>
    </row>
    <row r="27" spans="1:6" x14ac:dyDescent="0.25">
      <c r="A27" t="s">
        <v>27</v>
      </c>
      <c r="B27" s="1">
        <f>B23-B21</f>
        <v>195653723</v>
      </c>
      <c r="C27" s="1">
        <f>C23-C21</f>
        <v>313710023.37837505</v>
      </c>
    </row>
    <row r="29" spans="1:6" x14ac:dyDescent="0.25">
      <c r="A29" t="s">
        <v>45</v>
      </c>
    </row>
    <row r="31" spans="1:6" x14ac:dyDescent="0.25">
      <c r="A31" t="s">
        <v>37</v>
      </c>
    </row>
    <row r="32" spans="1:6" x14ac:dyDescent="0.25">
      <c r="A32">
        <v>0.27</v>
      </c>
    </row>
    <row r="33" spans="1:7" x14ac:dyDescent="0.25">
      <c r="A33" t="s">
        <v>46</v>
      </c>
    </row>
    <row r="34" spans="1:7" x14ac:dyDescent="0.25">
      <c r="A34">
        <f>A32*B23</f>
        <v>389739370.5</v>
      </c>
    </row>
    <row r="35" spans="1:7" x14ac:dyDescent="0.25">
      <c r="A35" t="s">
        <v>47</v>
      </c>
    </row>
    <row r="36" spans="1:7" x14ac:dyDescent="0.25">
      <c r="A36">
        <f>B23-A34</f>
        <v>1053739779.5</v>
      </c>
    </row>
    <row r="38" spans="1:7" x14ac:dyDescent="0.25">
      <c r="A38" t="s">
        <v>48</v>
      </c>
      <c r="B38" s="2">
        <f>B21-A34</f>
        <v>858086056.5</v>
      </c>
      <c r="C38" s="2">
        <f>C21-A34</f>
        <v>746469756.12162495</v>
      </c>
    </row>
    <row r="40" spans="1:7" x14ac:dyDescent="0.25">
      <c r="A40" t="s">
        <v>49</v>
      </c>
      <c r="B40">
        <f>B38/A36</f>
        <v>0.81432444061963971</v>
      </c>
      <c r="C40">
        <f>C38/A36</f>
        <v>0.70840047101175696</v>
      </c>
      <c r="E40" t="s">
        <v>53</v>
      </c>
      <c r="G40">
        <f>(B40+C40)/2</f>
        <v>0.76136245581569839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workbookViewId="0">
      <selection activeCell="C30" sqref="C30"/>
    </sheetView>
  </sheetViews>
  <sheetFormatPr defaultRowHeight="15" x14ac:dyDescent="0.25"/>
  <cols>
    <col min="1" max="1" width="48.42578125" bestFit="1" customWidth="1"/>
    <col min="2" max="2" width="16.140625" bestFit="1" customWidth="1"/>
    <col min="3" max="3" width="27.42578125" bestFit="1" customWidth="1"/>
    <col min="9" max="9" width="13.140625" customWidth="1"/>
    <col min="13" max="14" width="12" bestFit="1" customWidth="1"/>
  </cols>
  <sheetData>
    <row r="1" spans="1:9" ht="14.45" x14ac:dyDescent="0.35">
      <c r="B1" t="str">
        <f>'demand scenarios'!B1</f>
        <v>Flat emissions</v>
      </c>
      <c r="C1" t="str">
        <f>'demand scenarios'!C1</f>
        <v>Emissions fall at 2% annually</v>
      </c>
    </row>
    <row r="2" spans="1:9" ht="14.45" x14ac:dyDescent="0.35">
      <c r="A2">
        <f>'demand scenarios'!A2</f>
        <v>2015</v>
      </c>
      <c r="B2">
        <f>'demand scenarios'!B2</f>
        <v>398012325</v>
      </c>
      <c r="C2" s="8">
        <f>'demand scenarios'!C2</f>
        <v>398012325</v>
      </c>
    </row>
    <row r="3" spans="1:9" ht="14.45" x14ac:dyDescent="0.35">
      <c r="A3">
        <f>'demand scenarios'!A3</f>
        <v>2016</v>
      </c>
      <c r="B3">
        <f>'demand scenarios'!B3</f>
        <v>398012325</v>
      </c>
      <c r="C3">
        <f>'demand scenarios'!C3</f>
        <v>390052078.5</v>
      </c>
    </row>
    <row r="4" spans="1:9" ht="14.45" x14ac:dyDescent="0.35">
      <c r="A4">
        <f>'demand scenarios'!A4</f>
        <v>2017</v>
      </c>
      <c r="B4">
        <f>'demand scenarios'!B4</f>
        <v>398012325</v>
      </c>
      <c r="C4">
        <f>'demand scenarios'!C4</f>
        <v>382251036.93000001</v>
      </c>
    </row>
    <row r="5" spans="1:9" ht="14.45" x14ac:dyDescent="0.35">
      <c r="A5">
        <f>'demand scenarios'!A5</f>
        <v>2018</v>
      </c>
      <c r="B5">
        <f>'demand scenarios'!B5</f>
        <v>398012325</v>
      </c>
      <c r="C5">
        <f>'demand scenarios'!C5</f>
        <v>374606016.19139999</v>
      </c>
    </row>
    <row r="6" spans="1:9" ht="14.45" x14ac:dyDescent="0.35">
      <c r="A6">
        <f>'demand scenarios'!A6</f>
        <v>2019</v>
      </c>
      <c r="B6">
        <f>'demand scenarios'!B6</f>
        <v>398012325</v>
      </c>
      <c r="C6">
        <f>'demand scenarios'!C6</f>
        <v>367113895.86757201</v>
      </c>
    </row>
    <row r="7" spans="1:9" ht="14.45" x14ac:dyDescent="0.35">
      <c r="A7">
        <f>'demand scenarios'!A7</f>
        <v>2020</v>
      </c>
      <c r="B7">
        <f>'demand scenarios'!B7</f>
        <v>398012325</v>
      </c>
      <c r="C7">
        <f>'demand scenarios'!C7</f>
        <v>359771617.95022058</v>
      </c>
    </row>
    <row r="9" spans="1:9" ht="14.45" x14ac:dyDescent="0.35">
      <c r="A9" t="s">
        <v>20</v>
      </c>
      <c r="B9" s="1">
        <f>SUM(B2:B7)</f>
        <v>2388073950</v>
      </c>
      <c r="C9" s="1">
        <f>SUM(C2:C7)</f>
        <v>2271806970.4391928</v>
      </c>
      <c r="E9" s="9" t="s">
        <v>28</v>
      </c>
      <c r="F9" s="9"/>
      <c r="G9" s="9"/>
      <c r="H9" s="9"/>
      <c r="I9" s="2">
        <f>B9-C9</f>
        <v>116266979.56080723</v>
      </c>
    </row>
    <row r="11" spans="1:9" ht="14.45" x14ac:dyDescent="0.35">
      <c r="A11" t="s">
        <v>36</v>
      </c>
      <c r="B11" s="1">
        <f>0.04*B9</f>
        <v>95522958</v>
      </c>
      <c r="C11" s="1">
        <f>0.04*C9</f>
        <v>90872278.817567706</v>
      </c>
    </row>
    <row r="13" spans="1:9" ht="14.45" x14ac:dyDescent="0.35">
      <c r="A13" t="s">
        <v>23</v>
      </c>
      <c r="B13" s="2">
        <f>B9-B11</f>
        <v>2292550992</v>
      </c>
      <c r="C13" s="2">
        <f>C9-C11</f>
        <v>2180934691.6216249</v>
      </c>
      <c r="E13" t="s">
        <v>21</v>
      </c>
    </row>
    <row r="15" spans="1:9" ht="14.45" x14ac:dyDescent="0.35">
      <c r="A15" t="s">
        <v>22</v>
      </c>
      <c r="B15">
        <f>'current allowance holdings'!$D$13</f>
        <v>909465493</v>
      </c>
      <c r="C15">
        <f>'current allowance holdings'!$D$13</f>
        <v>909465493</v>
      </c>
    </row>
    <row r="17" spans="1:6" ht="14.45" x14ac:dyDescent="0.35">
      <c r="A17" t="s">
        <v>24</v>
      </c>
      <c r="B17">
        <f>B13-B15</f>
        <v>1383085499</v>
      </c>
      <c r="C17">
        <f>C13-C15</f>
        <v>1271469198.6216249</v>
      </c>
    </row>
    <row r="19" spans="1:6" ht="14.45" x14ac:dyDescent="0.35">
      <c r="A19" t="s">
        <v>51</v>
      </c>
      <c r="B19" s="2">
        <f>'retired available for CP2 &amp; 3'!$B$16</f>
        <v>128820072</v>
      </c>
      <c r="C19">
        <f>'retired available for CP2 &amp; 3'!$B$16</f>
        <v>128820072</v>
      </c>
    </row>
    <row r="21" spans="1:6" ht="14.45" x14ac:dyDescent="0.35">
      <c r="A21" t="s">
        <v>52</v>
      </c>
      <c r="B21" s="2">
        <f>B17-B19</f>
        <v>1254265427</v>
      </c>
      <c r="C21" s="1">
        <f>C17-C19</f>
        <v>1142649126.6216249</v>
      </c>
    </row>
    <row r="23" spans="1:6" x14ac:dyDescent="0.25">
      <c r="A23" t="s">
        <v>25</v>
      </c>
      <c r="B23">
        <f>'future supply'!$B$12</f>
        <v>1449919150</v>
      </c>
      <c r="C23">
        <f>'future supply'!$B$12</f>
        <v>1449919150</v>
      </c>
    </row>
    <row r="25" spans="1:6" x14ac:dyDescent="0.25">
      <c r="A25" t="s">
        <v>26</v>
      </c>
      <c r="B25" s="8">
        <f>B21/B23</f>
        <v>0.86505887379996327</v>
      </c>
      <c r="C25" s="8">
        <f>C21/C23</f>
        <v>0.78807782256108894</v>
      </c>
      <c r="E25" t="s">
        <v>32</v>
      </c>
      <c r="F25">
        <f>(B25+C25)/2</f>
        <v>0.82656834818052616</v>
      </c>
    </row>
    <row r="27" spans="1:6" x14ac:dyDescent="0.25">
      <c r="A27" t="s">
        <v>27</v>
      </c>
      <c r="B27" s="1">
        <f>B23-B21</f>
        <v>195653723</v>
      </c>
      <c r="C27" s="1">
        <f>C23-C21</f>
        <v>307270023.37837505</v>
      </c>
    </row>
    <row r="29" spans="1:6" x14ac:dyDescent="0.25">
      <c r="A29" t="s">
        <v>45</v>
      </c>
    </row>
    <row r="31" spans="1:6" x14ac:dyDescent="0.25">
      <c r="A31" t="s">
        <v>37</v>
      </c>
    </row>
    <row r="32" spans="1:6" x14ac:dyDescent="0.25">
      <c r="A32">
        <v>0.27</v>
      </c>
    </row>
    <row r="33" spans="1:7" x14ac:dyDescent="0.25">
      <c r="A33" t="s">
        <v>46</v>
      </c>
    </row>
    <row r="34" spans="1:7" x14ac:dyDescent="0.25">
      <c r="A34">
        <f>A32*B23</f>
        <v>391478170.5</v>
      </c>
    </row>
    <row r="35" spans="1:7" x14ac:dyDescent="0.25">
      <c r="A35" t="s">
        <v>47</v>
      </c>
    </row>
    <row r="36" spans="1:7" x14ac:dyDescent="0.25">
      <c r="A36">
        <f>B23-A34</f>
        <v>1058440979.5</v>
      </c>
    </row>
    <row r="38" spans="1:7" x14ac:dyDescent="0.25">
      <c r="A38" t="s">
        <v>48</v>
      </c>
      <c r="B38" s="2">
        <f>B21-A34</f>
        <v>862787256.5</v>
      </c>
      <c r="C38" s="2">
        <f>C21-A34</f>
        <v>751170956.12162495</v>
      </c>
    </row>
    <row r="40" spans="1:7" x14ac:dyDescent="0.25">
      <c r="A40" t="s">
        <v>49</v>
      </c>
      <c r="B40">
        <f>B38/A36</f>
        <v>0.81514914219173051</v>
      </c>
      <c r="C40">
        <f>C38/A36</f>
        <v>0.70969564734395751</v>
      </c>
      <c r="E40" t="s">
        <v>53</v>
      </c>
      <c r="G40">
        <f>(B40+C40)/2</f>
        <v>0.76242239476784401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B34" sqref="B34"/>
    </sheetView>
  </sheetViews>
  <sheetFormatPr defaultRowHeight="15" x14ac:dyDescent="0.25"/>
  <cols>
    <col min="1" max="1" width="37.140625" customWidth="1"/>
    <col min="2" max="2" width="20.140625" customWidth="1"/>
    <col min="3" max="3" width="25.28515625" customWidth="1"/>
    <col min="4" max="4" width="22.140625" customWidth="1"/>
  </cols>
  <sheetData>
    <row r="1" spans="1:10" ht="14.45" x14ac:dyDescent="0.35">
      <c r="B1" t="str">
        <f>'demand scenarios'!B1</f>
        <v>Flat emissions</v>
      </c>
      <c r="D1" t="str">
        <f>'demand scenarios'!C1</f>
        <v>Emissions fall at 2% annually</v>
      </c>
    </row>
    <row r="2" spans="1:10" ht="14.45" x14ac:dyDescent="0.35">
      <c r="A2">
        <f>'demand scenarios'!A2</f>
        <v>2015</v>
      </c>
      <c r="B2">
        <f>'demand scenarios'!B2</f>
        <v>398012325</v>
      </c>
      <c r="D2" s="8">
        <f>'demand scenarios'!C2</f>
        <v>398012325</v>
      </c>
    </row>
    <row r="3" spans="1:10" ht="14.45" x14ac:dyDescent="0.35">
      <c r="A3">
        <f>'demand scenarios'!A3</f>
        <v>2016</v>
      </c>
      <c r="B3">
        <f>'demand scenarios'!B3</f>
        <v>398012325</v>
      </c>
      <c r="D3">
        <f>'demand scenarios'!C3</f>
        <v>390052078.5</v>
      </c>
    </row>
    <row r="4" spans="1:10" ht="14.45" x14ac:dyDescent="0.35">
      <c r="A4">
        <f>'demand scenarios'!A4</f>
        <v>2017</v>
      </c>
      <c r="B4">
        <f>'demand scenarios'!B4</f>
        <v>398012325</v>
      </c>
      <c r="D4">
        <f>'demand scenarios'!C4</f>
        <v>382251036.93000001</v>
      </c>
    </row>
    <row r="5" spans="1:10" ht="14.45" x14ac:dyDescent="0.35">
      <c r="A5">
        <f>'demand scenarios'!A5</f>
        <v>2018</v>
      </c>
      <c r="B5">
        <f>'demand scenarios'!B5</f>
        <v>398012325</v>
      </c>
      <c r="D5">
        <f>'demand scenarios'!C5</f>
        <v>374606016.19139999</v>
      </c>
    </row>
    <row r="6" spans="1:10" ht="14.45" x14ac:dyDescent="0.35">
      <c r="A6">
        <f>'demand scenarios'!A6</f>
        <v>2019</v>
      </c>
      <c r="B6">
        <f>'demand scenarios'!B6</f>
        <v>398012325</v>
      </c>
      <c r="D6">
        <f>'demand scenarios'!C6</f>
        <v>367113895.86757201</v>
      </c>
    </row>
    <row r="7" spans="1:10" ht="14.45" x14ac:dyDescent="0.35">
      <c r="A7">
        <f>'demand scenarios'!A7</f>
        <v>2020</v>
      </c>
      <c r="B7">
        <f>'demand scenarios'!B7</f>
        <v>398012325</v>
      </c>
      <c r="D7">
        <f>'demand scenarios'!C7</f>
        <v>359771617.95022058</v>
      </c>
    </row>
    <row r="9" spans="1:10" ht="14.45" x14ac:dyDescent="0.35">
      <c r="A9" t="s">
        <v>20</v>
      </c>
      <c r="B9" s="1">
        <f>SUM(B2:B7)</f>
        <v>2388073950</v>
      </c>
      <c r="C9" s="1"/>
      <c r="D9" s="1">
        <f>SUM(D2:D7)</f>
        <v>2271806970.4391928</v>
      </c>
      <c r="F9" s="9" t="s">
        <v>28</v>
      </c>
      <c r="G9" s="9"/>
      <c r="H9" s="9"/>
      <c r="I9" s="9"/>
      <c r="J9" s="2">
        <f>B9-D9</f>
        <v>116266979.56080723</v>
      </c>
    </row>
    <row r="11" spans="1:10" ht="14.45" x14ac:dyDescent="0.35">
      <c r="A11" t="s">
        <v>36</v>
      </c>
      <c r="B11" s="1">
        <f>0.04*B9</f>
        <v>95522958</v>
      </c>
      <c r="C11" s="1"/>
      <c r="D11" s="1">
        <f>0.04*D9</f>
        <v>90872278.817567706</v>
      </c>
    </row>
    <row r="13" spans="1:10" ht="14.45" x14ac:dyDescent="0.35">
      <c r="A13" t="s">
        <v>23</v>
      </c>
      <c r="B13" s="2">
        <f>B9-B11</f>
        <v>2292550992</v>
      </c>
      <c r="C13" s="2"/>
      <c r="D13" s="2">
        <f>D9-D11</f>
        <v>2180934691.6216249</v>
      </c>
      <c r="F13" t="s">
        <v>21</v>
      </c>
    </row>
    <row r="15" spans="1:10" ht="14.45" x14ac:dyDescent="0.35">
      <c r="A15" t="s">
        <v>22</v>
      </c>
      <c r="B15">
        <f>'current allowance holdings'!$D$13</f>
        <v>909465493</v>
      </c>
      <c r="D15">
        <f>'current allowance holdings'!$D$13</f>
        <v>909465493</v>
      </c>
    </row>
    <row r="17" spans="1:7" ht="14.45" x14ac:dyDescent="0.35">
      <c r="A17" t="s">
        <v>24</v>
      </c>
      <c r="B17">
        <f>B13-B15</f>
        <v>1383085499</v>
      </c>
      <c r="D17">
        <f>D13-D15</f>
        <v>1271469198.6216249</v>
      </c>
    </row>
    <row r="19" spans="1:7" ht="14.45" x14ac:dyDescent="0.35">
      <c r="A19" t="s">
        <v>51</v>
      </c>
      <c r="B19" s="2">
        <f>'retired available for CP2 &amp; 3'!$B$16</f>
        <v>128820072</v>
      </c>
      <c r="C19" s="2"/>
      <c r="D19">
        <f>'retired available for CP2 &amp; 3'!$B$16</f>
        <v>128820072</v>
      </c>
    </row>
    <row r="21" spans="1:7" ht="14.45" x14ac:dyDescent="0.35">
      <c r="A21" t="s">
        <v>52</v>
      </c>
      <c r="B21" s="2">
        <f>B17-B19</f>
        <v>1254265427</v>
      </c>
      <c r="C21" s="2"/>
      <c r="D21" s="1">
        <f>D17-D19</f>
        <v>1142649126.6216249</v>
      </c>
    </row>
    <row r="23" spans="1:7" ht="14.45" x14ac:dyDescent="0.35">
      <c r="A23" t="s">
        <v>25</v>
      </c>
      <c r="B23">
        <f>'future supply'!$B$12</f>
        <v>1449919150</v>
      </c>
      <c r="D23">
        <f>'future supply'!$B$12</f>
        <v>1449919150</v>
      </c>
    </row>
    <row r="25" spans="1:7" ht="14.45" x14ac:dyDescent="0.35">
      <c r="A25" t="s">
        <v>26</v>
      </c>
      <c r="B25" s="8">
        <f>B21/B23</f>
        <v>0.86505887379996327</v>
      </c>
      <c r="C25" s="8"/>
      <c r="D25" s="8">
        <f>D21/D23</f>
        <v>0.78807782256108894</v>
      </c>
      <c r="F25" t="s">
        <v>32</v>
      </c>
      <c r="G25">
        <f>(B25+D25)/2</f>
        <v>0.82656834818052616</v>
      </c>
    </row>
    <row r="27" spans="1:7" ht="14.45" x14ac:dyDescent="0.35">
      <c r="A27" t="s">
        <v>27</v>
      </c>
      <c r="B27" s="1">
        <f>B23-B21</f>
        <v>195653723</v>
      </c>
      <c r="C27" s="1"/>
      <c r="D27" s="1">
        <f>D23-D21</f>
        <v>307270023.37837505</v>
      </c>
    </row>
    <row r="29" spans="1:7" ht="14.45" x14ac:dyDescent="0.35">
      <c r="A29" t="s">
        <v>45</v>
      </c>
    </row>
    <row r="31" spans="1:7" ht="14.45" x14ac:dyDescent="0.35">
      <c r="A31" t="s">
        <v>37</v>
      </c>
    </row>
    <row r="32" spans="1:7" ht="14.45" x14ac:dyDescent="0.35">
      <c r="A32" t="e">
        <f>#REF!</f>
        <v>#REF!</v>
      </c>
    </row>
    <row r="33" spans="1:8" x14ac:dyDescent="0.25">
      <c r="A33" t="s">
        <v>46</v>
      </c>
    </row>
    <row r="34" spans="1:8" x14ac:dyDescent="0.25">
      <c r="A34" t="e">
        <f>A32*B23</f>
        <v>#REF!</v>
      </c>
    </row>
    <row r="35" spans="1:8" x14ac:dyDescent="0.25">
      <c r="A35" t="s">
        <v>47</v>
      </c>
    </row>
    <row r="36" spans="1:8" x14ac:dyDescent="0.25">
      <c r="A36" t="e">
        <f>B23-A34</f>
        <v>#REF!</v>
      </c>
    </row>
    <row r="38" spans="1:8" x14ac:dyDescent="0.25">
      <c r="A38" t="s">
        <v>48</v>
      </c>
      <c r="B38" s="2" t="e">
        <f>B21-A34</f>
        <v>#REF!</v>
      </c>
      <c r="C38" s="2"/>
      <c r="D38" s="2" t="e">
        <f>D21-A34</f>
        <v>#REF!</v>
      </c>
    </row>
    <row r="40" spans="1:8" x14ac:dyDescent="0.25">
      <c r="A40" t="s">
        <v>49</v>
      </c>
      <c r="B40" t="e">
        <f>B38/A36</f>
        <v>#REF!</v>
      </c>
      <c r="D40" t="e">
        <f>D38/A36</f>
        <v>#REF!</v>
      </c>
      <c r="F40" t="s">
        <v>53</v>
      </c>
      <c r="H40" t="e">
        <f>(B40+D40)/2</f>
        <v>#REF!</v>
      </c>
    </row>
    <row r="43" spans="1:8" x14ac:dyDescent="0.25">
      <c r="B43" s="19" t="s">
        <v>74</v>
      </c>
      <c r="C43" s="19" t="s">
        <v>75</v>
      </c>
      <c r="D43" s="19" t="s">
        <v>76</v>
      </c>
    </row>
    <row r="44" spans="1:8" ht="30" x14ac:dyDescent="0.25">
      <c r="A44" s="17" t="s">
        <v>70</v>
      </c>
      <c r="B44" s="20" t="s">
        <v>71</v>
      </c>
      <c r="C44" s="20" t="s">
        <v>72</v>
      </c>
      <c r="D44" s="20" t="s">
        <v>57</v>
      </c>
    </row>
    <row r="45" spans="1:8" ht="45" x14ac:dyDescent="0.25">
      <c r="A45" s="18" t="s">
        <v>73</v>
      </c>
      <c r="B45" s="15">
        <f>$B$25</f>
        <v>0.86505887379996327</v>
      </c>
      <c r="C45" s="15">
        <f>$G$25</f>
        <v>0.82656834818052616</v>
      </c>
      <c r="D45" s="15">
        <f>$D$25</f>
        <v>0.78807782256108894</v>
      </c>
    </row>
    <row r="46" spans="1:8" ht="75" x14ac:dyDescent="0.25">
      <c r="A46" s="18" t="s">
        <v>77</v>
      </c>
      <c r="B46" s="16" t="e">
        <f>$B$40</f>
        <v>#REF!</v>
      </c>
      <c r="C46" s="16" t="e">
        <f>$H$40</f>
        <v>#REF!</v>
      </c>
      <c r="D46" s="16" t="e">
        <f>$D$40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2" sqref="E2"/>
    </sheetView>
  </sheetViews>
  <sheetFormatPr defaultRowHeight="15" x14ac:dyDescent="0.25"/>
  <cols>
    <col min="2" max="3" width="15.28515625" bestFit="1" customWidth="1"/>
    <col min="4" max="4" width="22.28515625" bestFit="1" customWidth="1"/>
    <col min="5" max="5" width="15.28515625" bestFit="1" customWidth="1"/>
    <col min="6" max="6" width="14.42578125" bestFit="1" customWidth="1"/>
    <col min="8" max="8" width="17.85546875" bestFit="1" customWidth="1"/>
    <col min="9" max="9" width="17.5703125" bestFit="1" customWidth="1"/>
    <col min="10" max="10" width="15" bestFit="1" customWidth="1"/>
    <col min="11" max="11" width="14.140625" customWidth="1"/>
    <col min="13" max="13" width="13" bestFit="1" customWidth="1"/>
  </cols>
  <sheetData>
    <row r="1" spans="1:13" x14ac:dyDescent="0.35">
      <c r="B1" t="s">
        <v>4</v>
      </c>
      <c r="C1" t="s">
        <v>1</v>
      </c>
      <c r="D1" t="s">
        <v>2</v>
      </c>
      <c r="E1" t="s">
        <v>58</v>
      </c>
      <c r="F1" t="s">
        <v>0</v>
      </c>
      <c r="G1" t="s">
        <v>3</v>
      </c>
      <c r="H1" t="s">
        <v>5</v>
      </c>
      <c r="I1" t="s">
        <v>6</v>
      </c>
      <c r="J1" t="s">
        <v>33</v>
      </c>
      <c r="K1" t="s">
        <v>34</v>
      </c>
      <c r="M1" t="s">
        <v>50</v>
      </c>
    </row>
    <row r="2" spans="1:13" x14ac:dyDescent="0.35">
      <c r="A2">
        <v>2015</v>
      </c>
      <c r="B2" s="1">
        <v>108452371.22343685</v>
      </c>
      <c r="C2" s="1">
        <v>201133394.496326</v>
      </c>
      <c r="D2" s="1">
        <v>30737728.827548381</v>
      </c>
      <c r="E2" s="1">
        <v>340323495</v>
      </c>
      <c r="F2" s="1">
        <v>91613229.199245751</v>
      </c>
      <c r="H2" s="1">
        <v>18263101</v>
      </c>
      <c r="I2" s="1">
        <v>39425729</v>
      </c>
      <c r="K2" s="2">
        <f>E2+H2+I2</f>
        <v>398012325</v>
      </c>
    </row>
    <row r="3" spans="1:13" x14ac:dyDescent="0.35">
      <c r="A3">
        <v>2014</v>
      </c>
      <c r="B3" s="1">
        <v>111827467.05036314</v>
      </c>
      <c r="C3" s="1">
        <v>196701619.04770252</v>
      </c>
      <c r="D3" s="1">
        <v>34266548.479159392</v>
      </c>
      <c r="E3" s="1">
        <v>342795634.57722497</v>
      </c>
      <c r="F3" s="1">
        <v>92732989.5609501</v>
      </c>
      <c r="H3" s="1">
        <v>18223612</v>
      </c>
      <c r="I3" s="1">
        <v>41025671</v>
      </c>
      <c r="J3" s="2">
        <f>B3+D3</f>
        <v>146094015.52952254</v>
      </c>
      <c r="K3" s="2">
        <f>E3+H3+I3</f>
        <v>402044917.57722497</v>
      </c>
      <c r="M3">
        <f>(K3-K2)/K3</f>
        <v>1.0030204091438085E-2</v>
      </c>
    </row>
    <row r="4" spans="1:13" x14ac:dyDescent="0.35">
      <c r="A4">
        <v>2013</v>
      </c>
      <c r="B4" s="1">
        <v>109328241.70485659</v>
      </c>
      <c r="C4" s="1">
        <v>202980615.43122128</v>
      </c>
      <c r="D4" s="1">
        <v>36201730.050989956</v>
      </c>
      <c r="E4" s="1">
        <v>348510586.88546795</v>
      </c>
      <c r="F4" s="1">
        <v>90649994.7452728</v>
      </c>
      <c r="H4" s="1">
        <v>18441091</v>
      </c>
      <c r="I4" s="1">
        <v>38190177</v>
      </c>
      <c r="J4" s="2">
        <f>B4+D4</f>
        <v>145529971.75584656</v>
      </c>
      <c r="K4" s="2">
        <f>E4+H4+I4</f>
        <v>405141854.88546795</v>
      </c>
      <c r="M4">
        <f>(K4-K3)/K4</f>
        <v>7.6440813776657785E-3</v>
      </c>
    </row>
    <row r="5" spans="1:13" x14ac:dyDescent="0.35">
      <c r="A5">
        <v>2012</v>
      </c>
      <c r="B5" s="1">
        <v>109563486.33688653</v>
      </c>
      <c r="C5" s="1">
        <v>204320524.26372772</v>
      </c>
      <c r="D5" s="1">
        <v>41568670.271927014</v>
      </c>
      <c r="E5" s="1">
        <v>355452675.73421377</v>
      </c>
      <c r="F5" s="1">
        <v>85713587.041404918</v>
      </c>
      <c r="H5" s="1">
        <v>19057982</v>
      </c>
    </row>
    <row r="6" spans="1:13" x14ac:dyDescent="0.35">
      <c r="A6">
        <v>2011</v>
      </c>
      <c r="B6" s="1">
        <v>97945248.859760925</v>
      </c>
      <c r="C6" s="1">
        <v>211047799.56866395</v>
      </c>
      <c r="D6" s="1">
        <v>44333817.586549766</v>
      </c>
      <c r="E6" s="1">
        <v>353326866.99798357</v>
      </c>
      <c r="F6" s="1">
        <v>73999330.734383076</v>
      </c>
    </row>
    <row r="7" spans="1:13" x14ac:dyDescent="0.35">
      <c r="B7" s="2"/>
      <c r="C7" s="2"/>
      <c r="D7" s="2"/>
      <c r="E7" s="2"/>
      <c r="F7" s="2"/>
    </row>
    <row r="8" spans="1:13" x14ac:dyDescent="0.35">
      <c r="H8" t="s"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J44" sqref="J44"/>
    </sheetView>
  </sheetViews>
  <sheetFormatPr defaultRowHeight="15" x14ac:dyDescent="0.25"/>
  <cols>
    <col min="2" max="2" width="14.28515625" customWidth="1"/>
    <col min="3" max="3" width="23.28515625" bestFit="1" customWidth="1"/>
    <col min="5" max="5" width="14.140625" bestFit="1" customWidth="1"/>
    <col min="6" max="6" width="14.140625" customWidth="1"/>
    <col min="8" max="8" width="25.5703125" bestFit="1" customWidth="1"/>
    <col min="9" max="9" width="17.42578125" customWidth="1"/>
    <col min="10" max="11" width="18" customWidth="1"/>
    <col min="12" max="12" width="10.7109375" bestFit="1" customWidth="1"/>
    <col min="13" max="13" width="16.28515625" customWidth="1"/>
    <col min="14" max="14" width="11.85546875" bestFit="1" customWidth="1"/>
    <col min="15" max="15" width="22.5703125" bestFit="1" customWidth="1"/>
    <col min="16" max="16" width="13.140625" bestFit="1" customWidth="1"/>
    <col min="17" max="17" width="16.140625" bestFit="1" customWidth="1"/>
  </cols>
  <sheetData>
    <row r="1" spans="1:17" ht="14.45" x14ac:dyDescent="0.35">
      <c r="D1" t="s">
        <v>56</v>
      </c>
      <c r="G1" t="s">
        <v>57</v>
      </c>
      <c r="H1" t="s">
        <v>61</v>
      </c>
      <c r="I1" t="s">
        <v>60</v>
      </c>
      <c r="J1" t="s">
        <v>66</v>
      </c>
      <c r="K1" t="s">
        <v>67</v>
      </c>
      <c r="L1" t="s">
        <v>29</v>
      </c>
      <c r="M1" t="s">
        <v>30</v>
      </c>
      <c r="N1" t="s">
        <v>63</v>
      </c>
      <c r="O1" t="s">
        <v>62</v>
      </c>
      <c r="P1" t="s">
        <v>64</v>
      </c>
      <c r="Q1" t="s">
        <v>65</v>
      </c>
    </row>
    <row r="2" spans="1:17" ht="14.45" x14ac:dyDescent="0.35">
      <c r="A2">
        <v>2013</v>
      </c>
      <c r="H2">
        <f>'MRR data across the two'!$K$4/1000000</f>
        <v>405.14185488546792</v>
      </c>
      <c r="I2">
        <f>N2+O2</f>
        <v>164.31762752952255</v>
      </c>
      <c r="K2">
        <f>P2+Q2</f>
        <v>184.37200000000001</v>
      </c>
      <c r="N2">
        <f>'MRR data across the two'!J3/1000000</f>
        <v>146.09401552952255</v>
      </c>
      <c r="O2">
        <f>'MRR data across the two'!H3/1000000</f>
        <v>18.223611999999999</v>
      </c>
      <c r="P2">
        <v>161.17200000000003</v>
      </c>
      <c r="Q2">
        <v>23.2</v>
      </c>
    </row>
    <row r="3" spans="1:17" ht="14.45" x14ac:dyDescent="0.35">
      <c r="A3">
        <v>2014</v>
      </c>
      <c r="H3">
        <f>'MRR data across the two'!$K$3/1000000</f>
        <v>402.04491757722496</v>
      </c>
      <c r="I3">
        <f>N3+O3</f>
        <v>163.97106275584656</v>
      </c>
      <c r="K3">
        <f>P3+Q3</f>
        <v>181.30299999999997</v>
      </c>
      <c r="N3">
        <f>'MRR data across the two'!J4/1000000</f>
        <v>145.52997175584656</v>
      </c>
      <c r="O3">
        <f>'MRR data across the two'!H4/1000000</f>
        <v>18.441091</v>
      </c>
      <c r="P3">
        <v>158.10299999999998</v>
      </c>
      <c r="Q3">
        <v>23.2</v>
      </c>
    </row>
    <row r="4" spans="1:17" ht="14.45" x14ac:dyDescent="0.35">
      <c r="A4">
        <v>2015</v>
      </c>
      <c r="H4">
        <f>'MRR data across the two'!$K$2/1000000</f>
        <v>398.01232499999998</v>
      </c>
      <c r="J4">
        <f t="shared" ref="J4:J9" si="0">L4+M4</f>
        <v>444.02000000000004</v>
      </c>
      <c r="L4">
        <v>378.72</v>
      </c>
      <c r="M4">
        <v>65.3</v>
      </c>
    </row>
    <row r="5" spans="1:17" ht="14.45" x14ac:dyDescent="0.35">
      <c r="A5">
        <v>2016</v>
      </c>
      <c r="D5">
        <f>'demand scenarios'!B3/1000000</f>
        <v>398.01232499999998</v>
      </c>
      <c r="G5">
        <f>'demand scenarios'!C3/1000000</f>
        <v>390.05207849999999</v>
      </c>
      <c r="J5">
        <f t="shared" si="0"/>
        <v>430.29399999999998</v>
      </c>
      <c r="L5">
        <v>367.10399999999998</v>
      </c>
      <c r="M5">
        <v>63.19</v>
      </c>
    </row>
    <row r="6" spans="1:17" ht="14.45" x14ac:dyDescent="0.35">
      <c r="A6">
        <v>2017</v>
      </c>
      <c r="D6">
        <f>'demand scenarios'!B4/1000000</f>
        <v>398.01232499999998</v>
      </c>
      <c r="G6">
        <f>'demand scenarios'!C4/1000000</f>
        <v>382.25103693</v>
      </c>
      <c r="J6">
        <f t="shared" si="0"/>
        <v>416.66399999999999</v>
      </c>
      <c r="L6">
        <v>355.584</v>
      </c>
      <c r="M6">
        <v>61.08</v>
      </c>
    </row>
    <row r="7" spans="1:17" ht="14.45" x14ac:dyDescent="0.35">
      <c r="A7">
        <v>2018</v>
      </c>
      <c r="D7">
        <f>'demand scenarios'!B5/1000000</f>
        <v>398.01232499999998</v>
      </c>
      <c r="G7">
        <f>'demand scenarios'!C5/1000000</f>
        <v>374.60601619139999</v>
      </c>
      <c r="J7">
        <f t="shared" si="0"/>
        <v>392.17899999999997</v>
      </c>
      <c r="L7">
        <v>333.21899999999999</v>
      </c>
      <c r="M7">
        <v>58.96</v>
      </c>
    </row>
    <row r="8" spans="1:17" ht="14.45" x14ac:dyDescent="0.35">
      <c r="A8">
        <v>2019</v>
      </c>
      <c r="D8">
        <f>'demand scenarios'!B6/1000000</f>
        <v>398.01232499999998</v>
      </c>
      <c r="G8">
        <f>'demand scenarios'!C6/1000000</f>
        <v>367.11389586757201</v>
      </c>
      <c r="J8">
        <f t="shared" si="0"/>
        <v>378.90900000000005</v>
      </c>
      <c r="L8">
        <v>322.05900000000003</v>
      </c>
      <c r="M8">
        <v>56.85</v>
      </c>
    </row>
    <row r="9" spans="1:17" ht="14.45" x14ac:dyDescent="0.35">
      <c r="A9">
        <v>2020</v>
      </c>
      <c r="D9">
        <f>'demand scenarios'!B7/1000000</f>
        <v>398.01232499999998</v>
      </c>
      <c r="G9">
        <f>'demand scenarios'!C7/1000000</f>
        <v>359.77161795022056</v>
      </c>
      <c r="J9">
        <f t="shared" si="0"/>
        <v>365.54599999999999</v>
      </c>
      <c r="L9">
        <v>310.80599999999998</v>
      </c>
      <c r="M9">
        <v>54.74</v>
      </c>
    </row>
    <row r="11" spans="1:17" ht="14.45" x14ac:dyDescent="0.35">
      <c r="M11" t="s">
        <v>55</v>
      </c>
    </row>
    <row r="12" spans="1:17" ht="14.45" x14ac:dyDescent="0.35">
      <c r="A12" s="22"/>
      <c r="B12" s="22"/>
      <c r="M12" t="s">
        <v>54</v>
      </c>
    </row>
    <row r="13" spans="1:17" ht="14.45" x14ac:dyDescent="0.35">
      <c r="A13" s="21" t="s">
        <v>68</v>
      </c>
      <c r="B13" s="21"/>
    </row>
    <row r="16" spans="1:17" ht="14.45" x14ac:dyDescent="0.35">
      <c r="B16" t="s">
        <v>35</v>
      </c>
      <c r="C16" t="s">
        <v>38</v>
      </c>
      <c r="D16" t="str">
        <f t="shared" ref="D16:D24" si="1">J1</f>
        <v>Broad cap</v>
      </c>
      <c r="G16" t="str">
        <f>H1</f>
        <v>Broad emissions</v>
      </c>
      <c r="H16" t="str">
        <f>K1</f>
        <v>Narrow cap</v>
      </c>
      <c r="I16" t="str">
        <f>I1</f>
        <v>Narrow emissions</v>
      </c>
      <c r="K16" t="s">
        <v>69</v>
      </c>
    </row>
    <row r="17" spans="1:11" ht="14.45" x14ac:dyDescent="0.35">
      <c r="A17">
        <f t="shared" ref="A17:A24" si="2">A2</f>
        <v>2013</v>
      </c>
      <c r="G17">
        <f>H2</f>
        <v>405.14185488546792</v>
      </c>
      <c r="H17">
        <f>K2</f>
        <v>184.37200000000001</v>
      </c>
      <c r="I17">
        <f>I2</f>
        <v>164.31762752952255</v>
      </c>
      <c r="K17">
        <f>H17-I17</f>
        <v>20.05437247047746</v>
      </c>
    </row>
    <row r="18" spans="1:11" ht="14.45" x14ac:dyDescent="0.35">
      <c r="A18">
        <f t="shared" si="2"/>
        <v>2014</v>
      </c>
      <c r="G18">
        <f>H3</f>
        <v>402.04491757722496</v>
      </c>
      <c r="H18">
        <f>K3</f>
        <v>181.30299999999997</v>
      </c>
      <c r="I18">
        <f>I3</f>
        <v>163.97106275584656</v>
      </c>
      <c r="K18">
        <f>H18-I18</f>
        <v>17.331937244153409</v>
      </c>
    </row>
    <row r="19" spans="1:11" ht="14.45" x14ac:dyDescent="0.35">
      <c r="A19">
        <f t="shared" si="2"/>
        <v>2015</v>
      </c>
      <c r="D19">
        <f t="shared" si="1"/>
        <v>444.02000000000004</v>
      </c>
      <c r="G19">
        <f>H4</f>
        <v>398.01232499999998</v>
      </c>
      <c r="K19">
        <f>D19-G19</f>
        <v>46.007675000000063</v>
      </c>
    </row>
    <row r="20" spans="1:11" x14ac:dyDescent="0.25">
      <c r="A20">
        <f t="shared" si="2"/>
        <v>2016</v>
      </c>
      <c r="B20">
        <f>D5</f>
        <v>398.01232499999998</v>
      </c>
      <c r="C20">
        <f>G5</f>
        <v>390.05207849999999</v>
      </c>
      <c r="D20">
        <f t="shared" si="1"/>
        <v>430.29399999999998</v>
      </c>
    </row>
    <row r="21" spans="1:11" x14ac:dyDescent="0.25">
      <c r="A21">
        <f t="shared" si="2"/>
        <v>2017</v>
      </c>
      <c r="B21">
        <f>D6</f>
        <v>398.01232499999998</v>
      </c>
      <c r="C21">
        <f>G6</f>
        <v>382.25103693</v>
      </c>
      <c r="D21">
        <f t="shared" si="1"/>
        <v>416.66399999999999</v>
      </c>
    </row>
    <row r="22" spans="1:11" x14ac:dyDescent="0.25">
      <c r="A22">
        <f t="shared" si="2"/>
        <v>2018</v>
      </c>
      <c r="B22">
        <f>D7</f>
        <v>398.01232499999998</v>
      </c>
      <c r="C22">
        <f>G7</f>
        <v>374.60601619139999</v>
      </c>
      <c r="D22">
        <f t="shared" si="1"/>
        <v>392.17899999999997</v>
      </c>
    </row>
    <row r="23" spans="1:11" x14ac:dyDescent="0.25">
      <c r="A23">
        <f t="shared" si="2"/>
        <v>2019</v>
      </c>
      <c r="B23">
        <f>D8</f>
        <v>398.01232499999998</v>
      </c>
      <c r="C23">
        <f>G8</f>
        <v>367.11389586757201</v>
      </c>
      <c r="D23">
        <f t="shared" si="1"/>
        <v>378.90900000000005</v>
      </c>
    </row>
    <row r="24" spans="1:11" x14ac:dyDescent="0.25">
      <c r="A24">
        <f t="shared" si="2"/>
        <v>2020</v>
      </c>
      <c r="B24">
        <f>D9</f>
        <v>398.01232499999998</v>
      </c>
      <c r="C24">
        <f>G9</f>
        <v>359.77161795022056</v>
      </c>
      <c r="D24">
        <f t="shared" si="1"/>
        <v>365.54599999999999</v>
      </c>
    </row>
    <row r="29" spans="1:11" x14ac:dyDescent="0.25">
      <c r="B29" t="str">
        <f>B16</f>
        <v>Flat emissions forecast</v>
      </c>
      <c r="C29" t="str">
        <f>C16</f>
        <v>2% annual decline forecast</v>
      </c>
      <c r="D29" t="str">
        <f>D16</f>
        <v>Broad cap</v>
      </c>
      <c r="E29" t="s">
        <v>78</v>
      </c>
      <c r="F29" t="s">
        <v>79</v>
      </c>
      <c r="G29" t="str">
        <f t="shared" ref="G29:I31" si="3">G16</f>
        <v>Broad emissions</v>
      </c>
      <c r="H29" t="str">
        <f t="shared" si="3"/>
        <v>Narrow cap</v>
      </c>
      <c r="I29" t="str">
        <f t="shared" si="3"/>
        <v>Narrow emissions</v>
      </c>
    </row>
    <row r="30" spans="1:11" x14ac:dyDescent="0.25">
      <c r="A30">
        <f t="shared" ref="A30:A37" si="4">A17</f>
        <v>2013</v>
      </c>
      <c r="G30">
        <f t="shared" si="3"/>
        <v>405.14185488546792</v>
      </c>
      <c r="H30">
        <f t="shared" si="3"/>
        <v>184.37200000000001</v>
      </c>
      <c r="I30">
        <f t="shared" si="3"/>
        <v>164.31762752952255</v>
      </c>
    </row>
    <row r="31" spans="1:11" x14ac:dyDescent="0.25">
      <c r="A31">
        <f t="shared" si="4"/>
        <v>2014</v>
      </c>
      <c r="G31">
        <f t="shared" si="3"/>
        <v>402.04491757722496</v>
      </c>
      <c r="H31">
        <f t="shared" si="3"/>
        <v>181.30299999999997</v>
      </c>
      <c r="I31">
        <f t="shared" si="3"/>
        <v>163.97106275584656</v>
      </c>
    </row>
    <row r="32" spans="1:11" x14ac:dyDescent="0.25">
      <c r="A32">
        <f t="shared" si="4"/>
        <v>2015</v>
      </c>
      <c r="D32">
        <f t="shared" ref="D32:D37" si="5">D19</f>
        <v>444.02000000000004</v>
      </c>
      <c r="E32">
        <f t="shared" ref="E32:E37" si="6">D32+D32*0.04</f>
        <v>461.78080000000006</v>
      </c>
      <c r="F32">
        <f t="shared" ref="F32:F37" si="7">D32+D32*0.08</f>
        <v>479.54160000000002</v>
      </c>
      <c r="G32">
        <f>G19</f>
        <v>398.01232499999998</v>
      </c>
    </row>
    <row r="33" spans="1:6" x14ac:dyDescent="0.25">
      <c r="A33">
        <f t="shared" si="4"/>
        <v>2016</v>
      </c>
      <c r="B33">
        <f t="shared" ref="B33:C37" si="8">B20</f>
        <v>398.01232499999998</v>
      </c>
      <c r="C33">
        <f t="shared" si="8"/>
        <v>390.05207849999999</v>
      </c>
      <c r="D33">
        <f t="shared" si="5"/>
        <v>430.29399999999998</v>
      </c>
      <c r="E33">
        <f t="shared" si="6"/>
        <v>447.50576000000001</v>
      </c>
      <c r="F33">
        <f t="shared" si="7"/>
        <v>464.71751999999998</v>
      </c>
    </row>
    <row r="34" spans="1:6" x14ac:dyDescent="0.25">
      <c r="A34">
        <f t="shared" si="4"/>
        <v>2017</v>
      </c>
      <c r="B34">
        <f t="shared" si="8"/>
        <v>398.01232499999998</v>
      </c>
      <c r="C34">
        <f t="shared" si="8"/>
        <v>382.25103693</v>
      </c>
      <c r="D34">
        <f t="shared" si="5"/>
        <v>416.66399999999999</v>
      </c>
      <c r="E34">
        <f t="shared" si="6"/>
        <v>433.33055999999999</v>
      </c>
      <c r="F34">
        <f t="shared" si="7"/>
        <v>449.99712</v>
      </c>
    </row>
    <row r="35" spans="1:6" x14ac:dyDescent="0.25">
      <c r="A35">
        <f t="shared" si="4"/>
        <v>2018</v>
      </c>
      <c r="B35">
        <f t="shared" si="8"/>
        <v>398.01232499999998</v>
      </c>
      <c r="C35">
        <f t="shared" si="8"/>
        <v>374.60601619139999</v>
      </c>
      <c r="D35">
        <f t="shared" si="5"/>
        <v>392.17899999999997</v>
      </c>
      <c r="E35">
        <f t="shared" si="6"/>
        <v>407.86615999999998</v>
      </c>
      <c r="F35">
        <f t="shared" si="7"/>
        <v>423.55331999999999</v>
      </c>
    </row>
    <row r="36" spans="1:6" x14ac:dyDescent="0.25">
      <c r="A36">
        <f t="shared" si="4"/>
        <v>2019</v>
      </c>
      <c r="B36">
        <f t="shared" si="8"/>
        <v>398.01232499999998</v>
      </c>
      <c r="C36">
        <f t="shared" si="8"/>
        <v>367.11389586757201</v>
      </c>
      <c r="D36">
        <f t="shared" si="5"/>
        <v>378.90900000000005</v>
      </c>
      <c r="E36">
        <f t="shared" si="6"/>
        <v>394.06536000000006</v>
      </c>
      <c r="F36">
        <f t="shared" si="7"/>
        <v>409.22172000000006</v>
      </c>
    </row>
    <row r="37" spans="1:6" x14ac:dyDescent="0.25">
      <c r="A37">
        <f t="shared" si="4"/>
        <v>2020</v>
      </c>
      <c r="B37">
        <f t="shared" si="8"/>
        <v>398.01232499999998</v>
      </c>
      <c r="C37">
        <f t="shared" si="8"/>
        <v>359.77161795022056</v>
      </c>
      <c r="D37">
        <f t="shared" si="5"/>
        <v>365.54599999999999</v>
      </c>
      <c r="E37">
        <f t="shared" si="6"/>
        <v>380.16784000000001</v>
      </c>
      <c r="F37">
        <f t="shared" si="7"/>
        <v>394.78967999999998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Charts</vt:lpstr>
      </vt:variant>
      <vt:variant>
        <vt:i4>5</vt:i4>
      </vt:variant>
    </vt:vector>
  </HeadingPairs>
  <TitlesOfParts>
    <vt:vector size="27" baseType="lpstr">
      <vt:lpstr>ABOUT THIS SPREADSHEET</vt:lpstr>
      <vt:lpstr>synthesis graph</vt:lpstr>
      <vt:lpstr>TABLE</vt:lpstr>
      <vt:lpstr>2nd compliance period (with Q1)</vt:lpstr>
      <vt:lpstr>synethsize (with Q1 adjustment)</vt:lpstr>
      <vt:lpstr>synthesize (b4 Q1 adjustment)</vt:lpstr>
      <vt:lpstr>TABLE main findings</vt:lpstr>
      <vt:lpstr>MRR data across the two</vt:lpstr>
      <vt:lpstr>MRR data with caps for graph</vt:lpstr>
      <vt:lpstr>offsets sensitivity</vt:lpstr>
      <vt:lpstr>find crossover year</vt:lpstr>
      <vt:lpstr>demand scenarios</vt:lpstr>
      <vt:lpstr>retired available for CP2 &amp; 3</vt:lpstr>
      <vt:lpstr>future supply</vt:lpstr>
      <vt:lpstr>current allowance holdings</vt:lpstr>
      <vt:lpstr>California revenue estimation</vt:lpstr>
      <vt:lpstr>TABLE Cali revenue</vt:lpstr>
      <vt:lpstr>estimate free-auction-consign</vt:lpstr>
      <vt:lpstr>2016 revenue hypotheticals</vt:lpstr>
      <vt:lpstr>bid to cover ratio</vt:lpstr>
      <vt:lpstr>free vs auction CARB plan 2020</vt:lpstr>
      <vt:lpstr>Sheet1</vt:lpstr>
      <vt:lpstr>GRAPH synthesis</vt:lpstr>
      <vt:lpstr>GRAPH whole picture </vt:lpstr>
      <vt:lpstr>GRAPH emissions vs. cap levels</vt:lpstr>
      <vt:lpstr>GRAPH offsets sensitivity</vt:lpstr>
      <vt:lpstr>graph demand forecasts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Busch</dc:creator>
  <cp:lastModifiedBy>Hallie Kennan</cp:lastModifiedBy>
  <cp:lastPrinted>2017-03-09T03:05:09Z</cp:lastPrinted>
  <dcterms:created xsi:type="dcterms:W3CDTF">2017-01-18T18:25:24Z</dcterms:created>
  <dcterms:modified xsi:type="dcterms:W3CDTF">2017-03-20T16:04:47Z</dcterms:modified>
</cp:coreProperties>
</file>